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lvin\OneDrive\Documents\ITIE\RAPPORTS ITIE\RAPPORT ORDINAIRE\11-RAPPORT ITIE-RDC 2022\"/>
    </mc:Choice>
  </mc:AlternateContent>
  <bookViews>
    <workbookView xWindow="-120" yWindow="-120" windowWidth="23160" windowHeight="9204" tabRatio="866" firstSheet="15" activeTab="31"/>
  </bookViews>
  <sheets>
    <sheet name="Sommaire" sheetId="1" r:id="rId1"/>
    <sheet name="Annexe 0" sheetId="65" r:id="rId2"/>
    <sheet name="Annexe 1" sheetId="50" r:id="rId3"/>
    <sheet name="Annexe 2" sheetId="3" r:id="rId4"/>
    <sheet name="Annexe 3" sheetId="4" r:id="rId5"/>
    <sheet name="Annexe 4" sheetId="7" r:id="rId6"/>
    <sheet name="Annexe 5" sheetId="9" r:id="rId7"/>
    <sheet name="Annexe 6" sheetId="8" r:id="rId8"/>
    <sheet name="Annexe 7" sheetId="6" r:id="rId9"/>
    <sheet name="Annexe 8" sheetId="10" r:id="rId10"/>
    <sheet name="Annexe 9" sheetId="11" r:id="rId11"/>
    <sheet name="Annexe 10" sheetId="13" r:id="rId12"/>
    <sheet name="Annexe 11" sheetId="12" r:id="rId13"/>
    <sheet name="Annexe 12" sheetId="14" r:id="rId14"/>
    <sheet name="Annexe 13" sheetId="15" r:id="rId15"/>
    <sheet name="Annexe 14" sheetId="16" r:id="rId16"/>
    <sheet name="Annexe 15" sheetId="31" r:id="rId17"/>
    <sheet name="Annexe 16" sheetId="32" r:id="rId18"/>
    <sheet name="Annexe 17" sheetId="17" r:id="rId19"/>
    <sheet name="Annexe 18" sheetId="18" r:id="rId20"/>
    <sheet name="Annexe 19" sheetId="33" r:id="rId21"/>
    <sheet name="Annexe 20" sheetId="34" r:id="rId22"/>
    <sheet name="Annexe 21" sheetId="35" r:id="rId23"/>
    <sheet name="Annexe 22" sheetId="36" r:id="rId24"/>
    <sheet name="Annexe 23" sheetId="48" r:id="rId25"/>
    <sheet name="Annexe 24" sheetId="38" r:id="rId26"/>
    <sheet name="Annexe 25" sheetId="37" r:id="rId27"/>
    <sheet name="Annexe 26" sheetId="39" r:id="rId28"/>
    <sheet name="Annexe 27" sheetId="40" r:id="rId29"/>
    <sheet name="Annexe 28" sheetId="41" r:id="rId30"/>
    <sheet name="Annexe 29" sheetId="42" r:id="rId31"/>
    <sheet name="Annexe 30" sheetId="43" r:id="rId32"/>
    <sheet name="Annexe 31" sheetId="20" r:id="rId33"/>
    <sheet name="Annexe 32" sheetId="49" r:id="rId34"/>
    <sheet name="Annexe 33" sheetId="21" r:id="rId35"/>
    <sheet name="Annexe 34" sheetId="22" r:id="rId36"/>
    <sheet name="Annexe 35" sheetId="44" r:id="rId37"/>
    <sheet name="Annexe 36" sheetId="23" r:id="rId38"/>
    <sheet name="Annexe 37" sheetId="25" r:id="rId39"/>
    <sheet name="Annexe 38" sheetId="26" r:id="rId40"/>
    <sheet name="Annexe 39" sheetId="27" r:id="rId41"/>
    <sheet name="Annexe 40" sheetId="29" r:id="rId42"/>
    <sheet name="Annexe 41" sheetId="30" r:id="rId43"/>
    <sheet name="Annexe 42" sheetId="45" r:id="rId44"/>
    <sheet name="Annexe 43" sheetId="46" r:id="rId45"/>
    <sheet name="Annexe 44" sheetId="47" r:id="rId46"/>
    <sheet name="Annexe 45" sheetId="51" r:id="rId47"/>
    <sheet name="Annexe 46" sheetId="52" r:id="rId48"/>
    <sheet name="Annexe 47" sheetId="55" r:id="rId49"/>
    <sheet name="Annexe 48" sheetId="56" r:id="rId50"/>
    <sheet name="Annexe 49" sheetId="57" r:id="rId51"/>
    <sheet name="Annexe 50" sheetId="58" r:id="rId52"/>
    <sheet name="Annexe 51" sheetId="59" r:id="rId53"/>
    <sheet name="Annexe 52" sheetId="60" r:id="rId54"/>
    <sheet name="Annexe 53" sheetId="61" r:id="rId55"/>
    <sheet name="Annexe 54" sheetId="62" r:id="rId56"/>
    <sheet name="Annexe 55" sheetId="63" r:id="rId57"/>
    <sheet name="Annexe 56" sheetId="64" r:id="rId58"/>
    <sheet name="Annexe 57" sheetId="66" r:id="rId59"/>
  </sheets>
  <definedNames>
    <definedName name="_xlnm._FilterDatabase" localSheetId="1" hidden="1">'Annexe 0'!$A$6:$H$91</definedName>
    <definedName name="_xlnm._FilterDatabase" localSheetId="11" hidden="1">'Annexe 10'!$A$6:$D$9</definedName>
    <definedName name="_xlnm._FilterDatabase" localSheetId="12" hidden="1">'Annexe 11'!$A$6:$D$132</definedName>
    <definedName name="_xlnm._FilterDatabase" localSheetId="13" hidden="1">'Annexe 12'!$A$6:$D$14</definedName>
    <definedName name="_xlnm._FilterDatabase" localSheetId="20" hidden="1">'Annexe 19'!$A$7:$E$110</definedName>
    <definedName name="_xlnm._FilterDatabase" localSheetId="3" hidden="1">'Annexe 2'!$A$7:$H$28</definedName>
    <definedName name="_xlnm._FilterDatabase" localSheetId="22" hidden="1">'Annexe 21'!$A$6:$D$113</definedName>
    <definedName name="_xlnm._FilterDatabase" localSheetId="23" hidden="1">'Annexe 22'!$A$6:$C$432</definedName>
    <definedName name="_xlnm._FilterDatabase" localSheetId="24" hidden="1">'Annexe 23'!$A$6:$H$87</definedName>
    <definedName name="_xlnm._FilterDatabase" localSheetId="25" hidden="1">'Annexe 24'!$A$6:$C$79</definedName>
    <definedName name="_xlnm._FilterDatabase" localSheetId="29" hidden="1">'Annexe 28'!$B$6:$E$117</definedName>
    <definedName name="_xlnm._FilterDatabase" localSheetId="30" hidden="1">'Annexe 29'!$B$7:$E$518</definedName>
    <definedName name="_xlnm._FilterDatabase" localSheetId="31" hidden="1">'Annexe 30'!$B$20:$H$105</definedName>
    <definedName name="_xlnm._FilterDatabase" localSheetId="32" hidden="1">'Annexe 31'!$B$19:$Q$134</definedName>
    <definedName name="_xlnm._FilterDatabase" localSheetId="35" hidden="1">'Annexe 34'!$K$7:$N$114</definedName>
    <definedName name="_xlnm._FilterDatabase" localSheetId="40" hidden="1">'Annexe 39'!$B$4:$D$764</definedName>
    <definedName name="_xlnm._FilterDatabase" localSheetId="46" hidden="1">'Annexe 45'!$A$4:$I$2931</definedName>
    <definedName name="_xlnm._FilterDatabase" localSheetId="48" hidden="1">'Annexe 47'!$E$4:$F$43</definedName>
    <definedName name="_xlnm._FilterDatabase" localSheetId="49" hidden="1">'Annexe 48'!$M$7:$O$78</definedName>
    <definedName name="_xlnm._FilterDatabase" localSheetId="58" hidden="1">'Annexe 57'!$B$4:$C$103</definedName>
    <definedName name="_xlnm._FilterDatabase" localSheetId="10" hidden="1">'Annexe 9'!$I$7:$J$130</definedName>
    <definedName name="BAS_Uele" localSheetId="1">#REF!</definedName>
    <definedName name="BAS_Uele" localSheetId="3">#REF!</definedName>
    <definedName name="BAS_Uele" localSheetId="46">#REF!</definedName>
    <definedName name="BAS_Uele">#REF!</definedName>
    <definedName name="_xlnm.Print_Titles" localSheetId="46">'Annexe 45'!$4:$4</definedName>
    <definedName name="TITULAIRES_30112021_Requête" localSheetId="1">#REF!</definedName>
    <definedName name="TITULAIRES_30112021_Requête" localSheetId="3">#REF!</definedName>
    <definedName name="TITULAIRES_30112021_Requête" localSheetId="46">#REF!</definedName>
    <definedName name="TITULAIRES_30112021_Requête">#REF!</definedName>
    <definedName name="w" localSheetId="1">#REF!</definedName>
    <definedName name="w" localSheetId="3">#REF!</definedName>
    <definedName name="w" localSheetId="46">#REF!</definedName>
    <definedName name="w">#REF!</definedName>
    <definedName name="z" localSheetId="1">#REF!</definedName>
    <definedName name="z" localSheetId="3">#REF!</definedName>
    <definedName name="z" localSheetId="46">#REF!</definedName>
    <definedName name="z">#REF!</definedName>
    <definedName name="Z_433B0927_43E7_4617_BABB_39E137257A37_.wvu.FilterData" localSheetId="3" hidden="1">'Annexe 2'!$A$7:$F$7</definedName>
    <definedName name="Z_433B0927_43E7_4617_BABB_39E137257A37_.wvu.FilterData" localSheetId="46" hidden="1">'Annexe 45'!$A$4:$I$4</definedName>
    <definedName name="Z_433B0927_43E7_4617_BABB_39E137257A37_.wvu.PrintTitles" localSheetId="3" hidden="1">'Annexe 2'!$7:$7</definedName>
    <definedName name="Z_433B0927_43E7_4617_BABB_39E137257A37_.wvu.PrintTitles" localSheetId="46" hidden="1">'Annexe 45'!$4:$4</definedName>
    <definedName name="_xlnm.Print_Area" localSheetId="3">'Annexe 2'!$A$7:$H$28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20" l="1"/>
  <c r="E9" i="20"/>
  <c r="G9" i="20" s="1"/>
  <c r="E8" i="20"/>
  <c r="C10" i="20"/>
  <c r="C9" i="20"/>
  <c r="C8" i="20"/>
  <c r="D13" i="43"/>
  <c r="H13" i="43"/>
  <c r="G13" i="43"/>
  <c r="J13" i="43"/>
  <c r="I13" i="43"/>
  <c r="L13" i="43"/>
  <c r="K13" i="43"/>
  <c r="C11" i="20" l="1"/>
  <c r="G10" i="20"/>
  <c r="J8" i="43"/>
  <c r="J9" i="43"/>
  <c r="G7" i="43"/>
  <c r="F8" i="43"/>
  <c r="E9" i="43"/>
  <c r="E13" i="43" s="1"/>
  <c r="F13" i="43" s="1"/>
  <c r="C103" i="66"/>
  <c r="B60" i="1" l="1"/>
  <c r="H7" i="43"/>
  <c r="F341" i="60"/>
  <c r="E341" i="60"/>
  <c r="D341" i="60"/>
  <c r="C341" i="60"/>
  <c r="G341" i="60"/>
  <c r="B4" i="1"/>
  <c r="B5" i="1" s="1"/>
  <c r="B6" i="1" s="1"/>
  <c r="B7" i="1" s="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I21" i="61"/>
  <c r="F1150" i="62"/>
  <c r="E1150" i="62"/>
  <c r="D1150" i="62"/>
  <c r="M13" i="43" l="1"/>
  <c r="B94" i="43"/>
  <c r="B95" i="43" s="1"/>
  <c r="B96" i="43" s="1"/>
  <c r="B97" i="43" s="1"/>
  <c r="B98" i="43" s="1"/>
  <c r="B99" i="43" s="1"/>
  <c r="B100" i="43" s="1"/>
  <c r="B101" i="43" s="1"/>
  <c r="B102" i="43" s="1"/>
  <c r="B103" i="43" s="1"/>
  <c r="B104" i="43" s="1"/>
  <c r="B105" i="43" s="1"/>
  <c r="B46" i="43"/>
  <c r="B47" i="43" s="1"/>
  <c r="B48" i="43" s="1"/>
  <c r="B49" i="43" s="1"/>
  <c r="B50" i="43" s="1"/>
  <c r="B51" i="43" s="1"/>
  <c r="B52" i="43" s="1"/>
  <c r="B53" i="43" s="1"/>
  <c r="B54" i="43" s="1"/>
  <c r="B55" i="43" s="1"/>
  <c r="B56" i="43" s="1"/>
  <c r="B57" i="43" s="1"/>
  <c r="B58" i="43" s="1"/>
  <c r="B59" i="43" s="1"/>
  <c r="B60" i="43" s="1"/>
  <c r="B61" i="43" s="1"/>
  <c r="B62" i="43" s="1"/>
  <c r="B63" i="43" s="1"/>
  <c r="B64" i="43" s="1"/>
  <c r="B65" i="43" s="1"/>
  <c r="B66" i="43" s="1"/>
  <c r="B67" i="43" s="1"/>
  <c r="B68" i="43" s="1"/>
  <c r="B69" i="43" s="1"/>
  <c r="B70" i="43" s="1"/>
  <c r="B71" i="43" s="1"/>
  <c r="B72" i="43" s="1"/>
  <c r="B73" i="43" s="1"/>
  <c r="B74" i="43" s="1"/>
  <c r="B75" i="43" s="1"/>
  <c r="B76" i="43" s="1"/>
  <c r="B77" i="43" s="1"/>
  <c r="B78" i="43" s="1"/>
  <c r="B79" i="43" s="1"/>
  <c r="B80" i="43" s="1"/>
  <c r="B81" i="43" s="1"/>
  <c r="B82" i="43" s="1"/>
  <c r="B83" i="43" s="1"/>
  <c r="B84" i="43" s="1"/>
  <c r="B85" i="43" s="1"/>
  <c r="B86" i="43" s="1"/>
  <c r="B87" i="43" s="1"/>
  <c r="B88" i="43" s="1"/>
  <c r="B89" i="43" s="1"/>
  <c r="B90" i="43" s="1"/>
  <c r="B91" i="43" s="1"/>
  <c r="B35" i="43"/>
  <c r="B36" i="43" s="1"/>
  <c r="B37" i="43" s="1"/>
  <c r="B38" i="43" s="1"/>
  <c r="B39" i="43" s="1"/>
  <c r="B40" i="43" s="1"/>
  <c r="B41" i="43" s="1"/>
  <c r="B42" i="43" s="1"/>
  <c r="B43" i="43" s="1"/>
  <c r="K12" i="43"/>
  <c r="L12" i="43" s="1"/>
  <c r="E12" i="43"/>
  <c r="F12" i="43" s="1"/>
  <c r="K11" i="43"/>
  <c r="L11" i="43" s="1"/>
  <c r="E11" i="43"/>
  <c r="F11" i="43" s="1"/>
  <c r="K10" i="43"/>
  <c r="E10" i="43"/>
  <c r="F10" i="43" s="1"/>
  <c r="F7" i="43"/>
  <c r="E11" i="20"/>
  <c r="F10" i="20"/>
  <c r="D10" i="20"/>
  <c r="F9" i="20"/>
  <c r="D9" i="20"/>
  <c r="G8" i="20"/>
  <c r="F8" i="20"/>
  <c r="D8" i="20"/>
  <c r="BO136" i="63"/>
  <c r="BN136" i="63"/>
  <c r="BM136" i="63"/>
  <c r="BL136" i="63"/>
  <c r="BK136" i="63"/>
  <c r="BJ136" i="63"/>
  <c r="BI136" i="63"/>
  <c r="BH136" i="63"/>
  <c r="BG136" i="63"/>
  <c r="BF136" i="63"/>
  <c r="BE136" i="63"/>
  <c r="BD136" i="63"/>
  <c r="BC136" i="63"/>
  <c r="BB136" i="63"/>
  <c r="BA136" i="63"/>
  <c r="AZ136" i="63"/>
  <c r="AY136" i="63"/>
  <c r="AX136" i="63"/>
  <c r="AW136" i="63"/>
  <c r="AV136" i="63"/>
  <c r="AU136" i="63"/>
  <c r="AT136" i="63"/>
  <c r="AS136" i="63"/>
  <c r="AR136" i="63"/>
  <c r="AQ136" i="63"/>
  <c r="AP136" i="63"/>
  <c r="AO136" i="63"/>
  <c r="AN136" i="63"/>
  <c r="AM136" i="63"/>
  <c r="AL136" i="63"/>
  <c r="AK136" i="63"/>
  <c r="AJ136" i="63"/>
  <c r="AI136" i="63"/>
  <c r="AH136" i="63"/>
  <c r="AG136" i="63"/>
  <c r="AF136" i="63"/>
  <c r="AE136" i="63"/>
  <c r="AD136" i="63"/>
  <c r="AC136" i="63"/>
  <c r="AB136" i="63"/>
  <c r="AA136" i="63"/>
  <c r="Z136" i="63"/>
  <c r="Y136" i="63"/>
  <c r="X136" i="63"/>
  <c r="W136" i="63"/>
  <c r="V136" i="63"/>
  <c r="U136" i="63"/>
  <c r="T136" i="63"/>
  <c r="S136" i="63"/>
  <c r="R136" i="63"/>
  <c r="Q136" i="63"/>
  <c r="P136" i="63"/>
  <c r="O136" i="63"/>
  <c r="N136" i="63"/>
  <c r="M136" i="63"/>
  <c r="L136" i="63"/>
  <c r="K136" i="63"/>
  <c r="J136" i="63"/>
  <c r="I136" i="63"/>
  <c r="H136" i="63"/>
  <c r="G136" i="63"/>
  <c r="F136" i="63"/>
  <c r="E136" i="63"/>
  <c r="D136" i="63"/>
  <c r="BQ135" i="63"/>
  <c r="BP135" i="63"/>
  <c r="BQ134" i="63"/>
  <c r="BP134" i="63"/>
  <c r="BQ133" i="63"/>
  <c r="BP133" i="63"/>
  <c r="BQ132" i="63"/>
  <c r="BP132" i="63"/>
  <c r="BQ131" i="63"/>
  <c r="BP131" i="63"/>
  <c r="BQ130" i="63"/>
  <c r="BP130" i="63"/>
  <c r="BQ129" i="63"/>
  <c r="BQ136" i="63" s="1"/>
  <c r="BP129" i="63"/>
  <c r="BP136" i="63" s="1"/>
  <c r="BO122" i="63"/>
  <c r="BN122" i="63"/>
  <c r="BM122" i="63"/>
  <c r="BL122" i="63"/>
  <c r="BK122" i="63"/>
  <c r="BJ122" i="63"/>
  <c r="BI122" i="63"/>
  <c r="BH122" i="63"/>
  <c r="BG122" i="63"/>
  <c r="BF122" i="63"/>
  <c r="BE122" i="63"/>
  <c r="BD122" i="63"/>
  <c r="BC122" i="63"/>
  <c r="BB122" i="63"/>
  <c r="BA122" i="63"/>
  <c r="AZ122" i="63"/>
  <c r="AY122" i="63"/>
  <c r="AX122" i="63"/>
  <c r="AW122" i="63"/>
  <c r="AV122" i="63"/>
  <c r="AU122" i="63"/>
  <c r="AT122" i="63"/>
  <c r="AS122" i="63"/>
  <c r="AR122" i="63"/>
  <c r="AQ122" i="63"/>
  <c r="AP122" i="63"/>
  <c r="AO122" i="63"/>
  <c r="AN122" i="63"/>
  <c r="AM122" i="63"/>
  <c r="AL122" i="63"/>
  <c r="AK122" i="63"/>
  <c r="AJ122" i="63"/>
  <c r="AI122" i="63"/>
  <c r="AH122" i="63"/>
  <c r="AG122" i="63"/>
  <c r="AF122" i="63"/>
  <c r="AE122" i="63"/>
  <c r="AD122" i="63"/>
  <c r="AC122" i="63"/>
  <c r="AB122" i="63"/>
  <c r="AA122" i="63"/>
  <c r="Z122" i="63"/>
  <c r="Y122" i="63"/>
  <c r="X122" i="63"/>
  <c r="W122" i="63"/>
  <c r="V122" i="63"/>
  <c r="U122" i="63"/>
  <c r="T122" i="63"/>
  <c r="S122" i="63"/>
  <c r="R122" i="63"/>
  <c r="Q122" i="63"/>
  <c r="P122" i="63"/>
  <c r="O122" i="63"/>
  <c r="N122" i="63"/>
  <c r="M122" i="63"/>
  <c r="L122" i="63"/>
  <c r="K122" i="63"/>
  <c r="J122" i="63"/>
  <c r="I122" i="63"/>
  <c r="H122" i="63"/>
  <c r="G122" i="63"/>
  <c r="F122" i="63"/>
  <c r="E122" i="63"/>
  <c r="D122" i="63"/>
  <c r="BQ121" i="63"/>
  <c r="BP121" i="63"/>
  <c r="BQ120" i="63"/>
  <c r="BP120" i="63"/>
  <c r="BQ119" i="63"/>
  <c r="BP119" i="63"/>
  <c r="BQ118" i="63"/>
  <c r="BP118" i="63"/>
  <c r="BQ117" i="63"/>
  <c r="BP117" i="63"/>
  <c r="BQ116" i="63"/>
  <c r="BP116" i="63"/>
  <c r="BQ115" i="63"/>
  <c r="BP115" i="63"/>
  <c r="BQ114" i="63"/>
  <c r="BP114" i="63"/>
  <c r="BQ113" i="63"/>
  <c r="BP113" i="63"/>
  <c r="BQ112" i="63"/>
  <c r="BP112" i="63"/>
  <c r="BQ111" i="63"/>
  <c r="BP111" i="63"/>
  <c r="BQ110" i="63"/>
  <c r="BP110" i="63"/>
  <c r="BQ109" i="63"/>
  <c r="BP109" i="63"/>
  <c r="BQ108" i="63"/>
  <c r="BP108" i="63"/>
  <c r="BQ107" i="63"/>
  <c r="BP107" i="63"/>
  <c r="BQ106" i="63"/>
  <c r="BP106" i="63"/>
  <c r="BQ105" i="63"/>
  <c r="BP105" i="63"/>
  <c r="BQ104" i="63"/>
  <c r="BP104" i="63"/>
  <c r="BQ103" i="63"/>
  <c r="BP103" i="63"/>
  <c r="BQ102" i="63"/>
  <c r="BP102" i="63"/>
  <c r="BQ101" i="63"/>
  <c r="BP101" i="63"/>
  <c r="BQ100" i="63"/>
  <c r="BP100" i="63"/>
  <c r="BQ99" i="63"/>
  <c r="BP99" i="63"/>
  <c r="BQ98" i="63"/>
  <c r="BP98" i="63"/>
  <c r="BQ97" i="63"/>
  <c r="BP97" i="63"/>
  <c r="BQ96" i="63"/>
  <c r="BP96" i="63"/>
  <c r="BQ95" i="63"/>
  <c r="BP95" i="63"/>
  <c r="BQ94" i="63"/>
  <c r="BP94" i="63"/>
  <c r="BQ93" i="63"/>
  <c r="BP93" i="63"/>
  <c r="BQ92" i="63"/>
  <c r="BP92" i="63"/>
  <c r="BQ91" i="63"/>
  <c r="BP91" i="63"/>
  <c r="BQ90" i="63"/>
  <c r="BP90" i="63"/>
  <c r="BQ89" i="63"/>
  <c r="BP89" i="63"/>
  <c r="BQ88" i="63"/>
  <c r="BP88" i="63"/>
  <c r="BQ87" i="63"/>
  <c r="BP87" i="63"/>
  <c r="BQ86" i="63"/>
  <c r="BP86" i="63"/>
  <c r="BQ85" i="63"/>
  <c r="BP85" i="63"/>
  <c r="BQ84" i="63"/>
  <c r="BP84" i="63"/>
  <c r="BQ83" i="63"/>
  <c r="BP83" i="63"/>
  <c r="BQ82" i="63"/>
  <c r="BP82" i="63"/>
  <c r="BQ81" i="63"/>
  <c r="BP81" i="63"/>
  <c r="BQ80" i="63"/>
  <c r="BP80" i="63"/>
  <c r="BQ79" i="63"/>
  <c r="BP79" i="63"/>
  <c r="BQ78" i="63"/>
  <c r="BP78" i="63"/>
  <c r="BQ77" i="63"/>
  <c r="BP77" i="63"/>
  <c r="BQ76" i="63"/>
  <c r="BP76" i="63"/>
  <c r="BQ75" i="63"/>
  <c r="BP75" i="63"/>
  <c r="BQ74" i="63"/>
  <c r="BP74" i="63"/>
  <c r="BQ73" i="63"/>
  <c r="BP73" i="63"/>
  <c r="BQ72" i="63"/>
  <c r="BP72" i="63"/>
  <c r="BQ71" i="63"/>
  <c r="BP71" i="63"/>
  <c r="BQ70" i="63"/>
  <c r="BP70" i="63"/>
  <c r="BQ69" i="63"/>
  <c r="BP69" i="63"/>
  <c r="BQ68" i="63"/>
  <c r="BP68" i="63"/>
  <c r="BQ67" i="63"/>
  <c r="BP67" i="63"/>
  <c r="BQ66" i="63"/>
  <c r="BP66" i="63"/>
  <c r="BQ65" i="63"/>
  <c r="BP65" i="63"/>
  <c r="BQ64" i="63"/>
  <c r="BP64" i="63"/>
  <c r="BQ63" i="63"/>
  <c r="BP63" i="63"/>
  <c r="BQ62" i="63"/>
  <c r="BP62" i="63"/>
  <c r="BQ61" i="63"/>
  <c r="BP61" i="63"/>
  <c r="BQ60" i="63"/>
  <c r="BP60" i="63"/>
  <c r="BQ59" i="63"/>
  <c r="BP59" i="63"/>
  <c r="BQ58" i="63"/>
  <c r="BP58" i="63"/>
  <c r="BQ57" i="63"/>
  <c r="BP57" i="63"/>
  <c r="BQ56" i="63"/>
  <c r="BP56" i="63"/>
  <c r="BQ55" i="63"/>
  <c r="BP55" i="63"/>
  <c r="BQ54" i="63"/>
  <c r="BP54" i="63"/>
  <c r="BQ53" i="63"/>
  <c r="BP53" i="63"/>
  <c r="BQ52" i="63"/>
  <c r="BP52" i="63"/>
  <c r="BQ51" i="63"/>
  <c r="BP51" i="63"/>
  <c r="BQ50" i="63"/>
  <c r="BP50" i="63"/>
  <c r="BQ49" i="63"/>
  <c r="BP49" i="63"/>
  <c r="BQ48" i="63"/>
  <c r="BP48" i="63"/>
  <c r="BQ47" i="63"/>
  <c r="BP47" i="63"/>
  <c r="BQ46" i="63"/>
  <c r="BP46" i="63"/>
  <c r="BQ45" i="63"/>
  <c r="BP45" i="63"/>
  <c r="BQ44" i="63"/>
  <c r="BP44" i="63"/>
  <c r="BQ43" i="63"/>
  <c r="BP43" i="63"/>
  <c r="BQ42" i="63"/>
  <c r="BP42" i="63"/>
  <c r="BQ41" i="63"/>
  <c r="BP41" i="63"/>
  <c r="BQ40" i="63"/>
  <c r="BP40" i="63"/>
  <c r="BQ39" i="63"/>
  <c r="BP39" i="63"/>
  <c r="BQ38" i="63"/>
  <c r="BP38" i="63"/>
  <c r="BQ37" i="63"/>
  <c r="BP37" i="63"/>
  <c r="BQ36" i="63"/>
  <c r="BP36" i="63"/>
  <c r="BQ35" i="63"/>
  <c r="BP35" i="63"/>
  <c r="BQ34" i="63"/>
  <c r="BP34" i="63"/>
  <c r="BQ33" i="63"/>
  <c r="BP33" i="63"/>
  <c r="BQ32" i="63"/>
  <c r="BP32" i="63"/>
  <c r="BQ31" i="63"/>
  <c r="BP31" i="63"/>
  <c r="BQ30" i="63"/>
  <c r="BP30" i="63"/>
  <c r="BQ29" i="63"/>
  <c r="BP29" i="63"/>
  <c r="BQ28" i="63"/>
  <c r="BP28" i="63"/>
  <c r="BQ27" i="63"/>
  <c r="BP27" i="63"/>
  <c r="BQ26" i="63"/>
  <c r="BP26" i="63"/>
  <c r="BQ25" i="63"/>
  <c r="BP25" i="63"/>
  <c r="BQ24" i="63"/>
  <c r="BP24" i="63"/>
  <c r="BQ23" i="63"/>
  <c r="BP23" i="63"/>
  <c r="BQ22" i="63"/>
  <c r="BP22" i="63"/>
  <c r="BQ21" i="63"/>
  <c r="BP21" i="63"/>
  <c r="BQ20" i="63"/>
  <c r="BP20" i="63"/>
  <c r="BQ19" i="63"/>
  <c r="BP19" i="63"/>
  <c r="BQ18" i="63"/>
  <c r="BP18" i="63"/>
  <c r="BQ17" i="63"/>
  <c r="BP17" i="63"/>
  <c r="BQ16" i="63"/>
  <c r="BP16" i="63"/>
  <c r="BQ15" i="63"/>
  <c r="BP15" i="63"/>
  <c r="BQ14" i="63"/>
  <c r="BP14" i="63"/>
  <c r="BQ13" i="63"/>
  <c r="BP13" i="63"/>
  <c r="BQ12" i="63"/>
  <c r="BP12" i="63"/>
  <c r="BQ11" i="63"/>
  <c r="BP11" i="63"/>
  <c r="BQ10" i="63"/>
  <c r="BP10" i="63"/>
  <c r="BQ9" i="63"/>
  <c r="BQ122" i="63" s="1"/>
  <c r="BP9" i="63"/>
  <c r="BP122" i="63" s="1"/>
  <c r="O78" i="56"/>
  <c r="O77" i="56"/>
  <c r="O57" i="56"/>
  <c r="O56" i="56"/>
  <c r="O55" i="56"/>
  <c r="O54" i="56"/>
  <c r="O53" i="56"/>
  <c r="O52" i="56"/>
  <c r="O41" i="56"/>
  <c r="O40" i="56"/>
  <c r="O34" i="56"/>
  <c r="O30" i="56"/>
  <c r="O29" i="56"/>
  <c r="O28" i="56"/>
  <c r="O27" i="56"/>
  <c r="O26" i="56"/>
  <c r="O25" i="56"/>
  <c r="O24" i="56"/>
  <c r="O23" i="56"/>
  <c r="O22" i="56"/>
  <c r="O21" i="56"/>
  <c r="O20" i="56"/>
  <c r="O19" i="56"/>
  <c r="O18" i="56"/>
  <c r="O17" i="56"/>
  <c r="O16" i="56"/>
  <c r="O15" i="56"/>
  <c r="O14" i="56"/>
  <c r="O13" i="56"/>
  <c r="O12" i="56"/>
  <c r="O11" i="56"/>
  <c r="O10" i="56"/>
  <c r="O8" i="56"/>
  <c r="O7" i="56"/>
  <c r="G11" i="20" l="1"/>
  <c r="L10" i="43"/>
  <c r="F11" i="20"/>
  <c r="H9" i="20"/>
  <c r="D11" i="20"/>
  <c r="H10" i="20"/>
  <c r="F9" i="43"/>
  <c r="H8" i="20"/>
  <c r="C17" i="47" l="1"/>
  <c r="C29" i="46"/>
  <c r="C28" i="46"/>
  <c r="C346" i="45"/>
  <c r="C26" i="30"/>
  <c r="C67" i="29"/>
  <c r="C66" i="29"/>
  <c r="C764" i="27"/>
  <c r="E519" i="42"/>
  <c r="E118" i="41"/>
  <c r="E78" i="40"/>
  <c r="E17" i="39"/>
  <c r="E18" i="39"/>
  <c r="E19" i="39"/>
  <c r="E20" i="39"/>
  <c r="E21" i="39"/>
  <c r="E22" i="39"/>
  <c r="E23" i="39"/>
  <c r="E24" i="39"/>
  <c r="E25" i="39"/>
  <c r="E26" i="39"/>
  <c r="E27" i="39"/>
  <c r="E28" i="39"/>
  <c r="E29" i="39"/>
  <c r="E30" i="39"/>
  <c r="E31" i="39"/>
  <c r="C43" i="39"/>
  <c r="E11" i="39"/>
  <c r="E12" i="39"/>
  <c r="E13" i="39"/>
  <c r="E14" i="39"/>
  <c r="E15" i="39"/>
  <c r="E16" i="39"/>
  <c r="E10" i="39"/>
  <c r="AC127" i="32" l="1"/>
  <c r="AD127" i="32"/>
  <c r="AC128" i="32"/>
  <c r="AD128" i="32"/>
  <c r="AD126" i="32"/>
  <c r="AC126" i="32"/>
  <c r="AF123" i="31"/>
  <c r="AE123" i="31"/>
  <c r="AF122" i="31"/>
  <c r="AE122" i="31"/>
  <c r="AF121" i="31"/>
  <c r="AE121" i="31"/>
  <c r="AE119" i="31" l="1"/>
  <c r="AF119" i="31"/>
  <c r="AF118" i="31"/>
  <c r="AE118" i="31"/>
  <c r="AD24" i="32" l="1"/>
  <c r="AC24" i="32"/>
  <c r="AF24" i="31"/>
  <c r="AE24" i="31"/>
  <c r="C2931" i="51" l="1"/>
  <c r="C2930" i="51"/>
  <c r="C2929" i="51"/>
  <c r="C2928" i="51"/>
  <c r="C2927" i="51"/>
  <c r="C2926" i="51"/>
  <c r="C2925" i="51"/>
  <c r="C2924" i="51"/>
  <c r="C2923" i="51"/>
  <c r="C2922" i="51"/>
  <c r="C2921" i="51"/>
  <c r="C2920" i="51"/>
  <c r="C2919" i="51"/>
  <c r="C2918" i="51"/>
  <c r="C2917" i="51"/>
  <c r="C2916" i="51"/>
  <c r="C2915" i="51"/>
  <c r="C2914" i="51"/>
  <c r="C2913" i="51"/>
  <c r="C2912" i="51"/>
  <c r="C2911" i="51"/>
  <c r="C2910" i="51"/>
  <c r="C2909" i="51"/>
  <c r="C2908" i="51"/>
  <c r="C2907" i="51"/>
  <c r="C2906" i="51"/>
  <c r="C2905" i="51"/>
  <c r="C2904" i="51"/>
  <c r="C2903" i="51"/>
  <c r="C2902" i="51"/>
  <c r="C2901" i="51"/>
  <c r="C2900" i="51"/>
  <c r="C2899" i="51"/>
  <c r="C2898" i="51"/>
  <c r="C2897" i="51"/>
  <c r="C2896" i="51"/>
  <c r="C2895" i="51"/>
  <c r="C2894" i="51"/>
  <c r="C2893" i="51"/>
  <c r="C2892" i="51"/>
  <c r="C2891" i="51"/>
  <c r="C2890" i="51"/>
  <c r="C2889" i="51"/>
  <c r="C2888" i="51"/>
  <c r="C2887" i="51"/>
  <c r="C2886" i="51"/>
  <c r="C2885" i="51"/>
  <c r="C2884" i="51"/>
  <c r="C2883" i="51"/>
  <c r="C2882" i="51"/>
  <c r="C2881" i="51"/>
  <c r="C2880" i="51"/>
  <c r="C2879" i="51"/>
  <c r="C2878" i="51"/>
  <c r="C2877" i="51"/>
  <c r="C2876" i="51"/>
  <c r="C2875" i="51"/>
  <c r="C2874" i="51"/>
  <c r="C2873" i="51"/>
  <c r="C2872" i="51"/>
  <c r="C2871" i="51"/>
  <c r="C2870" i="51"/>
  <c r="C2869" i="51"/>
  <c r="C2868" i="51"/>
  <c r="C2867" i="51"/>
  <c r="C2866" i="51"/>
  <c r="C2865" i="51"/>
  <c r="C2864" i="51"/>
  <c r="C2863" i="51"/>
  <c r="C2862" i="51"/>
  <c r="C2861" i="51"/>
  <c r="C2860" i="51"/>
  <c r="C2859" i="51"/>
  <c r="C2858" i="51"/>
  <c r="C2857" i="51"/>
  <c r="C2856" i="51"/>
  <c r="C2855" i="51"/>
  <c r="C2854" i="51"/>
  <c r="C2853" i="51"/>
  <c r="C2852" i="51"/>
  <c r="C2851" i="51"/>
  <c r="C2850" i="51"/>
  <c r="C2849" i="51"/>
  <c r="C2848" i="51"/>
  <c r="C2847" i="51"/>
  <c r="C2846" i="51"/>
  <c r="C2845" i="51"/>
  <c r="C2844" i="51"/>
  <c r="C2843" i="51"/>
  <c r="C2842" i="51"/>
  <c r="C2841" i="51"/>
  <c r="C2840" i="51"/>
  <c r="C2839" i="51"/>
  <c r="C2838" i="51"/>
  <c r="C2837" i="51"/>
  <c r="C2836" i="51"/>
  <c r="C2835" i="51"/>
  <c r="C2834" i="51"/>
  <c r="C2833" i="51"/>
  <c r="C2832" i="51"/>
  <c r="C2831" i="51"/>
  <c r="C2830" i="51"/>
  <c r="C2829" i="51"/>
  <c r="C2828" i="51"/>
  <c r="C2827" i="51"/>
  <c r="C2826" i="51"/>
  <c r="C2825" i="51"/>
  <c r="C2824" i="51"/>
  <c r="C2823" i="51"/>
  <c r="C2822" i="51"/>
  <c r="C2821" i="51"/>
  <c r="C2820" i="51"/>
  <c r="C2819" i="51"/>
  <c r="C2818" i="51"/>
  <c r="C2817" i="51"/>
  <c r="C2816" i="51"/>
  <c r="C2815" i="51"/>
  <c r="C2814" i="51"/>
  <c r="C2813" i="51"/>
  <c r="C2812" i="51"/>
  <c r="C2811" i="51"/>
  <c r="C2810" i="51"/>
  <c r="C2809" i="51"/>
  <c r="C2808" i="51"/>
  <c r="C2807" i="51"/>
  <c r="C2806" i="51"/>
  <c r="C2805" i="51"/>
  <c r="C2804" i="51"/>
  <c r="C2803" i="51"/>
  <c r="C2802" i="51"/>
  <c r="C2801" i="51"/>
  <c r="C2800" i="51"/>
  <c r="C2799" i="51"/>
  <c r="C2798" i="51"/>
  <c r="C2797" i="51"/>
  <c r="C2796" i="51"/>
  <c r="C2795" i="51"/>
  <c r="C2794" i="51"/>
  <c r="C2793" i="51"/>
  <c r="C2792" i="51"/>
  <c r="C2791" i="51"/>
  <c r="C2790" i="51"/>
  <c r="C2789" i="51"/>
  <c r="C2788" i="51"/>
  <c r="C2787" i="51"/>
  <c r="C2786" i="51"/>
  <c r="C2785" i="51"/>
  <c r="C2784" i="51"/>
  <c r="C2783" i="51"/>
  <c r="C2782" i="51"/>
  <c r="C2781" i="51"/>
  <c r="C2780" i="51"/>
  <c r="C2779" i="51"/>
  <c r="C2778" i="51"/>
  <c r="C2777" i="51"/>
  <c r="C2776" i="51"/>
  <c r="C2775" i="51"/>
  <c r="C2774" i="51"/>
  <c r="C2773" i="51"/>
  <c r="C2772" i="51"/>
  <c r="C2771" i="51"/>
  <c r="C2770" i="51"/>
  <c r="C2769" i="51"/>
  <c r="C2768" i="51"/>
  <c r="C2767" i="51"/>
  <c r="C2766" i="51"/>
  <c r="C2765" i="51"/>
  <c r="C2764" i="51"/>
  <c r="C2763" i="51"/>
  <c r="C2762" i="51"/>
  <c r="C2761" i="51"/>
  <c r="C2760" i="51"/>
  <c r="C2759" i="51"/>
  <c r="C2758" i="51"/>
  <c r="C2757" i="51"/>
  <c r="C2756" i="51"/>
  <c r="C2755" i="51"/>
  <c r="C2754" i="51"/>
  <c r="C2753" i="51"/>
  <c r="C2752" i="51"/>
  <c r="C2751" i="51"/>
  <c r="C2750" i="51"/>
  <c r="C2749" i="51"/>
  <c r="C2748" i="51"/>
  <c r="C2747" i="51"/>
  <c r="C2746" i="51"/>
  <c r="C2745" i="51"/>
  <c r="C2744" i="51"/>
  <c r="C2743" i="51"/>
  <c r="C2742" i="51"/>
  <c r="C2741" i="51"/>
  <c r="C2740" i="51"/>
  <c r="C2739" i="51"/>
  <c r="C2738" i="51"/>
  <c r="C2737" i="51"/>
  <c r="C2736" i="51"/>
  <c r="C2735" i="51"/>
  <c r="C2734" i="51"/>
  <c r="C2733" i="51"/>
  <c r="C2732" i="51"/>
  <c r="C2731" i="51"/>
  <c r="C2730" i="51"/>
  <c r="C2729" i="51"/>
  <c r="C2728" i="51"/>
  <c r="C2727" i="51"/>
  <c r="C2726" i="51"/>
  <c r="C2725" i="51"/>
  <c r="C2724" i="51"/>
  <c r="C2723" i="51"/>
  <c r="C2722" i="51"/>
  <c r="C2721" i="51"/>
  <c r="C2720" i="51"/>
  <c r="C2719" i="51"/>
  <c r="C2718" i="51"/>
  <c r="C2717" i="51"/>
  <c r="C2716" i="51"/>
  <c r="C2715" i="51"/>
  <c r="C2714" i="51"/>
  <c r="C2713" i="51"/>
  <c r="C2712" i="51"/>
  <c r="C2711" i="51"/>
  <c r="C2710" i="51"/>
  <c r="C2709" i="51"/>
  <c r="C2708" i="51"/>
  <c r="C2707" i="51"/>
  <c r="C2706" i="51"/>
  <c r="C2705" i="51"/>
  <c r="C2704" i="51"/>
  <c r="C2703" i="51"/>
  <c r="C2702" i="51"/>
  <c r="C2701" i="51"/>
  <c r="C2700" i="51"/>
  <c r="C2699" i="51"/>
  <c r="C2698" i="51"/>
  <c r="C2697" i="51"/>
  <c r="C2696" i="51"/>
  <c r="C2695" i="51"/>
  <c r="C2694" i="51"/>
  <c r="C2693" i="51"/>
  <c r="C2692" i="51"/>
  <c r="C2691" i="51"/>
  <c r="C2690" i="51"/>
  <c r="C2689" i="51"/>
  <c r="C2688" i="51"/>
  <c r="C2687" i="51"/>
  <c r="C2686" i="51"/>
  <c r="C2685" i="51"/>
  <c r="C2684" i="51"/>
  <c r="C2683" i="51"/>
  <c r="C2682" i="51"/>
  <c r="C2681" i="51"/>
  <c r="C2680" i="51"/>
  <c r="C2679" i="51"/>
  <c r="C2678" i="51"/>
  <c r="C2677" i="51"/>
  <c r="C2676" i="51"/>
  <c r="C2675" i="51"/>
  <c r="C2674" i="51"/>
  <c r="C2673" i="51"/>
  <c r="C2672" i="51"/>
  <c r="C2671" i="51"/>
  <c r="C2670" i="51"/>
  <c r="C2669" i="51"/>
  <c r="C2668" i="51"/>
  <c r="C2667" i="51"/>
  <c r="C2666" i="51"/>
  <c r="C2665" i="51"/>
  <c r="C2664" i="51"/>
  <c r="C2663" i="51"/>
  <c r="C2662" i="51"/>
  <c r="C2661" i="51"/>
  <c r="C2660" i="51"/>
  <c r="C2659" i="51"/>
  <c r="C2658" i="51"/>
  <c r="C2657" i="51"/>
  <c r="C2656" i="51"/>
  <c r="C2655" i="51"/>
  <c r="C2654" i="51"/>
  <c r="C2653" i="51"/>
  <c r="C2652" i="51"/>
  <c r="C2651" i="51"/>
  <c r="C2650" i="51"/>
  <c r="C2649" i="51"/>
  <c r="C2648" i="51"/>
  <c r="C2647" i="51"/>
  <c r="C2646" i="51"/>
  <c r="C2645" i="51"/>
  <c r="C2644" i="51"/>
  <c r="C2643" i="51"/>
  <c r="C2642" i="51"/>
  <c r="C2641" i="51"/>
  <c r="C2640" i="51"/>
  <c r="C2639" i="51"/>
  <c r="C2638" i="51"/>
  <c r="C2637" i="51"/>
  <c r="C2636" i="51"/>
  <c r="C2635" i="51"/>
  <c r="C2634" i="51"/>
  <c r="C2633" i="51"/>
  <c r="C2632" i="51"/>
  <c r="C2631" i="51"/>
  <c r="C2630" i="51"/>
  <c r="C2629" i="51"/>
  <c r="C2628" i="51"/>
  <c r="C2627" i="51"/>
  <c r="C2626" i="51"/>
  <c r="C2625" i="51"/>
  <c r="C2624" i="51"/>
  <c r="C2623" i="51"/>
  <c r="C2622" i="51"/>
  <c r="C2621" i="51"/>
  <c r="C2620" i="51"/>
  <c r="C2619" i="51"/>
  <c r="C2618" i="51"/>
  <c r="C2617" i="51"/>
  <c r="C2616" i="51"/>
  <c r="C2615" i="51"/>
  <c r="C2614" i="51"/>
  <c r="C2613" i="51"/>
  <c r="C2612" i="51"/>
  <c r="C2611" i="51"/>
  <c r="C2610" i="51"/>
  <c r="C2609" i="51"/>
  <c r="C2608" i="51"/>
  <c r="C2607" i="51"/>
  <c r="C2606" i="51"/>
  <c r="C2605" i="51"/>
  <c r="C2604" i="51"/>
  <c r="C2603" i="51"/>
  <c r="C2602" i="51"/>
  <c r="C2601" i="51"/>
  <c r="C2600" i="51"/>
  <c r="C2599" i="51"/>
  <c r="C2598" i="51"/>
  <c r="C2597" i="51"/>
  <c r="C2596" i="51"/>
  <c r="C2595" i="51"/>
  <c r="C2594" i="51"/>
  <c r="C2593" i="51"/>
  <c r="C2592" i="51"/>
  <c r="C2591" i="51"/>
  <c r="C2590" i="51"/>
  <c r="C2589" i="51"/>
  <c r="C2588" i="51"/>
  <c r="C2587" i="51"/>
  <c r="C2586" i="51"/>
  <c r="C2585" i="51"/>
  <c r="C2584" i="51"/>
  <c r="C2583" i="51"/>
  <c r="C2582" i="51"/>
  <c r="C2581" i="51"/>
  <c r="C2580" i="51"/>
  <c r="C2579" i="51"/>
  <c r="C2578" i="51"/>
  <c r="C2577" i="51"/>
  <c r="C2576" i="51"/>
  <c r="C2575" i="51"/>
  <c r="C2574" i="51"/>
  <c r="C2573" i="51"/>
  <c r="C2572" i="51"/>
  <c r="C2571" i="51"/>
  <c r="C2570" i="51"/>
  <c r="C2569" i="51"/>
  <c r="C2568" i="51"/>
  <c r="C2567" i="51"/>
  <c r="C2566" i="51"/>
  <c r="C2565" i="51"/>
  <c r="C2564" i="51"/>
  <c r="C2563" i="51"/>
  <c r="C2562" i="51"/>
  <c r="C2561" i="51"/>
  <c r="C2560" i="51"/>
  <c r="C2559" i="51"/>
  <c r="C2558" i="51"/>
  <c r="C2557" i="51"/>
  <c r="C2556" i="51"/>
  <c r="C2555" i="51"/>
  <c r="C2554" i="51"/>
  <c r="C2553" i="51"/>
  <c r="C2552" i="51"/>
  <c r="C2551" i="51"/>
  <c r="C2550" i="51"/>
  <c r="C2549" i="51"/>
  <c r="C2548" i="51"/>
  <c r="C2547" i="51"/>
  <c r="C2546" i="51"/>
  <c r="C2545" i="51"/>
  <c r="C2544" i="51"/>
  <c r="C2543" i="51"/>
  <c r="C2542" i="51"/>
  <c r="C2541" i="51"/>
  <c r="C2540" i="51"/>
  <c r="C2539" i="51"/>
  <c r="C2538" i="51"/>
  <c r="C2537" i="51"/>
  <c r="C2536" i="51"/>
  <c r="C2535" i="51"/>
  <c r="C2534" i="51"/>
  <c r="C2533" i="51"/>
  <c r="C2532" i="51"/>
  <c r="C2531" i="51"/>
  <c r="C2530" i="51"/>
  <c r="C2529" i="51"/>
  <c r="C2528" i="51"/>
  <c r="C2527" i="51"/>
  <c r="C2526" i="51"/>
  <c r="C2525" i="51"/>
  <c r="C2524" i="51"/>
  <c r="C2523" i="51"/>
  <c r="C2522" i="51"/>
  <c r="C2521" i="51"/>
  <c r="C2520" i="51"/>
  <c r="C2519" i="51"/>
  <c r="C2518" i="51"/>
  <c r="C2517" i="51"/>
  <c r="C2516" i="51"/>
  <c r="C2515" i="51"/>
  <c r="C2514" i="51"/>
  <c r="C2513" i="51"/>
  <c r="C2512" i="51"/>
  <c r="C2511" i="51"/>
  <c r="C2510" i="51"/>
  <c r="C2509" i="51"/>
  <c r="C2508" i="51"/>
  <c r="C2507" i="51"/>
  <c r="C2506" i="51"/>
  <c r="C2505" i="51"/>
  <c r="C2504" i="51"/>
  <c r="C2503" i="51"/>
  <c r="C2502" i="51"/>
  <c r="C2501" i="51"/>
  <c r="C2500" i="51"/>
  <c r="C2499" i="51"/>
  <c r="C2498" i="51"/>
  <c r="C2497" i="51"/>
  <c r="C2496" i="51"/>
  <c r="C2495" i="51"/>
  <c r="C2494" i="51"/>
  <c r="C2493" i="51"/>
  <c r="C2492" i="51"/>
  <c r="C2491" i="51"/>
  <c r="C2490" i="51"/>
  <c r="C2489" i="51"/>
  <c r="C2488" i="51"/>
  <c r="C2487" i="51"/>
  <c r="C2486" i="51"/>
  <c r="C2485" i="51"/>
  <c r="C2484" i="51"/>
  <c r="C2483" i="51"/>
  <c r="C2482" i="51"/>
  <c r="C2481" i="51"/>
  <c r="C2480" i="51"/>
  <c r="C2479" i="51"/>
  <c r="C2478" i="51"/>
  <c r="C2477" i="51"/>
  <c r="C2476" i="51"/>
  <c r="C2475" i="51"/>
  <c r="C2474" i="51"/>
  <c r="C2473" i="51"/>
  <c r="C2472" i="51"/>
  <c r="C2471" i="51"/>
  <c r="C2470" i="51"/>
  <c r="C2469" i="51"/>
  <c r="C2468" i="51"/>
  <c r="C2467" i="51"/>
  <c r="C2466" i="51"/>
  <c r="C2465" i="51"/>
  <c r="C2464" i="51"/>
  <c r="C2463" i="51"/>
  <c r="C2462" i="51"/>
  <c r="C2461" i="51"/>
  <c r="C2460" i="51"/>
  <c r="C2459" i="51"/>
  <c r="C2458" i="51"/>
  <c r="C2457" i="51"/>
  <c r="C2456" i="51"/>
  <c r="C2455" i="51"/>
  <c r="C2454" i="51"/>
  <c r="C2453" i="51"/>
  <c r="C2452" i="51"/>
  <c r="C2451" i="51"/>
  <c r="C2450" i="51"/>
  <c r="C2449" i="51"/>
  <c r="C2448" i="51"/>
  <c r="C2447" i="51"/>
  <c r="C2446" i="51"/>
  <c r="C2445" i="51"/>
  <c r="C2444" i="51"/>
  <c r="C2443" i="51"/>
  <c r="C2442" i="51"/>
  <c r="C2441" i="51"/>
  <c r="C2440" i="51"/>
  <c r="C2439" i="51"/>
  <c r="C2438" i="51"/>
  <c r="C2437" i="51"/>
  <c r="C2436" i="51"/>
  <c r="C2435" i="51"/>
  <c r="C2434" i="51"/>
  <c r="C2433" i="51"/>
  <c r="C2432" i="51"/>
  <c r="C2431" i="51"/>
  <c r="C2430" i="51"/>
  <c r="C2429" i="51"/>
  <c r="C2428" i="51"/>
  <c r="C2427" i="51"/>
  <c r="C2426" i="51"/>
  <c r="C2425" i="51"/>
  <c r="C2424" i="51"/>
  <c r="C2423" i="51"/>
  <c r="C2422" i="51"/>
  <c r="C2421" i="51"/>
  <c r="C2420" i="51"/>
  <c r="C2419" i="51"/>
  <c r="C2418" i="51"/>
  <c r="C2417" i="51"/>
  <c r="C2416" i="51"/>
  <c r="C2415" i="51"/>
  <c r="C2414" i="51"/>
  <c r="C2413" i="51"/>
  <c r="C2412" i="51"/>
  <c r="C2411" i="51"/>
  <c r="C2410" i="51"/>
  <c r="C2409" i="51"/>
  <c r="C2408" i="51"/>
  <c r="C2407" i="51"/>
  <c r="C2406" i="51"/>
  <c r="C2405" i="51"/>
  <c r="C2404" i="51"/>
  <c r="C2403" i="51"/>
  <c r="C2402" i="51"/>
  <c r="C2401" i="51"/>
  <c r="C2400" i="51"/>
  <c r="C2399" i="51"/>
  <c r="C2398" i="51"/>
  <c r="C2397" i="51"/>
  <c r="C2396" i="51"/>
  <c r="C2395" i="51"/>
  <c r="C2394" i="51"/>
  <c r="C2393" i="51"/>
  <c r="C2392" i="51"/>
  <c r="C2391" i="51"/>
  <c r="C2390" i="51"/>
  <c r="C2389" i="51"/>
  <c r="C2388" i="51"/>
  <c r="C2387" i="51"/>
  <c r="C2386" i="51"/>
  <c r="C2385" i="51"/>
  <c r="C2384" i="51"/>
  <c r="C2383" i="51"/>
  <c r="C2382" i="51"/>
  <c r="C2381" i="51"/>
  <c r="C2380" i="51"/>
  <c r="C2379" i="51"/>
  <c r="C2378" i="51"/>
  <c r="C2377" i="51"/>
  <c r="C2376" i="51"/>
  <c r="C2375" i="51"/>
  <c r="C2374" i="51"/>
  <c r="C2373" i="51"/>
  <c r="C2372" i="51"/>
  <c r="C2371" i="51"/>
  <c r="C2370" i="51"/>
  <c r="C2369" i="51"/>
  <c r="C2368" i="51"/>
  <c r="C2367" i="51"/>
  <c r="C2366" i="51"/>
  <c r="C2365" i="51"/>
  <c r="C2364" i="51"/>
  <c r="C2363" i="51"/>
  <c r="C2362" i="51"/>
  <c r="C2361" i="51"/>
  <c r="C2360" i="51"/>
  <c r="C2359" i="51"/>
  <c r="C2358" i="51"/>
  <c r="C2357" i="51"/>
  <c r="C2356" i="51"/>
  <c r="C2355" i="51"/>
  <c r="C2354" i="51"/>
  <c r="C2353" i="51"/>
  <c r="C2352" i="51"/>
  <c r="C2351" i="51"/>
  <c r="C2350" i="51"/>
  <c r="C2349" i="51"/>
  <c r="C2348" i="51"/>
  <c r="C2347" i="51"/>
  <c r="C2346" i="51"/>
  <c r="C2345" i="51"/>
  <c r="C2344" i="51"/>
  <c r="C2343" i="51"/>
  <c r="C2342" i="51"/>
  <c r="C2341" i="51"/>
  <c r="C2340" i="51"/>
  <c r="C2339" i="51"/>
  <c r="C2338" i="51"/>
  <c r="C2337" i="51"/>
  <c r="C2336" i="51"/>
  <c r="C2335" i="51"/>
  <c r="C2334" i="51"/>
  <c r="C2333" i="51"/>
  <c r="C2332" i="51"/>
  <c r="C2331" i="51"/>
  <c r="C2330" i="51"/>
  <c r="C2329" i="51"/>
  <c r="C2328" i="51"/>
  <c r="C2327" i="51"/>
  <c r="C2326" i="51"/>
  <c r="C2325" i="51"/>
  <c r="C2324" i="51"/>
  <c r="C2323" i="51"/>
  <c r="C2322" i="51"/>
  <c r="C2321" i="51"/>
  <c r="C2320" i="51"/>
  <c r="C2319" i="51"/>
  <c r="C2318" i="51"/>
  <c r="C2317" i="51"/>
  <c r="C2316" i="51"/>
  <c r="C2315" i="51"/>
  <c r="C2314" i="51"/>
  <c r="C2313" i="51"/>
  <c r="C2312" i="51"/>
  <c r="C2311" i="51"/>
  <c r="C2310" i="51"/>
  <c r="C2309" i="51"/>
  <c r="C2308" i="51"/>
  <c r="C2307" i="51"/>
  <c r="C2306" i="51"/>
  <c r="C2305" i="51"/>
  <c r="C2304" i="51"/>
  <c r="C2303" i="51"/>
  <c r="C2302" i="51"/>
  <c r="C2301" i="51"/>
  <c r="C2300" i="51"/>
  <c r="C2299" i="51"/>
  <c r="C2298" i="51"/>
  <c r="C2297" i="51"/>
  <c r="C2296" i="51"/>
  <c r="C2295" i="51"/>
  <c r="C2294" i="51"/>
  <c r="C2293" i="51"/>
  <c r="C2292" i="51"/>
  <c r="C2291" i="51"/>
  <c r="C2290" i="51"/>
  <c r="C2289" i="51"/>
  <c r="C2288" i="51"/>
  <c r="C2287" i="51"/>
  <c r="C2286" i="51"/>
  <c r="C2285" i="51"/>
  <c r="C2284" i="51"/>
  <c r="C2283" i="51"/>
  <c r="C2282" i="51"/>
  <c r="C2281" i="51"/>
  <c r="C2280" i="51"/>
  <c r="C2279" i="51"/>
  <c r="C2278" i="51"/>
  <c r="C2277" i="51"/>
  <c r="C2276" i="51"/>
  <c r="C2275" i="51"/>
  <c r="C2274" i="51"/>
  <c r="C2273" i="51"/>
  <c r="C2272" i="51"/>
  <c r="C2271" i="51"/>
  <c r="C2270" i="51"/>
  <c r="C2269" i="51"/>
  <c r="C2268" i="51"/>
  <c r="C2267" i="51"/>
  <c r="C2266" i="51"/>
  <c r="C2265" i="51"/>
  <c r="C2264" i="51"/>
  <c r="C2263" i="51"/>
  <c r="C2262" i="51"/>
  <c r="C2261" i="51"/>
  <c r="C2260" i="51"/>
  <c r="C2259" i="51"/>
  <c r="C2258" i="51"/>
  <c r="C2257" i="51"/>
  <c r="C2256" i="51"/>
  <c r="C2255" i="51"/>
  <c r="C2254" i="51"/>
  <c r="C2253" i="51"/>
  <c r="C2252" i="51"/>
  <c r="C2251" i="51"/>
  <c r="C2250" i="51"/>
  <c r="C2249" i="51"/>
  <c r="C2248" i="51"/>
  <c r="C2247" i="51"/>
  <c r="C2246" i="51"/>
  <c r="C2245" i="51"/>
  <c r="C2244" i="51"/>
  <c r="C2243" i="51"/>
  <c r="C2242" i="51"/>
  <c r="C2241" i="51"/>
  <c r="C2240" i="51"/>
  <c r="C2239" i="51"/>
  <c r="C2238" i="51"/>
  <c r="C2237" i="51"/>
  <c r="C2236" i="51"/>
  <c r="C2235" i="51"/>
  <c r="C2234" i="51"/>
  <c r="C2233" i="51"/>
  <c r="C2232" i="51"/>
  <c r="C2231" i="51"/>
  <c r="C2230" i="51"/>
  <c r="C2229" i="51"/>
  <c r="C2228" i="51"/>
  <c r="C2227" i="51"/>
  <c r="C2226" i="51"/>
  <c r="C2225" i="51"/>
  <c r="C2224" i="51"/>
  <c r="C2223" i="51"/>
  <c r="C2222" i="51"/>
  <c r="C2221" i="51"/>
  <c r="C2220" i="51"/>
  <c r="C2219" i="51"/>
  <c r="C2218" i="51"/>
  <c r="C2217" i="51"/>
  <c r="C2216" i="51"/>
  <c r="C2215" i="51"/>
  <c r="C2214" i="51"/>
  <c r="C2213" i="51"/>
  <c r="C2212" i="51"/>
  <c r="C2211" i="51"/>
  <c r="C2210" i="51"/>
  <c r="C2209" i="51"/>
  <c r="C2208" i="51"/>
  <c r="C2207" i="51"/>
  <c r="C2206" i="51"/>
  <c r="C2205" i="51"/>
  <c r="C2204" i="51"/>
  <c r="C2203" i="51"/>
  <c r="C2202" i="51"/>
  <c r="C2201" i="51"/>
  <c r="C2200" i="51"/>
  <c r="C2199" i="51"/>
  <c r="C2198" i="51"/>
  <c r="C2197" i="51"/>
  <c r="C2196" i="51"/>
  <c r="C2195" i="51"/>
  <c r="C2194" i="51"/>
  <c r="C2193" i="51"/>
  <c r="C2192" i="51"/>
  <c r="C2191" i="51"/>
  <c r="C2190" i="51"/>
  <c r="C2189" i="51"/>
  <c r="C2188" i="51"/>
  <c r="C2187" i="51"/>
  <c r="C2186" i="51"/>
  <c r="C2185" i="51"/>
  <c r="C2184" i="51"/>
  <c r="C2183" i="51"/>
  <c r="C2182" i="51"/>
  <c r="C2181" i="51"/>
  <c r="C2180" i="51"/>
  <c r="C2179" i="51"/>
  <c r="C2178" i="51"/>
  <c r="C2177" i="51"/>
  <c r="C2176" i="51"/>
  <c r="C2175" i="51"/>
  <c r="C2174" i="51"/>
  <c r="C2173" i="51"/>
  <c r="C2172" i="51"/>
  <c r="C2171" i="51"/>
  <c r="C2170" i="51"/>
  <c r="C2169" i="51"/>
  <c r="C2168" i="51"/>
  <c r="C2167" i="51"/>
  <c r="C2166" i="51"/>
  <c r="C2165" i="51"/>
  <c r="C2164" i="51"/>
  <c r="C2163" i="51"/>
  <c r="C2162" i="51"/>
  <c r="C2161" i="51"/>
  <c r="C2160" i="51"/>
  <c r="C2159" i="51"/>
  <c r="C2158" i="51"/>
  <c r="C2157" i="51"/>
  <c r="C2156" i="51"/>
  <c r="C2155" i="51"/>
  <c r="C2154" i="51"/>
  <c r="C2153" i="51"/>
  <c r="C2152" i="51"/>
  <c r="C2151" i="51"/>
  <c r="C2150" i="51"/>
  <c r="C2149" i="51"/>
  <c r="C2148" i="51"/>
  <c r="C2147" i="51"/>
  <c r="C2146" i="51"/>
  <c r="C2145" i="51"/>
  <c r="C2144" i="51"/>
  <c r="C2143" i="51"/>
  <c r="C2142" i="51"/>
  <c r="C2141" i="51"/>
  <c r="C2140" i="51"/>
  <c r="C2139" i="51"/>
  <c r="C2138" i="51"/>
  <c r="C2137" i="51"/>
  <c r="C2136" i="51"/>
  <c r="C2135" i="51"/>
  <c r="C2134" i="51"/>
  <c r="C2133" i="51"/>
  <c r="C2132" i="51"/>
  <c r="C2131" i="51"/>
  <c r="C2130" i="51"/>
  <c r="C2129" i="51"/>
  <c r="C2128" i="51"/>
  <c r="C2127" i="51"/>
  <c r="C2126" i="51"/>
  <c r="C2125" i="51"/>
  <c r="C2124" i="51"/>
  <c r="C2123" i="51"/>
  <c r="C2122" i="51"/>
  <c r="C2121" i="51"/>
  <c r="C2120" i="51"/>
  <c r="C2119" i="51"/>
  <c r="C2118" i="51"/>
  <c r="C2117" i="51"/>
  <c r="C2116" i="51"/>
  <c r="C2115" i="51"/>
  <c r="C2114" i="51"/>
  <c r="C2113" i="51"/>
  <c r="C2112" i="51"/>
  <c r="C2111" i="51"/>
  <c r="C2110" i="51"/>
  <c r="C2109" i="51"/>
  <c r="C2108" i="51"/>
  <c r="C2107" i="51"/>
  <c r="C2106" i="51"/>
  <c r="C2105" i="51"/>
  <c r="C2104" i="51"/>
  <c r="C2103" i="51"/>
  <c r="C2102" i="51"/>
  <c r="C2101" i="51"/>
  <c r="C2100" i="51"/>
  <c r="C2099" i="51"/>
  <c r="C2098" i="51"/>
  <c r="C2097" i="51"/>
  <c r="C2096" i="51"/>
  <c r="C2095" i="51"/>
  <c r="C2094" i="51"/>
  <c r="C2093" i="51"/>
  <c r="C2092" i="51"/>
  <c r="C2091" i="51"/>
  <c r="C2090" i="51"/>
  <c r="C2089" i="51"/>
  <c r="C2088" i="51"/>
  <c r="C2087" i="51"/>
  <c r="C2086" i="51"/>
  <c r="C2085" i="51"/>
  <c r="C2084" i="51"/>
  <c r="C2083" i="51"/>
  <c r="C2082" i="51"/>
  <c r="C2081" i="51"/>
  <c r="C2080" i="51"/>
  <c r="C2079" i="51"/>
  <c r="C2078" i="51"/>
  <c r="C2077" i="51"/>
  <c r="C2076" i="51"/>
  <c r="C2075" i="51"/>
  <c r="C2074" i="51"/>
  <c r="C2073" i="51"/>
  <c r="C2072" i="51"/>
  <c r="C2071" i="51"/>
  <c r="C2070" i="51"/>
  <c r="C2069" i="51"/>
  <c r="C2068" i="51"/>
  <c r="C2067" i="51"/>
  <c r="C2066" i="51"/>
  <c r="C2065" i="51"/>
  <c r="C2064" i="51"/>
  <c r="C2063" i="51"/>
  <c r="C2062" i="51"/>
  <c r="C2061" i="51"/>
  <c r="C2060" i="51"/>
  <c r="C2059" i="51"/>
  <c r="C2058" i="51"/>
  <c r="C2057" i="51"/>
  <c r="C2056" i="51"/>
  <c r="C2055" i="51"/>
  <c r="C2054" i="51"/>
  <c r="C2053" i="51"/>
  <c r="C2052" i="51"/>
  <c r="C2051" i="51"/>
  <c r="C2050" i="51"/>
  <c r="C2049" i="51"/>
  <c r="C2048" i="51"/>
  <c r="C2047" i="51"/>
  <c r="C2046" i="51"/>
  <c r="C2045" i="51"/>
  <c r="C2044" i="51"/>
  <c r="C2043" i="51"/>
  <c r="C2042" i="51"/>
  <c r="C2041" i="51"/>
  <c r="C2040" i="51"/>
  <c r="C2039" i="51"/>
  <c r="C2038" i="51"/>
  <c r="C2037" i="51"/>
  <c r="C2036" i="51"/>
  <c r="C2035" i="51"/>
  <c r="C2034" i="51"/>
  <c r="C2033" i="51"/>
  <c r="C2032" i="51"/>
  <c r="C2031" i="51"/>
  <c r="C2030" i="51"/>
  <c r="C2029" i="51"/>
  <c r="C2028" i="51"/>
  <c r="C2027" i="51"/>
  <c r="C2026" i="51"/>
  <c r="C2025" i="51"/>
  <c r="C2024" i="51"/>
  <c r="C2023" i="51"/>
  <c r="C2022" i="51"/>
  <c r="C2021" i="51"/>
  <c r="C2020" i="51"/>
  <c r="C2019" i="51"/>
  <c r="C2018" i="51"/>
  <c r="C2017" i="51"/>
  <c r="C2016" i="51"/>
  <c r="C2015" i="51"/>
  <c r="C2014" i="51"/>
  <c r="C2013" i="51"/>
  <c r="C2012" i="51"/>
  <c r="C2011" i="51"/>
  <c r="C2010" i="51"/>
  <c r="C2009" i="51"/>
  <c r="C2008" i="51"/>
  <c r="C2007" i="51"/>
  <c r="C2006" i="51"/>
  <c r="C2005" i="51"/>
  <c r="C2004" i="51"/>
  <c r="C2003" i="51"/>
  <c r="C2002" i="51"/>
  <c r="C2001" i="51"/>
  <c r="C2000" i="51"/>
  <c r="C1999" i="51"/>
  <c r="C1998" i="51"/>
  <c r="C1997" i="51"/>
  <c r="C1996" i="51"/>
  <c r="C1995" i="51"/>
  <c r="C1994" i="51"/>
  <c r="C1993" i="51"/>
  <c r="C1992" i="51"/>
  <c r="C1991" i="51"/>
  <c r="C1990" i="51"/>
  <c r="C1989" i="51"/>
  <c r="C1988" i="51"/>
  <c r="C1987" i="51"/>
  <c r="C1986" i="51"/>
  <c r="C1985" i="51"/>
  <c r="C1984" i="51"/>
  <c r="C1983" i="51"/>
  <c r="C1982" i="51"/>
  <c r="C1981" i="51"/>
  <c r="C1980" i="51"/>
  <c r="C1979" i="51"/>
  <c r="C1978" i="51"/>
  <c r="C1977" i="51"/>
  <c r="C1976" i="51"/>
  <c r="C1975" i="51"/>
  <c r="C1974" i="51"/>
  <c r="C1973" i="51"/>
  <c r="C1972" i="51"/>
  <c r="C1971" i="51"/>
  <c r="C1970" i="51"/>
  <c r="C1969" i="51"/>
  <c r="C1968" i="51"/>
  <c r="C1967" i="51"/>
  <c r="C1966" i="51"/>
  <c r="C1965" i="51"/>
  <c r="C1964" i="51"/>
  <c r="C1963" i="51"/>
  <c r="C1962" i="51"/>
  <c r="C1961" i="51"/>
  <c r="C1960" i="51"/>
  <c r="C1959" i="51"/>
  <c r="C1958" i="51"/>
  <c r="C1957" i="51"/>
  <c r="C1956" i="51"/>
  <c r="C1955" i="51"/>
  <c r="C1954" i="51"/>
  <c r="C1953" i="51"/>
  <c r="C1952" i="51"/>
  <c r="C1951" i="51"/>
  <c r="C1950" i="51"/>
  <c r="C1949" i="51"/>
  <c r="C1948" i="51"/>
  <c r="C1947" i="51"/>
  <c r="C1946" i="51"/>
  <c r="C1945" i="51"/>
  <c r="C1944" i="51"/>
  <c r="C1943" i="51"/>
  <c r="C1942" i="51"/>
  <c r="C1941" i="51"/>
  <c r="C1940" i="51"/>
  <c r="C1939" i="51"/>
  <c r="C1938" i="51"/>
  <c r="C1937" i="51"/>
  <c r="C1936" i="51"/>
  <c r="C1935" i="51"/>
  <c r="C1934" i="51"/>
  <c r="C1933" i="51"/>
  <c r="C1932" i="51"/>
  <c r="C1931" i="51"/>
  <c r="C1930" i="51"/>
  <c r="C1929" i="51"/>
  <c r="C1928" i="51"/>
  <c r="C1927" i="51"/>
  <c r="C1926" i="51"/>
  <c r="C1925" i="51"/>
  <c r="C1924" i="51"/>
  <c r="C1923" i="51"/>
  <c r="C1922" i="51"/>
  <c r="C1921" i="51"/>
  <c r="C1920" i="51"/>
  <c r="C1919" i="51"/>
  <c r="C1918" i="51"/>
  <c r="C1917" i="51"/>
  <c r="C1916" i="51"/>
  <c r="C1915" i="51"/>
  <c r="C1914" i="51"/>
  <c r="C1913" i="51"/>
  <c r="C1912" i="51"/>
  <c r="C1911" i="51"/>
  <c r="C1910" i="51"/>
  <c r="C1909" i="51"/>
  <c r="C1908" i="51"/>
  <c r="C1907" i="51"/>
  <c r="C1906" i="51"/>
  <c r="C1905" i="51"/>
  <c r="C1904" i="51"/>
  <c r="C1903" i="51"/>
  <c r="C1902" i="51"/>
  <c r="C1901" i="51"/>
  <c r="C1900" i="51"/>
  <c r="C1899" i="51"/>
  <c r="C1898" i="51"/>
  <c r="C1897" i="51"/>
  <c r="C1896" i="51"/>
  <c r="C1895" i="51"/>
  <c r="C1894" i="51"/>
  <c r="C1893" i="51"/>
  <c r="C1892" i="51"/>
  <c r="C1891" i="51"/>
  <c r="C1890" i="51"/>
  <c r="C1889" i="51"/>
  <c r="C1888" i="51"/>
  <c r="C1887" i="51"/>
  <c r="C1886" i="51"/>
  <c r="C1885" i="51"/>
  <c r="C1884" i="51"/>
  <c r="C1883" i="51"/>
  <c r="C1882" i="51"/>
  <c r="C1881" i="51"/>
  <c r="C1880" i="51"/>
  <c r="C1879" i="51"/>
  <c r="C1878" i="51"/>
  <c r="C1877" i="51"/>
  <c r="C1876" i="51"/>
  <c r="C1875" i="51"/>
  <c r="C1874" i="51"/>
  <c r="C1873" i="51"/>
  <c r="C1872" i="51"/>
  <c r="C1871" i="51"/>
  <c r="C1870" i="51"/>
  <c r="C1869" i="51"/>
  <c r="C1868" i="51"/>
  <c r="C1867" i="51"/>
  <c r="C1866" i="51"/>
  <c r="C1865" i="51"/>
  <c r="C1864" i="51"/>
  <c r="C1863" i="51"/>
  <c r="C1862" i="51"/>
  <c r="C1861" i="51"/>
  <c r="C1860" i="51"/>
  <c r="C1859" i="51"/>
  <c r="C1858" i="51"/>
  <c r="C1857" i="51"/>
  <c r="C1856" i="51"/>
  <c r="C1855" i="51"/>
  <c r="C1854" i="51"/>
  <c r="C1853" i="51"/>
  <c r="C1852" i="51"/>
  <c r="C1851" i="51"/>
  <c r="C1850" i="51"/>
  <c r="C1849" i="51"/>
  <c r="C1848" i="51"/>
  <c r="C1847" i="51"/>
  <c r="C1846" i="51"/>
  <c r="C1845" i="51"/>
  <c r="C1844" i="51"/>
  <c r="C1843" i="51"/>
  <c r="C1842" i="51"/>
  <c r="C1841" i="51"/>
  <c r="C1840" i="51"/>
  <c r="C1839" i="51"/>
  <c r="C1838" i="51"/>
  <c r="C1837" i="51"/>
  <c r="C1836" i="51"/>
  <c r="C1835" i="51"/>
  <c r="C1834" i="51"/>
  <c r="C1833" i="51"/>
  <c r="C1832" i="51"/>
  <c r="C1831" i="51"/>
  <c r="C1830" i="51"/>
  <c r="C1829" i="51"/>
  <c r="C1828" i="51"/>
  <c r="C1827" i="51"/>
  <c r="C1826" i="51"/>
  <c r="C1825" i="51"/>
  <c r="C1824" i="51"/>
  <c r="C1823" i="51"/>
  <c r="C1822" i="51"/>
  <c r="C1821" i="51"/>
  <c r="C1820" i="51"/>
  <c r="C1819" i="51"/>
  <c r="C1818" i="51"/>
  <c r="C1817" i="51"/>
  <c r="C1816" i="51"/>
  <c r="C1815" i="51"/>
  <c r="C1814" i="51"/>
  <c r="C1813" i="51"/>
  <c r="C1812" i="51"/>
  <c r="C1811" i="51"/>
  <c r="C1810" i="51"/>
  <c r="C1809" i="51"/>
  <c r="C1808" i="51"/>
  <c r="C1807" i="51"/>
  <c r="C1806" i="51"/>
  <c r="C1805" i="51"/>
  <c r="C1804" i="51"/>
  <c r="C1803" i="51"/>
  <c r="C1802" i="51"/>
  <c r="C1801" i="51"/>
  <c r="C1800" i="51"/>
  <c r="C1799" i="51"/>
  <c r="C1798" i="51"/>
  <c r="C1797" i="51"/>
  <c r="C1796" i="51"/>
  <c r="C1795" i="51"/>
  <c r="C1794" i="51"/>
  <c r="C1793" i="51"/>
  <c r="C1792" i="51"/>
  <c r="C1791" i="51"/>
  <c r="C1790" i="51"/>
  <c r="C1789" i="51"/>
  <c r="C1788" i="51"/>
  <c r="C1787" i="51"/>
  <c r="C1786" i="51"/>
  <c r="C1785" i="51"/>
  <c r="C1784" i="51"/>
  <c r="C1783" i="51"/>
  <c r="C1782" i="51"/>
  <c r="C1781" i="51"/>
  <c r="C1780" i="51"/>
  <c r="C1779" i="51"/>
  <c r="C1778" i="51"/>
  <c r="C1777" i="51"/>
  <c r="C1776" i="51"/>
  <c r="C1775" i="51"/>
  <c r="C1774" i="51"/>
  <c r="C1773" i="51"/>
  <c r="C1772" i="51"/>
  <c r="C1771" i="51"/>
  <c r="C1770" i="51"/>
  <c r="C1769" i="51"/>
  <c r="C1768" i="51"/>
  <c r="C1767" i="51"/>
  <c r="C1766" i="51"/>
  <c r="C1765" i="51"/>
  <c r="C1764" i="51"/>
  <c r="C1763" i="51"/>
  <c r="C1762" i="51"/>
  <c r="C1761" i="51"/>
  <c r="C1760" i="51"/>
  <c r="C1759" i="51"/>
  <c r="C1758" i="51"/>
  <c r="C1757" i="51"/>
  <c r="C1756" i="51"/>
  <c r="C1755" i="51"/>
  <c r="C1754" i="51"/>
  <c r="C1753" i="51"/>
  <c r="C1752" i="51"/>
  <c r="C1751" i="51"/>
  <c r="C1750" i="51"/>
  <c r="C1749" i="51"/>
  <c r="C1748" i="51"/>
  <c r="C1747" i="51"/>
  <c r="C1746" i="51"/>
  <c r="C1745" i="51"/>
  <c r="C1744" i="51"/>
  <c r="C1743" i="51"/>
  <c r="C1742" i="51"/>
  <c r="C1741" i="51"/>
  <c r="C1740" i="51"/>
  <c r="C1739" i="51"/>
  <c r="C1738" i="51"/>
  <c r="C1737" i="51"/>
  <c r="C1736" i="51"/>
  <c r="C1735" i="51"/>
  <c r="C1734" i="51"/>
  <c r="C1733" i="51"/>
  <c r="C1732" i="51"/>
  <c r="C1731" i="51"/>
  <c r="C1730" i="51"/>
  <c r="C1729" i="51"/>
  <c r="C1728" i="51"/>
  <c r="C1727" i="51"/>
  <c r="C1726" i="51"/>
  <c r="C1725" i="51"/>
  <c r="C1724" i="51"/>
  <c r="C1723" i="51"/>
  <c r="C1722" i="51"/>
  <c r="C1721" i="51"/>
  <c r="C1720" i="51"/>
  <c r="C1719" i="51"/>
  <c r="C1718" i="51"/>
  <c r="C1717" i="51"/>
  <c r="C1716" i="51"/>
  <c r="C1715" i="51"/>
  <c r="C1714" i="51"/>
  <c r="C1713" i="51"/>
  <c r="C1712" i="51"/>
  <c r="C1711" i="51"/>
  <c r="C1710" i="51"/>
  <c r="C1709" i="51"/>
  <c r="C1708" i="51"/>
  <c r="C1707" i="51"/>
  <c r="C1706" i="51"/>
  <c r="C1705" i="51"/>
  <c r="C1704" i="51"/>
  <c r="C1703" i="51"/>
  <c r="C1702" i="51"/>
  <c r="C1701" i="51"/>
  <c r="C1700" i="51"/>
  <c r="C1699" i="51"/>
  <c r="C1698" i="51"/>
  <c r="C1697" i="51"/>
  <c r="C1696" i="51"/>
  <c r="C1695" i="51"/>
  <c r="C1694" i="51"/>
  <c r="C1693" i="51"/>
  <c r="C1692" i="51"/>
  <c r="C1691" i="51"/>
  <c r="C1690" i="51"/>
  <c r="C1689" i="51"/>
  <c r="C1688" i="51"/>
  <c r="C1687" i="51"/>
  <c r="C1686" i="51"/>
  <c r="C1685" i="51"/>
  <c r="C1684" i="51"/>
  <c r="C1683" i="51"/>
  <c r="C1682" i="51"/>
  <c r="C1681" i="51"/>
  <c r="C1680" i="51"/>
  <c r="C1679" i="51"/>
  <c r="C1678" i="51"/>
  <c r="C1677" i="51"/>
  <c r="C1676" i="51"/>
  <c r="C1675" i="51"/>
  <c r="C1674" i="51"/>
  <c r="C1673" i="51"/>
  <c r="C1672" i="51"/>
  <c r="C1671" i="51"/>
  <c r="C1670" i="51"/>
  <c r="C1669" i="51"/>
  <c r="C1668" i="51"/>
  <c r="C1667" i="51"/>
  <c r="C1666" i="51"/>
  <c r="C1665" i="51"/>
  <c r="C1664" i="51"/>
  <c r="C1663" i="51"/>
  <c r="C1662" i="51"/>
  <c r="C1661" i="51"/>
  <c r="C1660" i="51"/>
  <c r="C1659" i="51"/>
  <c r="C1658" i="51"/>
  <c r="C1657" i="51"/>
  <c r="C1656" i="51"/>
  <c r="C1655" i="51"/>
  <c r="C1654" i="51"/>
  <c r="C1653" i="51"/>
  <c r="C1652" i="51"/>
  <c r="C1651" i="51"/>
  <c r="C1650" i="51"/>
  <c r="C1649" i="51"/>
  <c r="C1648" i="51"/>
  <c r="C1647" i="51"/>
  <c r="C1646" i="51"/>
  <c r="C1645" i="51"/>
  <c r="C1644" i="51"/>
  <c r="C1643" i="51"/>
  <c r="C1642" i="51"/>
  <c r="C1641" i="51"/>
  <c r="C1640" i="51"/>
  <c r="C1639" i="51"/>
  <c r="C1638" i="51"/>
  <c r="C1637" i="51"/>
  <c r="C1636" i="51"/>
  <c r="C1635" i="51"/>
  <c r="C1634" i="51"/>
  <c r="C1633" i="51"/>
  <c r="C1632" i="51"/>
  <c r="C1631" i="51"/>
  <c r="C1630" i="51"/>
  <c r="C1629" i="51"/>
  <c r="C1628" i="51"/>
  <c r="C1627" i="51"/>
  <c r="C1626" i="51"/>
  <c r="C1625" i="51"/>
  <c r="C1624" i="51"/>
  <c r="C1623" i="51"/>
  <c r="C1622" i="51"/>
  <c r="C1621" i="51"/>
  <c r="C1620" i="51"/>
  <c r="C1619" i="51"/>
  <c r="C1618" i="51"/>
  <c r="C1617" i="51"/>
  <c r="C1616" i="51"/>
  <c r="C1615" i="51"/>
  <c r="C1614" i="51"/>
  <c r="C1613" i="51"/>
  <c r="C1612" i="51"/>
  <c r="C1611" i="51"/>
  <c r="C1610" i="51"/>
  <c r="C1609" i="51"/>
  <c r="C1608" i="51"/>
  <c r="C1607" i="51"/>
  <c r="C1606" i="51"/>
  <c r="C1605" i="51"/>
  <c r="C1604" i="51"/>
  <c r="C1603" i="51"/>
  <c r="C1602" i="51"/>
  <c r="C1601" i="51"/>
  <c r="C1600" i="51"/>
  <c r="C1599" i="51"/>
  <c r="C1598" i="51"/>
  <c r="C1597" i="51"/>
  <c r="C1596" i="51"/>
  <c r="C1595" i="51"/>
  <c r="C1594" i="51"/>
  <c r="C1593" i="51"/>
  <c r="C1592" i="51"/>
  <c r="C1591" i="51"/>
  <c r="C1590" i="51"/>
  <c r="C1589" i="51"/>
  <c r="C1588" i="51"/>
  <c r="C1587" i="51"/>
  <c r="C1586" i="51"/>
  <c r="C1585" i="51"/>
  <c r="C1584" i="51"/>
  <c r="C1583" i="51"/>
  <c r="C1582" i="51"/>
  <c r="C1581" i="51"/>
  <c r="C1580" i="51"/>
  <c r="C1579" i="51"/>
  <c r="C1578" i="51"/>
  <c r="C1577" i="51"/>
  <c r="C1576" i="51"/>
  <c r="C1575" i="51"/>
  <c r="C1574" i="51"/>
  <c r="C1573" i="51"/>
  <c r="C1572" i="51"/>
  <c r="C1571" i="51"/>
  <c r="C1570" i="51"/>
  <c r="C1569" i="51"/>
  <c r="C1568" i="51"/>
  <c r="C1567" i="51"/>
  <c r="C1566" i="51"/>
  <c r="C1565" i="51"/>
  <c r="C1564" i="51"/>
  <c r="C1563" i="51"/>
  <c r="C1562" i="51"/>
  <c r="C1561" i="51"/>
  <c r="C1560" i="51"/>
  <c r="C1559" i="51"/>
  <c r="C1558" i="51"/>
  <c r="C1557" i="51"/>
  <c r="C1556" i="51"/>
  <c r="C1555" i="51"/>
  <c r="C1554" i="51"/>
  <c r="C1553" i="51"/>
  <c r="C1552" i="51"/>
  <c r="C1551" i="51"/>
  <c r="C1550" i="51"/>
  <c r="C1549" i="51"/>
  <c r="C1548" i="51"/>
  <c r="C1547" i="51"/>
  <c r="C1546" i="51"/>
  <c r="C1545" i="51"/>
  <c r="C1544" i="51"/>
  <c r="C1543" i="51"/>
  <c r="C1542" i="51"/>
  <c r="C1541" i="51"/>
  <c r="C1540" i="51"/>
  <c r="C1539" i="51"/>
  <c r="C1538" i="51"/>
  <c r="C1537" i="51"/>
  <c r="C1536" i="51"/>
  <c r="C1535" i="51"/>
  <c r="C1534" i="51"/>
  <c r="C1533" i="51"/>
  <c r="C1532" i="51"/>
  <c r="C1531" i="51"/>
  <c r="C1530" i="51"/>
  <c r="C1529" i="51"/>
  <c r="C1528" i="51"/>
  <c r="C1527" i="51"/>
  <c r="C1526" i="51"/>
  <c r="C1525" i="51"/>
  <c r="C1524" i="51"/>
  <c r="C1523" i="51"/>
  <c r="C1522" i="51"/>
  <c r="C1521" i="51"/>
  <c r="C1520" i="51"/>
  <c r="C1519" i="51"/>
  <c r="C1518" i="51"/>
  <c r="C1517" i="51"/>
  <c r="C1516" i="51"/>
  <c r="C1515" i="51"/>
  <c r="C1514" i="51"/>
  <c r="C1513" i="51"/>
  <c r="C1512" i="51"/>
  <c r="C1511" i="51"/>
  <c r="C1510" i="51"/>
  <c r="C1509" i="51"/>
  <c r="C1508" i="51"/>
  <c r="C1507" i="51"/>
  <c r="C1506" i="51"/>
  <c r="C1505" i="51"/>
  <c r="C1504" i="51"/>
  <c r="C1503" i="51"/>
  <c r="C1502" i="51"/>
  <c r="C1501" i="51"/>
  <c r="C1500" i="51"/>
  <c r="C1499" i="51"/>
  <c r="C1498" i="51"/>
  <c r="C1497" i="51"/>
  <c r="C1496" i="51"/>
  <c r="C1495" i="51"/>
  <c r="C1494" i="51"/>
  <c r="C1493" i="51"/>
  <c r="C1492" i="51"/>
  <c r="C1491" i="51"/>
  <c r="C1490" i="51"/>
  <c r="C1489" i="51"/>
  <c r="C1488" i="51"/>
  <c r="C1487" i="51"/>
  <c r="C1486" i="51"/>
  <c r="C1485" i="51"/>
  <c r="C1484" i="51"/>
  <c r="C1483" i="51"/>
  <c r="C1482" i="51"/>
  <c r="C1481" i="51"/>
  <c r="C1480" i="51"/>
  <c r="C1479" i="51"/>
  <c r="C1478" i="51"/>
  <c r="C1477" i="51"/>
  <c r="C1476" i="51"/>
  <c r="C1475" i="51"/>
  <c r="C1474" i="51"/>
  <c r="C1473" i="51"/>
  <c r="C1472" i="51"/>
  <c r="C1471" i="51"/>
  <c r="C1470" i="51"/>
  <c r="C1469" i="51"/>
  <c r="C1468" i="51"/>
  <c r="C1467" i="51"/>
  <c r="C1466" i="51"/>
  <c r="C1465" i="51"/>
  <c r="C1464" i="51"/>
  <c r="C1463" i="51"/>
  <c r="C1462" i="51"/>
  <c r="C1461" i="51"/>
  <c r="C1460" i="51"/>
  <c r="C1459" i="51"/>
  <c r="C1458" i="51"/>
  <c r="C1457" i="51"/>
  <c r="C1456" i="51"/>
  <c r="C1455" i="51"/>
  <c r="C1454" i="51"/>
  <c r="C1453" i="51"/>
  <c r="C1452" i="51"/>
  <c r="C1451" i="51"/>
  <c r="C1450" i="51"/>
  <c r="C1449" i="51"/>
  <c r="C1448" i="51"/>
  <c r="C1447" i="51"/>
  <c r="C1446" i="51"/>
  <c r="C1445" i="51"/>
  <c r="C1444" i="51"/>
  <c r="C1443" i="51"/>
  <c r="C1442" i="51"/>
  <c r="C1441" i="51"/>
  <c r="C1440" i="51"/>
  <c r="C1439" i="51"/>
  <c r="C1438" i="51"/>
  <c r="C1437" i="51"/>
  <c r="C1436" i="51"/>
  <c r="C1435" i="51"/>
  <c r="C1434" i="51"/>
  <c r="C1433" i="51"/>
  <c r="C1432" i="51"/>
  <c r="C1431" i="51"/>
  <c r="C1430" i="51"/>
  <c r="C1429" i="51"/>
  <c r="C1428" i="51"/>
  <c r="C1427" i="51"/>
  <c r="C1426" i="51"/>
  <c r="C1425" i="51"/>
  <c r="C1424" i="51"/>
  <c r="C1423" i="51"/>
  <c r="C1422" i="51"/>
  <c r="C1421" i="51"/>
  <c r="C1420" i="51"/>
  <c r="C1419" i="51"/>
  <c r="C1418" i="51"/>
  <c r="C1417" i="51"/>
  <c r="C1416" i="51"/>
  <c r="C1415" i="51"/>
  <c r="C1414" i="51"/>
  <c r="C1413" i="51"/>
  <c r="C1412" i="51"/>
  <c r="C1411" i="51"/>
  <c r="C1410" i="51"/>
  <c r="C1409" i="51"/>
  <c r="C1408" i="51"/>
  <c r="C1407" i="51"/>
  <c r="C1406" i="51"/>
  <c r="C1405" i="51"/>
  <c r="C1404" i="51"/>
  <c r="C1403" i="51"/>
  <c r="C1402" i="51"/>
  <c r="C1401" i="51"/>
  <c r="C1400" i="51"/>
  <c r="C1399" i="51"/>
  <c r="C1398" i="51"/>
  <c r="C1397" i="51"/>
  <c r="C1396" i="51"/>
  <c r="C1395" i="51"/>
  <c r="C1394" i="51"/>
  <c r="C1393" i="51"/>
  <c r="C1392" i="51"/>
  <c r="C1391" i="51"/>
  <c r="C1390" i="51"/>
  <c r="C1389" i="51"/>
  <c r="C1388" i="51"/>
  <c r="C1387" i="51"/>
  <c r="C1386" i="51"/>
  <c r="C1385" i="51"/>
  <c r="C1384" i="51"/>
  <c r="C1383" i="51"/>
  <c r="C1382" i="51"/>
  <c r="C1381" i="51"/>
  <c r="C1380" i="51"/>
  <c r="C1379" i="51"/>
  <c r="C1378" i="51"/>
  <c r="C1377" i="51"/>
  <c r="C1376" i="51"/>
  <c r="C1375" i="51"/>
  <c r="C1374" i="51"/>
  <c r="C1373" i="51"/>
  <c r="C1372" i="51"/>
  <c r="C1371" i="51"/>
  <c r="C1370" i="51"/>
  <c r="C1369" i="51"/>
  <c r="C1368" i="51"/>
  <c r="C1367" i="51"/>
  <c r="C1366" i="51"/>
  <c r="C1365" i="51"/>
  <c r="C1364" i="51"/>
  <c r="C1363" i="51"/>
  <c r="C1362" i="51"/>
  <c r="C1361" i="51"/>
  <c r="C1360" i="51"/>
  <c r="C1359" i="51"/>
  <c r="C1358" i="51"/>
  <c r="C1357" i="51"/>
  <c r="C1356" i="51"/>
  <c r="C1355" i="51"/>
  <c r="C1354" i="51"/>
  <c r="C1353" i="51"/>
  <c r="C1352" i="51"/>
  <c r="C1351" i="51"/>
  <c r="C1350" i="51"/>
  <c r="C1349" i="51"/>
  <c r="C1348" i="51"/>
  <c r="C1347" i="51"/>
  <c r="C1346" i="51"/>
  <c r="C1345" i="51"/>
  <c r="C1344" i="51"/>
  <c r="C1343" i="51"/>
  <c r="C1342" i="51"/>
  <c r="C1341" i="51"/>
  <c r="C1340" i="51"/>
  <c r="C1339" i="51"/>
  <c r="C1338" i="51"/>
  <c r="C1337" i="51"/>
  <c r="C1336" i="51"/>
  <c r="C1335" i="51"/>
  <c r="C1334" i="51"/>
  <c r="C1333" i="51"/>
  <c r="C1332" i="51"/>
  <c r="C1331" i="51"/>
  <c r="C1330" i="51"/>
  <c r="C1329" i="51"/>
  <c r="C1328" i="51"/>
  <c r="C1327" i="51"/>
  <c r="C1326" i="51"/>
  <c r="C1325" i="51"/>
  <c r="C1324" i="51"/>
  <c r="C1323" i="51"/>
  <c r="C1322" i="51"/>
  <c r="C1321" i="51"/>
  <c r="C1320" i="51"/>
  <c r="C1319" i="51"/>
  <c r="C1318" i="51"/>
  <c r="C1317" i="51"/>
  <c r="C1316" i="51"/>
  <c r="C1315" i="51"/>
  <c r="C1314" i="51"/>
  <c r="C1313" i="51"/>
  <c r="C1312" i="51"/>
  <c r="C1311" i="51"/>
  <c r="C1310" i="51"/>
  <c r="C1309" i="51"/>
  <c r="C1308" i="51"/>
  <c r="C1307" i="51"/>
  <c r="C1306" i="51"/>
  <c r="C1305" i="51"/>
  <c r="C1304" i="51"/>
  <c r="C1303" i="51"/>
  <c r="C1302" i="51"/>
  <c r="C1301" i="51"/>
  <c r="C1300" i="51"/>
  <c r="C1299" i="51"/>
  <c r="C1298" i="51"/>
  <c r="C1297" i="51"/>
  <c r="C1296" i="51"/>
  <c r="C1295" i="51"/>
  <c r="C1294" i="51"/>
  <c r="C1293" i="51"/>
  <c r="C1292" i="51"/>
  <c r="C1291" i="51"/>
  <c r="C1290" i="51"/>
  <c r="C1289" i="51"/>
  <c r="C1288" i="51"/>
  <c r="C1287" i="51"/>
  <c r="C1286" i="51"/>
  <c r="C1285" i="51"/>
  <c r="C1284" i="51"/>
  <c r="C1283" i="51"/>
  <c r="C1282" i="51"/>
  <c r="C1281" i="51"/>
  <c r="C1280" i="51"/>
  <c r="C1279" i="51"/>
  <c r="C1278" i="51"/>
  <c r="C1277" i="51"/>
  <c r="C1276" i="51"/>
  <c r="C1275" i="51"/>
  <c r="C1274" i="51"/>
  <c r="C1273" i="51"/>
  <c r="C1272" i="51"/>
  <c r="C1271" i="51"/>
  <c r="C1270" i="51"/>
  <c r="C1269" i="51"/>
  <c r="C1268" i="51"/>
  <c r="C1267" i="51"/>
  <c r="C1266" i="51"/>
  <c r="C1265" i="51"/>
  <c r="C1264" i="51"/>
  <c r="C1263" i="51"/>
  <c r="C1262" i="51"/>
  <c r="C1261" i="51"/>
  <c r="C1260" i="51"/>
  <c r="C1259" i="51"/>
  <c r="C1258" i="51"/>
  <c r="C1257" i="51"/>
  <c r="C1256" i="51"/>
  <c r="C1255" i="51"/>
  <c r="C1254" i="51"/>
  <c r="C1253" i="51"/>
  <c r="C1252" i="51"/>
  <c r="C1251" i="51"/>
  <c r="C1250" i="51"/>
  <c r="C1249" i="51"/>
  <c r="C1248" i="51"/>
  <c r="C1247" i="51"/>
  <c r="C1246" i="51"/>
  <c r="C1245" i="51"/>
  <c r="C1244" i="51"/>
  <c r="C1243" i="51"/>
  <c r="C1242" i="51"/>
  <c r="C1241" i="51"/>
  <c r="C1240" i="51"/>
  <c r="C1239" i="51"/>
  <c r="C1238" i="51"/>
  <c r="C1237" i="51"/>
  <c r="C1236" i="51"/>
  <c r="C1235" i="51"/>
  <c r="C1234" i="51"/>
  <c r="C1233" i="51"/>
  <c r="C1232" i="51"/>
  <c r="C1231" i="51"/>
  <c r="C1230" i="51"/>
  <c r="C1229" i="51"/>
  <c r="C1228" i="51"/>
  <c r="C1227" i="51"/>
  <c r="C1226" i="51"/>
  <c r="C1225" i="51"/>
  <c r="C1224" i="51"/>
  <c r="C1223" i="51"/>
  <c r="C1222" i="51"/>
  <c r="C1221" i="51"/>
  <c r="C1220" i="51"/>
  <c r="C1219" i="51"/>
  <c r="C1218" i="51"/>
  <c r="C1217" i="51"/>
  <c r="C1216" i="51"/>
  <c r="C1215" i="51"/>
  <c r="C1214" i="51"/>
  <c r="C1213" i="51"/>
  <c r="C1212" i="51"/>
  <c r="C1211" i="51"/>
  <c r="C1210" i="51"/>
  <c r="C1209" i="51"/>
  <c r="C1208" i="51"/>
  <c r="C1207" i="51"/>
  <c r="C1206" i="51"/>
  <c r="C1205" i="51"/>
  <c r="C1204" i="51"/>
  <c r="C1203" i="51"/>
  <c r="C1202" i="51"/>
  <c r="C1201" i="51"/>
  <c r="C1200" i="51"/>
  <c r="C1199" i="51"/>
  <c r="C1198" i="51"/>
  <c r="C1197" i="51"/>
  <c r="C1196" i="51"/>
  <c r="C1195" i="51"/>
  <c r="C1194" i="51"/>
  <c r="C1193" i="51"/>
  <c r="C1192" i="51"/>
  <c r="C1191" i="51"/>
  <c r="C1190" i="51"/>
  <c r="C1189" i="51"/>
  <c r="C1188" i="51"/>
  <c r="C1187" i="51"/>
  <c r="C1186" i="51"/>
  <c r="C1185" i="51"/>
  <c r="C1184" i="51"/>
  <c r="C1183" i="51"/>
  <c r="C1182" i="51"/>
  <c r="C1181" i="51"/>
  <c r="C1180" i="51"/>
  <c r="C1179" i="51"/>
  <c r="C1178" i="51"/>
  <c r="C1177" i="51"/>
  <c r="C1176" i="51"/>
  <c r="C1175" i="51"/>
  <c r="C1174" i="51"/>
  <c r="C1173" i="51"/>
  <c r="C1172" i="51"/>
  <c r="C1171" i="51"/>
  <c r="C1170" i="51"/>
  <c r="C1169" i="51"/>
  <c r="C1168" i="51"/>
  <c r="C1167" i="51"/>
  <c r="C1166" i="51"/>
  <c r="C1165" i="51"/>
  <c r="C1164" i="51"/>
  <c r="C1163" i="51"/>
  <c r="C1162" i="51"/>
  <c r="C1161" i="51"/>
  <c r="C1160" i="51"/>
  <c r="C1159" i="51"/>
  <c r="C1158" i="51"/>
  <c r="C1157" i="51"/>
  <c r="C1156" i="51"/>
  <c r="C1155" i="51"/>
  <c r="C1154" i="51"/>
  <c r="C1153" i="51"/>
  <c r="C1152" i="51"/>
  <c r="C1151" i="51"/>
  <c r="C1150" i="51"/>
  <c r="C1149" i="51"/>
  <c r="C1148" i="51"/>
  <c r="C1147" i="51"/>
  <c r="C1146" i="51"/>
  <c r="C1145" i="51"/>
  <c r="C1144" i="51"/>
  <c r="C1143" i="51"/>
  <c r="C1142" i="51"/>
  <c r="C1141" i="51"/>
  <c r="C1140" i="51"/>
  <c r="C1139" i="51"/>
  <c r="C1138" i="51"/>
  <c r="C1137" i="51"/>
  <c r="C1136" i="51"/>
  <c r="C1135" i="51"/>
  <c r="C1134" i="51"/>
  <c r="C1133" i="51"/>
  <c r="C1132" i="51"/>
  <c r="C1131" i="51"/>
  <c r="C1130" i="51"/>
  <c r="C1129" i="51"/>
  <c r="C1128" i="51"/>
  <c r="C1127" i="51"/>
  <c r="C1126" i="51"/>
  <c r="C1125" i="51"/>
  <c r="C1124" i="51"/>
  <c r="C1123" i="51"/>
  <c r="C1122" i="51"/>
  <c r="C1121" i="51"/>
  <c r="C1120" i="51"/>
  <c r="C1119" i="51"/>
  <c r="C1118" i="51"/>
  <c r="C1117" i="51"/>
  <c r="C1116" i="51"/>
  <c r="C1115" i="51"/>
  <c r="C1114" i="51"/>
  <c r="C1113" i="51"/>
  <c r="C1112" i="51"/>
  <c r="C1111" i="51"/>
  <c r="C1110" i="51"/>
  <c r="C1109" i="51"/>
  <c r="C1108" i="51"/>
  <c r="C1107" i="51"/>
  <c r="C1106" i="51"/>
  <c r="C1105" i="51"/>
  <c r="C1104" i="51"/>
  <c r="C1103" i="51"/>
  <c r="C1102" i="51"/>
  <c r="C1101" i="51"/>
  <c r="C1100" i="51"/>
  <c r="C1099" i="51"/>
  <c r="C1098" i="51"/>
  <c r="C1097" i="51"/>
  <c r="C1096" i="51"/>
  <c r="C1095" i="51"/>
  <c r="C1094" i="51"/>
  <c r="C1093" i="51"/>
  <c r="C1092" i="51"/>
  <c r="C1091" i="51"/>
  <c r="C1090" i="51"/>
  <c r="C1089" i="51"/>
  <c r="C1088" i="51"/>
  <c r="C1087" i="51"/>
  <c r="C1086" i="51"/>
  <c r="C1085" i="51"/>
  <c r="C1084" i="51"/>
  <c r="C1083" i="51"/>
  <c r="C1082" i="51"/>
  <c r="C1081" i="51"/>
  <c r="C1080" i="51"/>
  <c r="C1079" i="51"/>
  <c r="C1078" i="51"/>
  <c r="C1077" i="51"/>
  <c r="C1076" i="51"/>
  <c r="C1075" i="51"/>
  <c r="C1074" i="51"/>
  <c r="C1073" i="51"/>
  <c r="C1072" i="51"/>
  <c r="C1071" i="51"/>
  <c r="C1070" i="51"/>
  <c r="C1069" i="51"/>
  <c r="C1068" i="51"/>
  <c r="C1067" i="51"/>
  <c r="C1066" i="51"/>
  <c r="C1065" i="51"/>
  <c r="C1064" i="51"/>
  <c r="C1063" i="51"/>
  <c r="C1062" i="51"/>
  <c r="C1061" i="51"/>
  <c r="C1060" i="51"/>
  <c r="C1059" i="51"/>
  <c r="C1058" i="51"/>
  <c r="C1057" i="51"/>
  <c r="C1056" i="51"/>
  <c r="C1055" i="51"/>
  <c r="C1054" i="51"/>
  <c r="C1053" i="51"/>
  <c r="C1052" i="51"/>
  <c r="C1051" i="51"/>
  <c r="C1050" i="51"/>
  <c r="C1049" i="51"/>
  <c r="C1048" i="51"/>
  <c r="C1047" i="51"/>
  <c r="C1046" i="51"/>
  <c r="C1045" i="51"/>
  <c r="C1044" i="51"/>
  <c r="C1043" i="51"/>
  <c r="C1042" i="51"/>
  <c r="C1041" i="51"/>
  <c r="C1040" i="51"/>
  <c r="C1039" i="51"/>
  <c r="C1038" i="51"/>
  <c r="C1037" i="51"/>
  <c r="C1036" i="51"/>
  <c r="C1035" i="51"/>
  <c r="C1034" i="51"/>
  <c r="C1033" i="51"/>
  <c r="C1032" i="51"/>
  <c r="C1031" i="51"/>
  <c r="C1030" i="51"/>
  <c r="C1029" i="51"/>
  <c r="C1028" i="51"/>
  <c r="C1027" i="51"/>
  <c r="C1026" i="51"/>
  <c r="C1025" i="51"/>
  <c r="C1024" i="51"/>
  <c r="C1023" i="51"/>
  <c r="C1022" i="51"/>
  <c r="C1021" i="51"/>
  <c r="C1020" i="51"/>
  <c r="C1019" i="51"/>
  <c r="C1018" i="51"/>
  <c r="C1017" i="51"/>
  <c r="C1016" i="51"/>
  <c r="C1015" i="51"/>
  <c r="C1014" i="51"/>
  <c r="C1013" i="51"/>
  <c r="C1012" i="51"/>
  <c r="C1011" i="51"/>
  <c r="C1010" i="51"/>
  <c r="C1009" i="51"/>
  <c r="C1008" i="51"/>
  <c r="C1007" i="51"/>
  <c r="C1006" i="51"/>
  <c r="C1005" i="51"/>
  <c r="C1004" i="51"/>
  <c r="C1003" i="51"/>
  <c r="C1002" i="51"/>
  <c r="C1001" i="51"/>
  <c r="C1000" i="51"/>
  <c r="C999" i="51"/>
  <c r="C998" i="51"/>
  <c r="C997" i="51"/>
  <c r="C996" i="51"/>
  <c r="C995" i="51"/>
  <c r="C994" i="51"/>
  <c r="C993" i="51"/>
  <c r="C992" i="51"/>
  <c r="C991" i="51"/>
  <c r="C990" i="51"/>
  <c r="C989" i="51"/>
  <c r="C988" i="51"/>
  <c r="C987" i="51"/>
  <c r="C986" i="51"/>
  <c r="C985" i="51"/>
  <c r="C984" i="51"/>
  <c r="C983" i="51"/>
  <c r="C982" i="51"/>
  <c r="C981" i="51"/>
  <c r="C980" i="51"/>
  <c r="C979" i="51"/>
  <c r="C978" i="51"/>
  <c r="C977" i="51"/>
  <c r="C976" i="51"/>
  <c r="C975" i="51"/>
  <c r="C974" i="51"/>
  <c r="C973" i="51"/>
  <c r="C972" i="51"/>
  <c r="C971" i="51"/>
  <c r="C970" i="51"/>
  <c r="C969" i="51"/>
  <c r="C968" i="51"/>
  <c r="C967" i="51"/>
  <c r="C966" i="51"/>
  <c r="C965" i="51"/>
  <c r="C964" i="51"/>
  <c r="C963" i="51"/>
  <c r="C962" i="51"/>
  <c r="C961" i="51"/>
  <c r="C960" i="51"/>
  <c r="C959" i="51"/>
  <c r="C958" i="51"/>
  <c r="C957" i="51"/>
  <c r="C956" i="51"/>
  <c r="C955" i="51"/>
  <c r="C954" i="51"/>
  <c r="C953" i="51"/>
  <c r="C952" i="51"/>
  <c r="C951" i="51"/>
  <c r="C950" i="51"/>
  <c r="C949" i="51"/>
  <c r="C948" i="51"/>
  <c r="C947" i="51"/>
  <c r="C946" i="51"/>
  <c r="C945" i="51"/>
  <c r="C944" i="51"/>
  <c r="C943" i="51"/>
  <c r="C942" i="51"/>
  <c r="C941" i="51"/>
  <c r="C940" i="51"/>
  <c r="C939" i="51"/>
  <c r="C938" i="51"/>
  <c r="C937" i="51"/>
  <c r="C936" i="51"/>
  <c r="C935" i="51"/>
  <c r="C934" i="51"/>
  <c r="C933" i="51"/>
  <c r="C932" i="51"/>
  <c r="C931" i="51"/>
  <c r="C930" i="51"/>
  <c r="C929" i="51"/>
  <c r="C928" i="51"/>
  <c r="C927" i="51"/>
  <c r="C926" i="51"/>
  <c r="C925" i="51"/>
  <c r="C924" i="51"/>
  <c r="C923" i="51"/>
  <c r="C922" i="51"/>
  <c r="C921" i="51"/>
  <c r="C920" i="51"/>
  <c r="C919" i="51"/>
  <c r="C918" i="51"/>
  <c r="C917" i="51"/>
  <c r="C916" i="51"/>
  <c r="C915" i="51"/>
  <c r="C914" i="51"/>
  <c r="C913" i="51"/>
  <c r="C912" i="51"/>
  <c r="C911" i="51"/>
  <c r="C910" i="51"/>
  <c r="C909" i="51"/>
  <c r="C908" i="51"/>
  <c r="C907" i="51"/>
  <c r="C906" i="51"/>
  <c r="C905" i="51"/>
  <c r="C904" i="51"/>
  <c r="C903" i="51"/>
  <c r="C902" i="51"/>
  <c r="C901" i="51"/>
  <c r="C900" i="51"/>
  <c r="C899" i="51"/>
  <c r="C898" i="51"/>
  <c r="C897" i="51"/>
  <c r="C896" i="51"/>
  <c r="C895" i="51"/>
  <c r="C894" i="51"/>
  <c r="C893" i="51"/>
  <c r="C892" i="51"/>
  <c r="C891" i="51"/>
  <c r="C890" i="51"/>
  <c r="C889" i="51"/>
  <c r="C888" i="51"/>
  <c r="C887" i="51"/>
  <c r="C886" i="51"/>
  <c r="C885" i="51"/>
  <c r="C884" i="51"/>
  <c r="C883" i="51"/>
  <c r="C882" i="51"/>
  <c r="C881" i="51"/>
  <c r="C880" i="51"/>
  <c r="C879" i="51"/>
  <c r="C878" i="51"/>
  <c r="C877" i="51"/>
  <c r="C876" i="51"/>
  <c r="C875" i="51"/>
  <c r="C874" i="51"/>
  <c r="C873" i="51"/>
  <c r="C872" i="51"/>
  <c r="C871" i="51"/>
  <c r="C870" i="51"/>
  <c r="C869" i="51"/>
  <c r="C868" i="51"/>
  <c r="C867" i="51"/>
  <c r="C866" i="51"/>
  <c r="C865" i="51"/>
  <c r="C864" i="51"/>
  <c r="C863" i="51"/>
  <c r="C862" i="51"/>
  <c r="C861" i="51"/>
  <c r="C860" i="51"/>
  <c r="C859" i="51"/>
  <c r="C858" i="51"/>
  <c r="C857" i="51"/>
  <c r="C856" i="51"/>
  <c r="C855" i="51"/>
  <c r="C854" i="51"/>
  <c r="C853" i="51"/>
  <c r="C852" i="51"/>
  <c r="C851" i="51"/>
  <c r="C850" i="51"/>
  <c r="C849" i="51"/>
  <c r="C848" i="51"/>
  <c r="C847" i="51"/>
  <c r="C846" i="51"/>
  <c r="C845" i="51"/>
  <c r="C844" i="51"/>
  <c r="C843" i="51"/>
  <c r="C842" i="51"/>
  <c r="C841" i="51"/>
  <c r="C840" i="51"/>
  <c r="C839" i="51"/>
  <c r="C838" i="51"/>
  <c r="C837" i="51"/>
  <c r="C836" i="51"/>
  <c r="C835" i="51"/>
  <c r="C834" i="51"/>
  <c r="C833" i="51"/>
  <c r="C832" i="51"/>
  <c r="C831" i="51"/>
  <c r="C830" i="51"/>
  <c r="C829" i="51"/>
  <c r="C828" i="51"/>
  <c r="C827" i="51"/>
  <c r="C826" i="51"/>
  <c r="C825" i="51"/>
  <c r="C824" i="51"/>
  <c r="C823" i="51"/>
  <c r="C822" i="51"/>
  <c r="C821" i="51"/>
  <c r="C820" i="51"/>
  <c r="C819" i="51"/>
  <c r="C818" i="51"/>
  <c r="C817" i="51"/>
  <c r="C816" i="51"/>
  <c r="C815" i="51"/>
  <c r="C814" i="51"/>
  <c r="C813" i="51"/>
  <c r="C812" i="51"/>
  <c r="C811" i="51"/>
  <c r="C810" i="51"/>
  <c r="C809" i="51"/>
  <c r="C808" i="51"/>
  <c r="C807" i="51"/>
  <c r="C806" i="51"/>
  <c r="C805" i="51"/>
  <c r="C804" i="51"/>
  <c r="C803" i="51"/>
  <c r="C802" i="51"/>
  <c r="C801" i="51"/>
  <c r="C800" i="51"/>
  <c r="C799" i="51"/>
  <c r="C798" i="51"/>
  <c r="C797" i="51"/>
  <c r="C796" i="51"/>
  <c r="C795" i="51"/>
  <c r="C794" i="51"/>
  <c r="C793" i="51"/>
  <c r="C792" i="51"/>
  <c r="C791" i="51"/>
  <c r="C790" i="51"/>
  <c r="C789" i="51"/>
  <c r="C788" i="51"/>
  <c r="C787" i="51"/>
  <c r="C786" i="51"/>
  <c r="C785" i="51"/>
  <c r="C784" i="51"/>
  <c r="C783" i="51"/>
  <c r="C782" i="51"/>
  <c r="C781" i="51"/>
  <c r="C780" i="51"/>
  <c r="C779" i="51"/>
  <c r="C778" i="51"/>
  <c r="C777" i="51"/>
  <c r="C776" i="51"/>
  <c r="C775" i="51"/>
  <c r="C774" i="51"/>
  <c r="C773" i="51"/>
  <c r="C772" i="51"/>
  <c r="C771" i="51"/>
  <c r="C770" i="51"/>
  <c r="C769" i="51"/>
  <c r="C768" i="51"/>
  <c r="C767" i="51"/>
  <c r="C766" i="51"/>
  <c r="C765" i="51"/>
  <c r="C764" i="51"/>
  <c r="C763" i="51"/>
  <c r="C762" i="51"/>
  <c r="C761" i="51"/>
  <c r="C760" i="51"/>
  <c r="C759" i="51"/>
  <c r="C758" i="51"/>
  <c r="C757" i="51"/>
  <c r="C756" i="51"/>
  <c r="C755" i="51"/>
  <c r="C754" i="51"/>
  <c r="C753" i="51"/>
  <c r="C752" i="51"/>
  <c r="C751" i="51"/>
  <c r="C750" i="51"/>
  <c r="C749" i="51"/>
  <c r="C748" i="51"/>
  <c r="C747" i="51"/>
  <c r="C746" i="51"/>
  <c r="C745" i="51"/>
  <c r="C744" i="51"/>
  <c r="C743" i="51"/>
  <c r="C742" i="51"/>
  <c r="C741" i="51"/>
  <c r="C740" i="51"/>
  <c r="C739" i="51"/>
  <c r="C738" i="51"/>
  <c r="C737" i="51"/>
  <c r="C736" i="51"/>
  <c r="C735" i="51"/>
  <c r="C734" i="51"/>
  <c r="C733" i="51"/>
  <c r="C732" i="51"/>
  <c r="C731" i="51"/>
  <c r="C730" i="51"/>
  <c r="C729" i="51"/>
  <c r="C728" i="51"/>
  <c r="C727" i="51"/>
  <c r="C726" i="51"/>
  <c r="C725" i="51"/>
  <c r="C724" i="51"/>
  <c r="C723" i="51"/>
  <c r="C722" i="51"/>
  <c r="C721" i="51"/>
  <c r="C720" i="51"/>
  <c r="C719" i="51"/>
  <c r="C718" i="51"/>
  <c r="C717" i="51"/>
  <c r="C716" i="51"/>
  <c r="C715" i="51"/>
  <c r="C714" i="51"/>
  <c r="C713" i="51"/>
  <c r="C712" i="51"/>
  <c r="C711" i="51"/>
  <c r="C710" i="51"/>
  <c r="C709" i="51"/>
  <c r="C708" i="51"/>
  <c r="C707" i="51"/>
  <c r="C706" i="51"/>
  <c r="C705" i="51"/>
  <c r="C704" i="51"/>
  <c r="C703" i="51"/>
  <c r="C702" i="51"/>
  <c r="C701" i="51"/>
  <c r="C700" i="51"/>
  <c r="C699" i="51"/>
  <c r="C698" i="51"/>
  <c r="C697" i="51"/>
  <c r="C696" i="51"/>
  <c r="C695" i="51"/>
  <c r="C694" i="51"/>
  <c r="C693" i="51"/>
  <c r="C692" i="51"/>
  <c r="C691" i="51"/>
  <c r="C690" i="51"/>
  <c r="C689" i="51"/>
  <c r="C688" i="51"/>
  <c r="C687" i="51"/>
  <c r="C686" i="51"/>
  <c r="C685" i="51"/>
  <c r="C684" i="51"/>
  <c r="C683" i="51"/>
  <c r="C682" i="51"/>
  <c r="C681" i="51"/>
  <c r="C680" i="51"/>
  <c r="C679" i="51"/>
  <c r="C678" i="51"/>
  <c r="C677" i="51"/>
  <c r="C676" i="51"/>
  <c r="C675" i="51"/>
  <c r="C674" i="51"/>
  <c r="C673" i="51"/>
  <c r="C672" i="51"/>
  <c r="C671" i="51"/>
  <c r="C670" i="51"/>
  <c r="C669" i="51"/>
  <c r="C668" i="51"/>
  <c r="C667" i="51"/>
  <c r="C666" i="51"/>
  <c r="C665" i="51"/>
  <c r="C664" i="51"/>
  <c r="C663" i="51"/>
  <c r="C662" i="51"/>
  <c r="C661" i="51"/>
  <c r="C660" i="51"/>
  <c r="C659" i="51"/>
  <c r="C658" i="51"/>
  <c r="C657" i="51"/>
  <c r="C656" i="51"/>
  <c r="C655" i="51"/>
  <c r="C654" i="51"/>
  <c r="C653" i="51"/>
  <c r="C652" i="51"/>
  <c r="C651" i="51"/>
  <c r="C650" i="51"/>
  <c r="C649" i="51"/>
  <c r="C648" i="51"/>
  <c r="C647" i="51"/>
  <c r="C646" i="51"/>
  <c r="C645" i="51"/>
  <c r="C644" i="51"/>
  <c r="C643" i="51"/>
  <c r="C642" i="51"/>
  <c r="C641" i="51"/>
  <c r="C640" i="51"/>
  <c r="C639" i="51"/>
  <c r="C638" i="51"/>
  <c r="C637" i="51"/>
  <c r="C636" i="51"/>
  <c r="C635" i="51"/>
  <c r="C634" i="51"/>
  <c r="C633" i="51"/>
  <c r="C632" i="51"/>
  <c r="C631" i="51"/>
  <c r="C630" i="51"/>
  <c r="C629" i="51"/>
  <c r="C628" i="51"/>
  <c r="C627" i="51"/>
  <c r="C626" i="51"/>
  <c r="C625" i="51"/>
  <c r="C624" i="51"/>
  <c r="C623" i="51"/>
  <c r="C622" i="51"/>
  <c r="C621" i="51"/>
  <c r="C620" i="51"/>
  <c r="C619" i="51"/>
  <c r="C618" i="51"/>
  <c r="C617" i="51"/>
  <c r="C616" i="51"/>
  <c r="C615" i="51"/>
  <c r="C614" i="51"/>
  <c r="C613" i="51"/>
  <c r="C612" i="51"/>
  <c r="C611" i="51"/>
  <c r="C610" i="51"/>
  <c r="C609" i="51"/>
  <c r="C608" i="51"/>
  <c r="C607" i="51"/>
  <c r="C606" i="51"/>
  <c r="C605" i="51"/>
  <c r="C604" i="51"/>
  <c r="C603" i="51"/>
  <c r="C602" i="51"/>
  <c r="C601" i="51"/>
  <c r="C600" i="51"/>
  <c r="C599" i="51"/>
  <c r="C598" i="51"/>
  <c r="C597" i="51"/>
  <c r="C596" i="51"/>
  <c r="C595" i="51"/>
  <c r="C594" i="51"/>
  <c r="C593" i="51"/>
  <c r="C592" i="51"/>
  <c r="C591" i="51"/>
  <c r="C590" i="51"/>
  <c r="C589" i="51"/>
  <c r="C588" i="51"/>
  <c r="C587" i="51"/>
  <c r="C586" i="51"/>
  <c r="C585" i="51"/>
  <c r="C584" i="51"/>
  <c r="C583" i="51"/>
  <c r="C582" i="51"/>
  <c r="C581" i="51"/>
  <c r="C580" i="51"/>
  <c r="C579" i="51"/>
  <c r="C578" i="51"/>
  <c r="C577" i="51"/>
  <c r="C576" i="51"/>
  <c r="C575" i="51"/>
  <c r="C574" i="51"/>
  <c r="C573" i="51"/>
  <c r="C572" i="51"/>
  <c r="C571" i="51"/>
  <c r="C570" i="51"/>
  <c r="C569" i="51"/>
  <c r="C568" i="51"/>
  <c r="C567" i="51"/>
  <c r="C566" i="51"/>
  <c r="C565" i="51"/>
  <c r="C564" i="51"/>
  <c r="C563" i="51"/>
  <c r="C562" i="51"/>
  <c r="C561" i="51"/>
  <c r="C560" i="51"/>
  <c r="C559" i="51"/>
  <c r="C558" i="51"/>
  <c r="C557" i="51"/>
  <c r="C556" i="51"/>
  <c r="C555" i="51"/>
  <c r="C554" i="51"/>
  <c r="C553" i="51"/>
  <c r="C552" i="51"/>
  <c r="C551" i="51"/>
  <c r="C550" i="51"/>
  <c r="C549" i="51"/>
  <c r="C548" i="51"/>
  <c r="C547" i="51"/>
  <c r="C546" i="51"/>
  <c r="C545" i="51"/>
  <c r="C544" i="51"/>
  <c r="C543" i="51"/>
  <c r="C542" i="51"/>
  <c r="C541" i="51"/>
  <c r="C540" i="51"/>
  <c r="C539" i="51"/>
  <c r="C538" i="51"/>
  <c r="C537" i="51"/>
  <c r="C536" i="51"/>
  <c r="C535" i="51"/>
  <c r="C534" i="51"/>
  <c r="C533" i="51"/>
  <c r="C532" i="51"/>
  <c r="C531" i="51"/>
  <c r="C530" i="51"/>
  <c r="C529" i="51"/>
  <c r="C528" i="51"/>
  <c r="C527" i="51"/>
  <c r="C526" i="51"/>
  <c r="C525" i="51"/>
  <c r="C524" i="51"/>
  <c r="C523" i="51"/>
  <c r="C522" i="51"/>
  <c r="C521" i="51"/>
  <c r="C520" i="51"/>
  <c r="C519" i="51"/>
  <c r="C518" i="51"/>
  <c r="C517" i="51"/>
  <c r="C516" i="51"/>
  <c r="C515" i="51"/>
  <c r="C514" i="51"/>
  <c r="C513" i="51"/>
  <c r="C512" i="51"/>
  <c r="C511" i="51"/>
  <c r="C510" i="51"/>
  <c r="C509" i="51"/>
  <c r="C508" i="51"/>
  <c r="C507" i="51"/>
  <c r="C506" i="51"/>
  <c r="C505" i="51"/>
  <c r="C504" i="51"/>
  <c r="C503" i="51"/>
  <c r="C502" i="51"/>
  <c r="C501" i="51"/>
  <c r="C500" i="51"/>
  <c r="C499" i="51"/>
  <c r="C498" i="51"/>
  <c r="C497" i="51"/>
  <c r="C496" i="51"/>
  <c r="C495" i="51"/>
  <c r="C494" i="51"/>
  <c r="C493" i="51"/>
  <c r="C492" i="51"/>
  <c r="C491" i="51"/>
  <c r="C490" i="51"/>
  <c r="C489" i="51"/>
  <c r="C488" i="51"/>
  <c r="C487" i="51"/>
  <c r="C486" i="51"/>
  <c r="C485" i="51"/>
  <c r="C484" i="51"/>
  <c r="C483" i="51"/>
  <c r="C482" i="51"/>
  <c r="C481" i="51"/>
  <c r="C480" i="51"/>
  <c r="C479" i="51"/>
  <c r="C478" i="51"/>
  <c r="C477" i="51"/>
  <c r="C476" i="51"/>
  <c r="C475" i="51"/>
  <c r="C474" i="51"/>
  <c r="C473" i="51"/>
  <c r="C472" i="51"/>
  <c r="C471" i="51"/>
  <c r="C470" i="51"/>
  <c r="C469" i="51"/>
  <c r="C468" i="51"/>
  <c r="C467" i="51"/>
  <c r="C466" i="51"/>
  <c r="C465" i="51"/>
  <c r="C464" i="51"/>
  <c r="C463" i="51"/>
  <c r="C462" i="51"/>
  <c r="C461" i="51"/>
  <c r="C460" i="51"/>
  <c r="C459" i="51"/>
  <c r="C458" i="51"/>
  <c r="C457" i="51"/>
  <c r="C456" i="51"/>
  <c r="C455" i="51"/>
  <c r="C454" i="51"/>
  <c r="C453" i="51"/>
  <c r="C452" i="51"/>
  <c r="C451" i="51"/>
  <c r="C450" i="51"/>
  <c r="C449" i="51"/>
  <c r="C448" i="51"/>
  <c r="C447" i="51"/>
  <c r="C446" i="51"/>
  <c r="C445" i="51"/>
  <c r="C444" i="51"/>
  <c r="C443" i="51"/>
  <c r="C442" i="51"/>
  <c r="C441" i="51"/>
  <c r="C440" i="51"/>
  <c r="C439" i="51"/>
  <c r="C438" i="51"/>
  <c r="C437" i="51"/>
  <c r="C436" i="51"/>
  <c r="C435" i="51"/>
  <c r="C434" i="51"/>
  <c r="C433" i="51"/>
  <c r="C432" i="51"/>
  <c r="C431" i="51"/>
  <c r="C430" i="51"/>
  <c r="C429" i="51"/>
  <c r="C428" i="51"/>
  <c r="C427" i="51"/>
  <c r="C426" i="51"/>
  <c r="C425" i="51"/>
  <c r="C424" i="51"/>
  <c r="C423" i="51"/>
  <c r="C422" i="51"/>
  <c r="C421" i="51"/>
  <c r="C420" i="51"/>
  <c r="C419" i="51"/>
  <c r="C418" i="51"/>
  <c r="C417" i="51"/>
  <c r="C416" i="51"/>
  <c r="C415" i="51"/>
  <c r="C414" i="51"/>
  <c r="C413" i="51"/>
  <c r="C412" i="51"/>
  <c r="C411" i="51"/>
  <c r="C410" i="51"/>
  <c r="C409" i="51"/>
  <c r="C408" i="51"/>
  <c r="C407" i="51"/>
  <c r="C406" i="51"/>
  <c r="C405" i="51"/>
  <c r="C404" i="51"/>
  <c r="C403" i="51"/>
  <c r="C402" i="51"/>
  <c r="C401" i="51"/>
  <c r="C400" i="51"/>
  <c r="C399" i="51"/>
  <c r="C398" i="51"/>
  <c r="C397" i="51"/>
  <c r="C396" i="51"/>
  <c r="C395" i="51"/>
  <c r="C394" i="51"/>
  <c r="C393" i="51"/>
  <c r="C392" i="51"/>
  <c r="C391" i="51"/>
  <c r="C390" i="51"/>
  <c r="C389" i="51"/>
  <c r="C388" i="51"/>
  <c r="C387" i="51"/>
  <c r="C386" i="51"/>
  <c r="C385" i="51"/>
  <c r="C384" i="51"/>
  <c r="C383" i="51"/>
  <c r="C382" i="51"/>
  <c r="C381" i="51"/>
  <c r="C380" i="51"/>
  <c r="C379" i="51"/>
  <c r="C378" i="51"/>
  <c r="C377" i="51"/>
  <c r="C376" i="51"/>
  <c r="C375" i="51"/>
  <c r="C374" i="51"/>
  <c r="C373" i="51"/>
  <c r="C372" i="51"/>
  <c r="C371" i="51"/>
  <c r="C370" i="51"/>
  <c r="C369" i="51"/>
  <c r="C368" i="51"/>
  <c r="C367" i="51"/>
  <c r="C366" i="51"/>
  <c r="C365" i="51"/>
  <c r="C364" i="51"/>
  <c r="C363" i="51"/>
  <c r="C362" i="51"/>
  <c r="C361" i="51"/>
  <c r="C360" i="51"/>
  <c r="C359" i="51"/>
  <c r="C358" i="51"/>
  <c r="C357" i="51"/>
  <c r="C356" i="51"/>
  <c r="C355" i="51"/>
  <c r="C354" i="51"/>
  <c r="C353" i="51"/>
  <c r="C352" i="51"/>
  <c r="C351" i="51"/>
  <c r="C350" i="51"/>
  <c r="C349" i="51"/>
  <c r="C348" i="51"/>
  <c r="C347" i="51"/>
  <c r="C346" i="51"/>
  <c r="C345" i="51"/>
  <c r="C344" i="51"/>
  <c r="C343" i="51"/>
  <c r="C342" i="51"/>
  <c r="C341" i="51"/>
  <c r="C340" i="51"/>
  <c r="C339" i="51"/>
  <c r="C338" i="51"/>
  <c r="C337" i="51"/>
  <c r="C336" i="51"/>
  <c r="C335" i="51"/>
  <c r="C334" i="51"/>
  <c r="C333" i="51"/>
  <c r="C332" i="51"/>
  <c r="C331" i="51"/>
  <c r="C330" i="51"/>
  <c r="C329" i="51"/>
  <c r="C328" i="51"/>
  <c r="C327" i="51"/>
  <c r="C326" i="51"/>
  <c r="C325" i="51"/>
  <c r="C324" i="51"/>
  <c r="C323" i="51"/>
  <c r="C322" i="51"/>
  <c r="C321" i="51"/>
  <c r="C320" i="51"/>
  <c r="C319" i="51"/>
  <c r="C318" i="51"/>
  <c r="C317" i="51"/>
  <c r="C316" i="51"/>
  <c r="C315" i="51"/>
  <c r="C314" i="51"/>
  <c r="C313" i="51"/>
  <c r="C312" i="51"/>
  <c r="C311" i="51"/>
  <c r="C310" i="51"/>
  <c r="C309" i="51"/>
  <c r="C308" i="51"/>
  <c r="C307" i="51"/>
  <c r="C306" i="51"/>
  <c r="C305" i="51"/>
  <c r="C304" i="51"/>
  <c r="C303" i="51"/>
  <c r="C302" i="51"/>
  <c r="C301" i="51"/>
  <c r="C300" i="51"/>
  <c r="C299" i="51"/>
  <c r="C298" i="51"/>
  <c r="C297" i="51"/>
  <c r="C296" i="51"/>
  <c r="C295" i="51"/>
  <c r="C294" i="51"/>
  <c r="C293" i="51"/>
  <c r="C292" i="51"/>
  <c r="C291" i="51"/>
  <c r="C290" i="51"/>
  <c r="C289" i="51"/>
  <c r="C288" i="51"/>
  <c r="C287" i="51"/>
  <c r="C286" i="51"/>
  <c r="C285" i="51"/>
  <c r="C284" i="51"/>
  <c r="C283" i="51"/>
  <c r="C282" i="51"/>
  <c r="C281" i="51"/>
  <c r="C280" i="51"/>
  <c r="C279" i="51"/>
  <c r="C278" i="51"/>
  <c r="C277" i="51"/>
  <c r="C276" i="51"/>
  <c r="C275" i="51"/>
  <c r="C274" i="51"/>
  <c r="C273" i="51"/>
  <c r="C272" i="51"/>
  <c r="C271" i="51"/>
  <c r="C270" i="51"/>
  <c r="C269" i="51"/>
  <c r="C268" i="51"/>
  <c r="C267" i="51"/>
  <c r="C266" i="51"/>
  <c r="C265" i="51"/>
  <c r="C264" i="51"/>
  <c r="C263" i="51"/>
  <c r="C262" i="51"/>
  <c r="C261" i="51"/>
  <c r="C260" i="51"/>
  <c r="C259" i="51"/>
  <c r="C258" i="51"/>
  <c r="C257" i="51"/>
  <c r="C256" i="51"/>
  <c r="C255" i="51"/>
  <c r="C254" i="51"/>
  <c r="C253" i="51"/>
  <c r="C252" i="51"/>
  <c r="C251" i="51"/>
  <c r="C250" i="51"/>
  <c r="C249" i="51"/>
  <c r="C248" i="51"/>
  <c r="C247" i="51"/>
  <c r="C246" i="51"/>
  <c r="C245" i="51"/>
  <c r="C244" i="51"/>
  <c r="C243" i="51"/>
  <c r="C242" i="51"/>
  <c r="C241" i="51"/>
  <c r="C240" i="51"/>
  <c r="C239" i="51"/>
  <c r="C238" i="51"/>
  <c r="C237" i="51"/>
  <c r="C236" i="51"/>
  <c r="C235" i="51"/>
  <c r="C234" i="51"/>
  <c r="C233" i="51"/>
  <c r="C232" i="51"/>
  <c r="C231" i="51"/>
  <c r="C230" i="51"/>
  <c r="C229" i="51"/>
  <c r="C228" i="51"/>
  <c r="C227" i="51"/>
  <c r="C226" i="51"/>
  <c r="C225" i="51"/>
  <c r="C224" i="51"/>
  <c r="C223" i="51"/>
  <c r="C222" i="51"/>
  <c r="C221" i="51"/>
  <c r="C220" i="51"/>
  <c r="C219" i="51"/>
  <c r="C218" i="51"/>
  <c r="C217" i="51"/>
  <c r="C216" i="51"/>
  <c r="C215" i="51"/>
  <c r="C214" i="51"/>
  <c r="C213" i="51"/>
  <c r="C212" i="51"/>
  <c r="C211" i="51"/>
  <c r="C210" i="51"/>
  <c r="C209" i="51"/>
  <c r="C208" i="51"/>
  <c r="C207" i="51"/>
  <c r="C206" i="51"/>
  <c r="C205" i="51"/>
  <c r="C204" i="51"/>
  <c r="C203" i="51"/>
  <c r="C202" i="51"/>
  <c r="C201" i="51"/>
  <c r="C200" i="51"/>
  <c r="C199" i="51"/>
  <c r="C198" i="51"/>
  <c r="C197" i="51"/>
  <c r="C196" i="51"/>
  <c r="C195" i="51"/>
  <c r="C194" i="51"/>
  <c r="C193" i="51"/>
  <c r="C192" i="51"/>
  <c r="C191" i="51"/>
  <c r="C190" i="51"/>
  <c r="C189" i="51"/>
  <c r="C188" i="51"/>
  <c r="C187" i="51"/>
  <c r="C186" i="51"/>
  <c r="C185" i="51"/>
  <c r="C184" i="51"/>
  <c r="C183" i="51"/>
  <c r="C182" i="51"/>
  <c r="C181" i="51"/>
  <c r="C180" i="51"/>
  <c r="C179" i="51"/>
  <c r="C178" i="51"/>
  <c r="C177" i="51"/>
  <c r="C176" i="51"/>
  <c r="C175" i="51"/>
  <c r="C174" i="51"/>
  <c r="C173" i="51"/>
  <c r="C172" i="51"/>
  <c r="C171" i="51"/>
  <c r="C170" i="51"/>
  <c r="C169" i="51"/>
  <c r="C168" i="51"/>
  <c r="C167" i="51"/>
  <c r="C166" i="51"/>
  <c r="C165" i="51"/>
  <c r="C164" i="51"/>
  <c r="C163" i="51"/>
  <c r="C162" i="51"/>
  <c r="C161" i="51"/>
  <c r="C160" i="51"/>
  <c r="C159" i="51"/>
  <c r="C158" i="51"/>
  <c r="C157" i="51"/>
  <c r="C156" i="51"/>
  <c r="C155" i="51"/>
  <c r="C154" i="51"/>
  <c r="C153" i="51"/>
  <c r="C152" i="51"/>
  <c r="C151" i="51"/>
  <c r="C150" i="51"/>
  <c r="C149" i="51"/>
  <c r="C148" i="51"/>
  <c r="C147" i="51"/>
  <c r="C146" i="51"/>
  <c r="C145" i="51"/>
  <c r="C144" i="51"/>
  <c r="C143" i="51"/>
  <c r="C142" i="51"/>
  <c r="C141" i="51"/>
  <c r="C140" i="51"/>
  <c r="C139" i="51"/>
  <c r="C138" i="51"/>
  <c r="C137" i="51"/>
  <c r="C136" i="51"/>
  <c r="C135" i="51"/>
  <c r="C134" i="51"/>
  <c r="C133" i="51"/>
  <c r="C132" i="51"/>
  <c r="C131" i="51"/>
  <c r="C130" i="51"/>
  <c r="C129" i="51"/>
  <c r="C128" i="51"/>
  <c r="C127" i="51"/>
  <c r="C126" i="51"/>
  <c r="C125" i="51"/>
  <c r="C124" i="51"/>
  <c r="C123" i="51"/>
  <c r="C122" i="51"/>
  <c r="C121" i="51"/>
  <c r="C120" i="51"/>
  <c r="C119" i="51"/>
  <c r="C118" i="51"/>
  <c r="C117" i="51"/>
  <c r="C116" i="51"/>
  <c r="C115" i="51"/>
  <c r="C114" i="51"/>
  <c r="C113" i="51"/>
  <c r="C112" i="51"/>
  <c r="C111" i="51"/>
  <c r="C110" i="51"/>
  <c r="C109" i="51"/>
  <c r="C108" i="51"/>
  <c r="C107" i="51"/>
  <c r="C106" i="51"/>
  <c r="C105" i="51"/>
  <c r="C104" i="51"/>
  <c r="C103" i="51"/>
  <c r="C102" i="51"/>
  <c r="C101" i="51"/>
  <c r="C100" i="51"/>
  <c r="C99" i="51"/>
  <c r="C98" i="51"/>
  <c r="C97" i="51"/>
  <c r="C96" i="51"/>
  <c r="C95" i="51"/>
  <c r="C94" i="51"/>
  <c r="C93" i="51"/>
  <c r="C92" i="51"/>
  <c r="C91" i="51"/>
  <c r="C90" i="51"/>
  <c r="C89" i="51"/>
  <c r="C88" i="51"/>
  <c r="C87" i="51"/>
  <c r="C86" i="51"/>
  <c r="C85" i="51"/>
  <c r="C84" i="51"/>
  <c r="C83" i="51"/>
  <c r="C82" i="51"/>
  <c r="C81" i="51"/>
  <c r="C80" i="51"/>
  <c r="C79" i="51"/>
  <c r="C78" i="51"/>
  <c r="C77" i="51"/>
  <c r="C76" i="51"/>
  <c r="C75" i="51"/>
  <c r="C74" i="51"/>
  <c r="C73" i="51"/>
  <c r="C72" i="51"/>
  <c r="C71" i="51"/>
  <c r="C70" i="51"/>
  <c r="C69" i="51"/>
  <c r="C68" i="51"/>
  <c r="C67" i="51"/>
  <c r="C66" i="51"/>
  <c r="C65" i="51"/>
  <c r="C64" i="51"/>
  <c r="C63" i="51"/>
  <c r="C62" i="51"/>
  <c r="C61" i="51"/>
  <c r="C60" i="51"/>
  <c r="C59" i="51"/>
  <c r="C58" i="51"/>
  <c r="C57" i="51"/>
  <c r="C56" i="51"/>
  <c r="C55" i="51"/>
  <c r="C54" i="51"/>
  <c r="C53" i="51"/>
  <c r="C52" i="51"/>
  <c r="C51" i="51"/>
  <c r="C50" i="51"/>
  <c r="C49" i="51"/>
  <c r="C48" i="51"/>
  <c r="C47" i="51"/>
  <c r="C46" i="51"/>
  <c r="C45" i="51"/>
  <c r="C44" i="51"/>
  <c r="C43" i="51"/>
  <c r="C42" i="51"/>
  <c r="C41" i="51"/>
  <c r="C40" i="51"/>
  <c r="C39" i="51"/>
  <c r="C38" i="51"/>
  <c r="C37" i="51"/>
  <c r="C36" i="51"/>
  <c r="C35" i="51"/>
  <c r="C34" i="51"/>
  <c r="C33" i="51"/>
  <c r="C32" i="51"/>
  <c r="C31" i="51"/>
  <c r="C30" i="51"/>
  <c r="C29" i="51"/>
  <c r="C28" i="51"/>
  <c r="C27" i="51"/>
  <c r="C26" i="51"/>
  <c r="C25" i="51"/>
  <c r="C24" i="51"/>
  <c r="C23" i="51"/>
  <c r="C22" i="51"/>
  <c r="C21" i="51"/>
  <c r="C20" i="51"/>
  <c r="C19" i="51"/>
  <c r="C18" i="51"/>
  <c r="C17" i="51"/>
  <c r="C16" i="51"/>
  <c r="C15" i="51"/>
  <c r="C14" i="51"/>
  <c r="C13" i="51"/>
  <c r="C12" i="51"/>
  <c r="C11" i="51"/>
  <c r="C10" i="51"/>
  <c r="C9" i="51"/>
  <c r="C8" i="51"/>
  <c r="C7" i="51"/>
  <c r="C6" i="51"/>
  <c r="C5" i="51"/>
  <c r="AD123" i="32" l="1"/>
  <c r="AC123" i="32"/>
  <c r="AF117" i="31"/>
  <c r="AE117" i="31"/>
  <c r="F13" i="49" l="1"/>
  <c r="J13" i="49" s="1"/>
  <c r="J12" i="49"/>
  <c r="H12" i="49"/>
  <c r="F12" i="49"/>
  <c r="G12" i="49" s="1"/>
  <c r="I11" i="49"/>
  <c r="H11" i="49"/>
  <c r="G11" i="49"/>
  <c r="F11" i="49"/>
  <c r="J11" i="49" s="1"/>
  <c r="J10" i="49"/>
  <c r="F10" i="49"/>
  <c r="I10" i="49" s="1"/>
  <c r="J9" i="49"/>
  <c r="I9" i="49"/>
  <c r="H9" i="49"/>
  <c r="G9" i="49"/>
  <c r="F9" i="49"/>
  <c r="F8" i="49"/>
  <c r="J8" i="49" s="1"/>
  <c r="J7" i="49"/>
  <c r="I7" i="49"/>
  <c r="G7" i="49"/>
  <c r="F7" i="49"/>
  <c r="H7" i="49" s="1"/>
  <c r="I12" i="49" l="1"/>
  <c r="G8" i="49"/>
  <c r="H8" i="49"/>
  <c r="G13" i="49"/>
  <c r="I8" i="49"/>
  <c r="G10" i="49"/>
  <c r="H13" i="49"/>
  <c r="H10" i="49"/>
  <c r="I13" i="49"/>
  <c r="B43" i="39" l="1"/>
  <c r="C44" i="39" l="1"/>
  <c r="E79" i="38"/>
  <c r="C79" i="38"/>
  <c r="F91" i="37"/>
  <c r="F93" i="37" s="1"/>
  <c r="E91" i="37"/>
  <c r="D91" i="37"/>
  <c r="D93" i="37" s="1"/>
  <c r="G90" i="37"/>
  <c r="G89" i="37"/>
  <c r="G88" i="37"/>
  <c r="G87" i="37"/>
  <c r="G86" i="37"/>
  <c r="G85" i="37"/>
  <c r="G84" i="37"/>
  <c r="G83" i="37"/>
  <c r="G82" i="37"/>
  <c r="G81" i="37"/>
  <c r="G80" i="37"/>
  <c r="G79" i="37"/>
  <c r="G78" i="37"/>
  <c r="G77" i="37"/>
  <c r="G76" i="37"/>
  <c r="G75" i="37"/>
  <c r="G91" i="37" s="1"/>
  <c r="F73" i="37"/>
  <c r="E73" i="37"/>
  <c r="E93" i="37" s="1"/>
  <c r="D73" i="37"/>
  <c r="G72" i="37"/>
  <c r="G71" i="37"/>
  <c r="G70" i="37"/>
  <c r="G69" i="37"/>
  <c r="G68" i="37"/>
  <c r="G67" i="37"/>
  <c r="G66" i="37"/>
  <c r="I65" i="37"/>
  <c r="G65" i="37"/>
  <c r="G64" i="37"/>
  <c r="G63" i="37"/>
  <c r="G73" i="37" s="1"/>
  <c r="F61" i="37"/>
  <c r="E61" i="37"/>
  <c r="D61" i="37"/>
  <c r="G60" i="37"/>
  <c r="G59" i="37"/>
  <c r="G58" i="37"/>
  <c r="G57" i="37"/>
  <c r="G56" i="37"/>
  <c r="G55" i="37"/>
  <c r="G54" i="37"/>
  <c r="G53" i="37"/>
  <c r="G52" i="37"/>
  <c r="G51" i="37"/>
  <c r="G50" i="37"/>
  <c r="G49" i="37"/>
  <c r="G48" i="37"/>
  <c r="G47" i="37"/>
  <c r="G46" i="37"/>
  <c r="G45" i="37"/>
  <c r="G44" i="37"/>
  <c r="G43" i="37"/>
  <c r="G42" i="37"/>
  <c r="G41" i="37"/>
  <c r="G40" i="37"/>
  <c r="G61" i="37" s="1"/>
  <c r="F38" i="37"/>
  <c r="E38" i="37"/>
  <c r="D38" i="37"/>
  <c r="G36" i="37"/>
  <c r="G30" i="37"/>
  <c r="G38" i="37" s="1"/>
  <c r="M27" i="37"/>
  <c r="M28" i="37" s="1"/>
  <c r="G93" i="37" l="1"/>
  <c r="AD122" i="32" l="1"/>
  <c r="AC122" i="32"/>
  <c r="AD119" i="32"/>
  <c r="AC119" i="32"/>
  <c r="AD113" i="32"/>
  <c r="AC113" i="32"/>
  <c r="AD112" i="32"/>
  <c r="AC112" i="32"/>
  <c r="AD101" i="32"/>
  <c r="AC101" i="32"/>
  <c r="AD97" i="32"/>
  <c r="AC97" i="32"/>
  <c r="AD96" i="32"/>
  <c r="AC96" i="32"/>
  <c r="AD95" i="32"/>
  <c r="AC95" i="32"/>
  <c r="AD94" i="32"/>
  <c r="AC94" i="32"/>
  <c r="AD93" i="32"/>
  <c r="AC93" i="32"/>
  <c r="AD90" i="32"/>
  <c r="AC90" i="32"/>
  <c r="AD89" i="32"/>
  <c r="AC89" i="32"/>
  <c r="AD87" i="32"/>
  <c r="AC87" i="32"/>
  <c r="AD84" i="32"/>
  <c r="AC84" i="32"/>
  <c r="AD83" i="32"/>
  <c r="AC83" i="32"/>
  <c r="AD82" i="32"/>
  <c r="AC82" i="32"/>
  <c r="AD80" i="32"/>
  <c r="AC80" i="32"/>
  <c r="AD79" i="32"/>
  <c r="AC79" i="32"/>
  <c r="AD76" i="32"/>
  <c r="AC76" i="32"/>
  <c r="AD75" i="32"/>
  <c r="AC75" i="32"/>
  <c r="AD74" i="32"/>
  <c r="AC74" i="32"/>
  <c r="AD72" i="32"/>
  <c r="AC72" i="32"/>
  <c r="AD70" i="32"/>
  <c r="AC70" i="32"/>
  <c r="AD69" i="32"/>
  <c r="AC69" i="32"/>
  <c r="AD68" i="32"/>
  <c r="AC68" i="32"/>
  <c r="AD67" i="32"/>
  <c r="AC67" i="32"/>
  <c r="AD66" i="32"/>
  <c r="AC66" i="32"/>
  <c r="AD65" i="32"/>
  <c r="AC65" i="32"/>
  <c r="AD64" i="32"/>
  <c r="AC64" i="32"/>
  <c r="AD63" i="32"/>
  <c r="AC63" i="32"/>
  <c r="AD62" i="32"/>
  <c r="AC62" i="32"/>
  <c r="AD61" i="32"/>
  <c r="AC61" i="32"/>
  <c r="AD60" i="32"/>
  <c r="AC60" i="32"/>
  <c r="AD59" i="32"/>
  <c r="AC59" i="32"/>
  <c r="AD58" i="32"/>
  <c r="AC58" i="32"/>
  <c r="AD57" i="32"/>
  <c r="AC57" i="32"/>
  <c r="AD56" i="32"/>
  <c r="AC56" i="32"/>
  <c r="AD55" i="32"/>
  <c r="AC55" i="32"/>
  <c r="AD54" i="32"/>
  <c r="AC54" i="32"/>
  <c r="AD53" i="32"/>
  <c r="AC53" i="32"/>
  <c r="AD52" i="32"/>
  <c r="AC52" i="32"/>
  <c r="AD51" i="32"/>
  <c r="AC51" i="32"/>
  <c r="AD50" i="32"/>
  <c r="AC50" i="32"/>
  <c r="AD49" i="32"/>
  <c r="AC49" i="32"/>
  <c r="AD48" i="32"/>
  <c r="AC48" i="32"/>
  <c r="AD47" i="32"/>
  <c r="AC47" i="32"/>
  <c r="AD46" i="32"/>
  <c r="AC46" i="32"/>
  <c r="AD44" i="32"/>
  <c r="AC44" i="32"/>
  <c r="AD43" i="32"/>
  <c r="AC43" i="32"/>
  <c r="AD42" i="32"/>
  <c r="AC42" i="32"/>
  <c r="AD41" i="32"/>
  <c r="AC41" i="32"/>
  <c r="AD40" i="32"/>
  <c r="AC40" i="32"/>
  <c r="AD39" i="32"/>
  <c r="AC39" i="32"/>
  <c r="AD38" i="32"/>
  <c r="AC38" i="32"/>
  <c r="AD37" i="32"/>
  <c r="AC37" i="32"/>
  <c r="AD36" i="32"/>
  <c r="AC36" i="32"/>
  <c r="AD35" i="32"/>
  <c r="AC35" i="32"/>
  <c r="AD34" i="32"/>
  <c r="AC34" i="32"/>
  <c r="AD33" i="32"/>
  <c r="AC33" i="32"/>
  <c r="AD32" i="32"/>
  <c r="AC32" i="32"/>
  <c r="AD31" i="32"/>
  <c r="AC31" i="32"/>
  <c r="AD30" i="32"/>
  <c r="AC30" i="32"/>
  <c r="AD29" i="32"/>
  <c r="AC29" i="32"/>
  <c r="AD28" i="32"/>
  <c r="AC28" i="32"/>
  <c r="AD27" i="32"/>
  <c r="AC27" i="32"/>
  <c r="AD26" i="32"/>
  <c r="AC26" i="32"/>
  <c r="AD25" i="32"/>
  <c r="AC25" i="32"/>
  <c r="AD21" i="32"/>
  <c r="AC21" i="32"/>
  <c r="AD20" i="32"/>
  <c r="AC20" i="32"/>
  <c r="AD19" i="32"/>
  <c r="AC19" i="32"/>
  <c r="AD18" i="32"/>
  <c r="AC18" i="32"/>
  <c r="AD17" i="32"/>
  <c r="AC17" i="32"/>
  <c r="AD16" i="32"/>
  <c r="AC16" i="32"/>
  <c r="AD15" i="32"/>
  <c r="AC15" i="32"/>
  <c r="AD14" i="32"/>
  <c r="AC14" i="32"/>
  <c r="AD13" i="32"/>
  <c r="AC13" i="32"/>
  <c r="AD12" i="32"/>
  <c r="AC12" i="32"/>
  <c r="AD11" i="32"/>
  <c r="AC11" i="32"/>
  <c r="AD10" i="32"/>
  <c r="AC10" i="32"/>
  <c r="AD9" i="32"/>
  <c r="AD8" i="32"/>
  <c r="AF116" i="31"/>
  <c r="AE116" i="31"/>
  <c r="AF114" i="31"/>
  <c r="AE114" i="31"/>
  <c r="AF112" i="31"/>
  <c r="AE112" i="31"/>
  <c r="AF111" i="31"/>
  <c r="AE111" i="31"/>
  <c r="AF107" i="31"/>
  <c r="AE107" i="31"/>
  <c r="AF106" i="31"/>
  <c r="AE106" i="31"/>
  <c r="AF99" i="31"/>
  <c r="AE99" i="31"/>
  <c r="AF91" i="31"/>
  <c r="AE91" i="31"/>
  <c r="AF90" i="31"/>
  <c r="AE90" i="31"/>
  <c r="AF89" i="31"/>
  <c r="AE89" i="31"/>
  <c r="AF88" i="31"/>
  <c r="AE88" i="31"/>
  <c r="AF85" i="31"/>
  <c r="AE85" i="31"/>
  <c r="AF84" i="31"/>
  <c r="AE84" i="31"/>
  <c r="AF83" i="31"/>
  <c r="AE83" i="31"/>
  <c r="AF82" i="31"/>
  <c r="AE82" i="31"/>
  <c r="AF79" i="31"/>
  <c r="AE79" i="31"/>
  <c r="AF78" i="31"/>
  <c r="AE78" i="31"/>
  <c r="AF75" i="31"/>
  <c r="AE75" i="31"/>
  <c r="AF74" i="31"/>
  <c r="AE74" i="31"/>
  <c r="AF71" i="31"/>
  <c r="AE71" i="31"/>
  <c r="AF70" i="31"/>
  <c r="AE70" i="31"/>
  <c r="AF69" i="31"/>
  <c r="AE69" i="31"/>
  <c r="AE67" i="31"/>
  <c r="AE65" i="31"/>
  <c r="AE64" i="31"/>
  <c r="AE63" i="31"/>
  <c r="AF62" i="31"/>
  <c r="AE62" i="31"/>
  <c r="AF61" i="31"/>
  <c r="AE61" i="31"/>
  <c r="AF60" i="31"/>
  <c r="AE60" i="31"/>
  <c r="AF59" i="31"/>
  <c r="AE59" i="31"/>
  <c r="AF58" i="31"/>
  <c r="AE58" i="31"/>
  <c r="AF57" i="31"/>
  <c r="AE57" i="31"/>
  <c r="AF56" i="31"/>
  <c r="AE56" i="31"/>
  <c r="AF55" i="31"/>
  <c r="AE55" i="31"/>
  <c r="AF54" i="31"/>
  <c r="AE54" i="31"/>
  <c r="AF53" i="31"/>
  <c r="AE53" i="31"/>
  <c r="AF52" i="31"/>
  <c r="AE52" i="31"/>
  <c r="AF51" i="31"/>
  <c r="AE51" i="31"/>
  <c r="AF49" i="31"/>
  <c r="AE49" i="31"/>
  <c r="AF48" i="31"/>
  <c r="AE48" i="31"/>
  <c r="AF47" i="31"/>
  <c r="AE47" i="31"/>
  <c r="AF46" i="31"/>
  <c r="AE46" i="31"/>
  <c r="AF45" i="31"/>
  <c r="AE45" i="31"/>
  <c r="AF44" i="31"/>
  <c r="AE44" i="31"/>
  <c r="AF43" i="31"/>
  <c r="AE43" i="31"/>
  <c r="AF42" i="31"/>
  <c r="AE42" i="31"/>
  <c r="AF41" i="31"/>
  <c r="AE41" i="31"/>
  <c r="AF40" i="31"/>
  <c r="AE40" i="31"/>
  <c r="AF38" i="31"/>
  <c r="AE38" i="31"/>
  <c r="AF37" i="31"/>
  <c r="AE37" i="31"/>
  <c r="AF36" i="31"/>
  <c r="AE36" i="31"/>
  <c r="AF35" i="31"/>
  <c r="AE35" i="31"/>
  <c r="AF34" i="31"/>
  <c r="AE34" i="31"/>
  <c r="AF33" i="31"/>
  <c r="AE33" i="31"/>
  <c r="AF32" i="31"/>
  <c r="AE32" i="31"/>
  <c r="AF31" i="31"/>
  <c r="AE31" i="31"/>
  <c r="AF30" i="31"/>
  <c r="AE30" i="31"/>
  <c r="AF29" i="31"/>
  <c r="AE29" i="31"/>
  <c r="AF28" i="31"/>
  <c r="AE28" i="31"/>
  <c r="AF27" i="31"/>
  <c r="AE27" i="31"/>
  <c r="AF26" i="31"/>
  <c r="AE26" i="31"/>
  <c r="AF25" i="31"/>
  <c r="AE25" i="31"/>
  <c r="AF21" i="31"/>
  <c r="AE21" i="31"/>
  <c r="AF20" i="31"/>
  <c r="AE20" i="31"/>
  <c r="AF19" i="31"/>
  <c r="AE19" i="31"/>
  <c r="AE18" i="31"/>
  <c r="AF17" i="31"/>
  <c r="AE17" i="31"/>
  <c r="AF16" i="31"/>
  <c r="AE16" i="31"/>
  <c r="AF15" i="31"/>
  <c r="AE15" i="31"/>
  <c r="AF14" i="31"/>
  <c r="AE14" i="31"/>
  <c r="AF13" i="31"/>
  <c r="AE13" i="31"/>
  <c r="AF12" i="31"/>
  <c r="AE12" i="31"/>
  <c r="AF11" i="31"/>
  <c r="AE11" i="31"/>
  <c r="AF10" i="31"/>
  <c r="AE10" i="31"/>
  <c r="AE9" i="31"/>
  <c r="AE8" i="31"/>
  <c r="G5" i="23" l="1"/>
  <c r="T17" i="22"/>
  <c r="G3" i="22"/>
  <c r="G4" i="22" s="1"/>
  <c r="P99" i="21"/>
  <c r="T95" i="21"/>
  <c r="S93" i="21"/>
  <c r="R93" i="21"/>
  <c r="O93" i="21"/>
  <c r="S95" i="21" s="1"/>
  <c r="S97" i="21" s="1"/>
  <c r="S99" i="21" s="1"/>
  <c r="F4" i="21"/>
  <c r="F5" i="21" s="1"/>
  <c r="E3" i="14" l="1"/>
  <c r="L3" i="12" l="1"/>
  <c r="F3" i="11"/>
</calcChain>
</file>

<file path=xl/comments1.xml><?xml version="1.0" encoding="utf-8"?>
<comments xmlns="http://schemas.openxmlformats.org/spreadsheetml/2006/main">
  <authors>
    <author>tc={12E562CB-4BE3-4B80-9236-4EDF54FAAF3D}</author>
    <author>tc={0ABCC48B-591C-4D2E-B837-DBA62915E3C6}</author>
  </authors>
  <commentList>
    <comment ref="B48" authorId="0" shapeId="0">
      <text>
        <r>
          <rPr>
            <sz val="11"/>
            <color theme="1"/>
            <rFont val="Aptos Narrow"/>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Ces flux seront considérés dans le référentiel</t>
        </r>
      </text>
    </comment>
    <comment ref="B99" authorId="1" shapeId="0">
      <text>
        <r>
          <rPr>
            <sz val="11"/>
            <color theme="1"/>
            <rFont val="Aptos Narrow"/>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Ce flux sera considéré dans le référentiel</t>
        </r>
      </text>
    </comment>
  </commentList>
</comments>
</file>

<file path=xl/sharedStrings.xml><?xml version="1.0" encoding="utf-8"?>
<sst xmlns="http://schemas.openxmlformats.org/spreadsheetml/2006/main" count="38153" uniqueCount="6601">
  <si>
    <t>Société</t>
  </si>
  <si>
    <t>DGRAD</t>
  </si>
  <si>
    <t>PROVINCE</t>
  </si>
  <si>
    <t>N°</t>
  </si>
  <si>
    <t>Annexes</t>
  </si>
  <si>
    <t>Lien</t>
  </si>
  <si>
    <t>TITULAIRES</t>
  </si>
  <si>
    <t>N°DROIT</t>
  </si>
  <si>
    <t>NATURE</t>
  </si>
  <si>
    <t>CARRES</t>
  </si>
  <si>
    <t>OCTROI</t>
  </si>
  <si>
    <t>EXPIRATION</t>
  </si>
  <si>
    <t>ANVIL MINING CONGO Sarl</t>
  </si>
  <si>
    <t>PE</t>
  </si>
  <si>
    <t>Haut-Katanga</t>
  </si>
  <si>
    <t>CHEMICAL OF AFRICA SA</t>
  </si>
  <si>
    <t>Lualaba</t>
  </si>
  <si>
    <t>ALPHAMIN BISIE MINING S.A</t>
  </si>
  <si>
    <t>PR</t>
  </si>
  <si>
    <t>Nord-Kivu</t>
  </si>
  <si>
    <t>CIMENTERIE DE LUKALA SA</t>
  </si>
  <si>
    <t>AECP</t>
  </si>
  <si>
    <t>Kongo Central</t>
  </si>
  <si>
    <t>ARPC</t>
  </si>
  <si>
    <t>Tshopo</t>
  </si>
  <si>
    <t>Bas-Uele</t>
  </si>
  <si>
    <t>Kasai</t>
  </si>
  <si>
    <t>MMG KINSEVERE SARL</t>
  </si>
  <si>
    <t>RUBACO SARL</t>
  </si>
  <si>
    <t>SAMTA NATURAL RESOURCES CONGO SAS</t>
  </si>
  <si>
    <t>PEPM</t>
  </si>
  <si>
    <t>Ituri</t>
  </si>
  <si>
    <t>Haut-Uele</t>
  </si>
  <si>
    <t>SOCIETE ANHUI CONGO D' INVESTISSEMENT MINIER</t>
  </si>
  <si>
    <t>Kasai Oriental</t>
  </si>
  <si>
    <t>SOCIETE GENERALE DES MINES ET CARRIERES SARL</t>
  </si>
  <si>
    <t>VIRGINIKA MINING</t>
  </si>
  <si>
    <t>N° DU DROIT</t>
  </si>
  <si>
    <t>DATE EXPIRATION</t>
  </si>
  <si>
    <t>N° ARRETE DE RENOUVELLEMENT</t>
  </si>
  <si>
    <t>DATE DE L'ARRETE</t>
  </si>
  <si>
    <t>KISANFU MINING SAS</t>
  </si>
  <si>
    <t>00853/CAB.MIN/MINES/01/2022</t>
  </si>
  <si>
    <t>LA GENERALE DES CARRIERES ET DES MINES</t>
  </si>
  <si>
    <t>PER</t>
  </si>
  <si>
    <t>00864/CAB.MIN/MINES/01/2022</t>
  </si>
  <si>
    <t>00865/CAB.MIN/MINES/01/2022</t>
  </si>
  <si>
    <t>LUFUPA SASU</t>
  </si>
  <si>
    <t>RPNC 48.194</t>
  </si>
  <si>
    <t>00156/CAB.MIN/MINES/01/2022</t>
  </si>
  <si>
    <t>00157/CAB.MIN/MINES/01/2022</t>
  </si>
  <si>
    <t>COMPAGNIE MINIERE DE LA LUKAYA S.A</t>
  </si>
  <si>
    <t>00187/CAB.MIN/MINES/01/2022</t>
  </si>
  <si>
    <t>00238/CAB.MIN/MINES/01/2022</t>
  </si>
  <si>
    <t>00239/CAB.MIN/MINES/01/2022</t>
  </si>
  <si>
    <t>SOCIETE AURIFERE DU KIVU ET DU MANIEMA ''SAKIMA SA''</t>
  </si>
  <si>
    <t>Maniema</t>
  </si>
  <si>
    <t>00544/CAB.MIN/MINES/01/2022</t>
  </si>
  <si>
    <t>AVZ MINERALS CONGO SARLU</t>
  </si>
  <si>
    <t>Tanganyka</t>
  </si>
  <si>
    <t>00531/CAB.MIN/MINES/01/2022</t>
  </si>
  <si>
    <t>00542/CAB.MIN/MINES/01/2022</t>
  </si>
  <si>
    <t>KAI PENG MINING SARL</t>
  </si>
  <si>
    <t>00534/CAB.MIN/MINES/01/2022</t>
  </si>
  <si>
    <t>COMPAGNIE MINIERE DE KAMBOVE S.A.S</t>
  </si>
  <si>
    <t>00580/CAB.MIN/MINES/01/2022</t>
  </si>
  <si>
    <t>00581/CAB.MIN/MINES/01/2022</t>
  </si>
  <si>
    <t>EDWALL ENTREPRISE SARL</t>
  </si>
  <si>
    <t>0073/CAB.MIN/MINES/01/2022</t>
  </si>
  <si>
    <t>0072/CAB.MIN/MINES/01/2022</t>
  </si>
  <si>
    <t>Haut-Lomami</t>
  </si>
  <si>
    <t>00720/CAB.MIN/MINES/01/2022</t>
  </si>
  <si>
    <t>SOCIETE MINIERE DE BAKWANGA ''MIBA''</t>
  </si>
  <si>
    <t>Kasai Central</t>
  </si>
  <si>
    <t>RPNC 49.136</t>
  </si>
  <si>
    <t>PUNIA KASESE MINING S.A</t>
  </si>
  <si>
    <t>00755/CAB.MIN/MINES/01/2022</t>
  </si>
  <si>
    <t>STATUT</t>
  </si>
  <si>
    <t>CONGO FAIR MINING S.A</t>
  </si>
  <si>
    <t>Actif</t>
  </si>
  <si>
    <t>NAMOYA MINING</t>
  </si>
  <si>
    <t>KALIMA MINING COMPANY S.A</t>
  </si>
  <si>
    <t>SOCIETE COMMERCIALE LA MINIERE DE KISENGE "MANGANESE" SARL</t>
  </si>
  <si>
    <t>KAMITUGA MINING</t>
  </si>
  <si>
    <t>Sud-Kivu</t>
  </si>
  <si>
    <t>TWANGIZA MINING</t>
  </si>
  <si>
    <t>KINSENDA COPPER COMPANY</t>
  </si>
  <si>
    <t>TENKE FUNGURUME MINING SA</t>
  </si>
  <si>
    <t>CARRIGRES</t>
  </si>
  <si>
    <t>Kinshasa</t>
  </si>
  <si>
    <t>LUGUSHWA MINING</t>
  </si>
  <si>
    <t>MINERALS MINING COMPANY SARL</t>
  </si>
  <si>
    <t>SOCIETE DE DEVELOPPEMENT INDUSTRIEL ET MINIER DU CONGO S.A.</t>
  </si>
  <si>
    <t>GEMCO SAS</t>
  </si>
  <si>
    <t>Sankuru</t>
  </si>
  <si>
    <t>BOSS MINING SPRL</t>
  </si>
  <si>
    <t>KAMBOVE MINING SAS</t>
  </si>
  <si>
    <t>KAMOTO COPPER COMPANY SA</t>
  </si>
  <si>
    <t>COMPAGNIE MINIERE DE LUISHA</t>
  </si>
  <si>
    <t>CONGO DONGFANG INTERNATIONAL MINING SAS</t>
  </si>
  <si>
    <t>SOCIETE D'EXPLOITATION DE KIPOI ''SEK''</t>
  </si>
  <si>
    <t>COMPAGNIE MINIERE DE TONDO SAS</t>
  </si>
  <si>
    <t>RUASHI MINING</t>
  </si>
  <si>
    <t>EVERBRIGHT MINING SARL</t>
  </si>
  <si>
    <t>Societe JEHOVAH JIREH ADO SPRL</t>
  </si>
  <si>
    <t>MUTANDA MINING SARL</t>
  </si>
  <si>
    <t>G12 ENTREPRISE SARL</t>
  </si>
  <si>
    <t>REGAL EXPLORATION DRC SASU</t>
  </si>
  <si>
    <t>GICC Sarl</t>
  </si>
  <si>
    <t>SOCIETE D'EXPLORATION MINIERE DU HAUT KATANGA</t>
  </si>
  <si>
    <t>SURYA MINES SARL</t>
  </si>
  <si>
    <t>CMOC KISANFU MINING SARL</t>
  </si>
  <si>
    <t>MBAKA KAWAYA SARL</t>
  </si>
  <si>
    <t>LA MINIERE DE KALUKUNDI</t>
  </si>
  <si>
    <t>TSM ENTREPRISE SARL</t>
  </si>
  <si>
    <t>SOCIETE MINIERE DU KATANGA</t>
  </si>
  <si>
    <t>AURUM SARL</t>
  </si>
  <si>
    <t>SASE MINING SARL</t>
  </si>
  <si>
    <t>SA DRC Mining</t>
  </si>
  <si>
    <t>SOCIETE MINIERE DE KASONTA</t>
  </si>
  <si>
    <t>E29 RESOURCES SARL</t>
  </si>
  <si>
    <t>KUN TAI CONGO MINING " K.T.C.M"</t>
  </si>
  <si>
    <t>TANTALE MINING KATANGA</t>
  </si>
  <si>
    <t>GEOSCIENCE CONGO SERVICE</t>
  </si>
  <si>
    <t>KANSONGA MINING Sarl</t>
  </si>
  <si>
    <t>WALNI MINERAL COMPANY SARL</t>
  </si>
  <si>
    <t>MACROLINK JIAYUAN MINING</t>
  </si>
  <si>
    <t>LUANZO INVESTISSEMENTS SARL</t>
  </si>
  <si>
    <t>SHITURU MINING CORPORATION</t>
  </si>
  <si>
    <t>SOCIETE MINIERE DE BISUNZU</t>
  </si>
  <si>
    <t>REGAL SUD-KIVU</t>
  </si>
  <si>
    <t>EXCELLEN MINERALS SARL</t>
  </si>
  <si>
    <t>MABENDE MINING SARL</t>
  </si>
  <si>
    <t>CODEMA SARL</t>
  </si>
  <si>
    <t>GIRO GOLDFIELDS</t>
  </si>
  <si>
    <t>KIBALI GOLDMINES</t>
  </si>
  <si>
    <t>SOCIETE MINIERE DE KILO MOTO</t>
  </si>
  <si>
    <t>KODO RESSOURCES SARL</t>
  </si>
  <si>
    <t>BOLFAST</t>
  </si>
  <si>
    <t>METAL MINES Sprl</t>
  </si>
  <si>
    <t>KINSEVERE MINING RESSOURCES</t>
  </si>
  <si>
    <t>FMR DEVELOPMENT</t>
  </si>
  <si>
    <t>SILVER BACK RESSOURCES SARL</t>
  </si>
  <si>
    <t>SOCIETE BOMPANZE ENGOMBE SARL</t>
  </si>
  <si>
    <t>OM METAL RESSOURCES</t>
  </si>
  <si>
    <t>TERRA KARA SARL</t>
  </si>
  <si>
    <t>CONGO GEOLOGICAL SURVEYS</t>
  </si>
  <si>
    <t>SOCIETE MINIERE DE NDUBA SARL</t>
  </si>
  <si>
    <t>CHADY APPART SARL</t>
  </si>
  <si>
    <t>INTERACTIVE ENERGY RUSSIA S.A</t>
  </si>
  <si>
    <t>KADI INTERNATIONAL SARL</t>
  </si>
  <si>
    <t>MCC RESOURCES SARL</t>
  </si>
  <si>
    <t>RATEL METAL CONGO SARL</t>
  </si>
  <si>
    <t>JINXIN MINING S.A</t>
  </si>
  <si>
    <t>CONGO GENERAL DEALERS SARL</t>
  </si>
  <si>
    <t>LA MINIERE DU CONGO_MDC</t>
  </si>
  <si>
    <t>ENTREPRISE GENERALE MALTA FORREST</t>
  </si>
  <si>
    <t>BMN MINING SARL</t>
  </si>
  <si>
    <t>CONGO JIN JU CHENG MINING COMPANY</t>
  </si>
  <si>
    <t>LA SINO-CONGOLAISE DES MINES SA</t>
  </si>
  <si>
    <t>ADUMBI MINING SA</t>
  </si>
  <si>
    <t>LA MINIERE DE KASOMBO</t>
  </si>
  <si>
    <t>GOUVERNORAT DE KINSHASA</t>
  </si>
  <si>
    <t>C.U.P.</t>
  </si>
  <si>
    <t>MINESTONE SARL</t>
  </si>
  <si>
    <t>SOCIETE MINIERE TALANTA SARL</t>
  </si>
  <si>
    <t>SOCIETE D'EXPLOITATION DE SHAMITUMBA SAS</t>
  </si>
  <si>
    <t>TIGER CONGO</t>
  </si>
  <si>
    <t>CARRI CONGO</t>
  </si>
  <si>
    <t>GOUVERNORAT DU BAS-CONGO</t>
  </si>
  <si>
    <t>COMPAGNIE MINIERE DE MUSONOIE GLOBAL</t>
  </si>
  <si>
    <t>GENERALE INDUSTRIELLE ET COMMERCIALE AU CONGO PRO MINING</t>
  </si>
  <si>
    <t>XING DA MINING SARL</t>
  </si>
  <si>
    <t>BROTHER MINING SASU</t>
  </si>
  <si>
    <t>YA FEI MINING SARL</t>
  </si>
  <si>
    <t>SABWE MINING SARL</t>
  </si>
  <si>
    <t>KALONGWE MINING SA</t>
  </si>
  <si>
    <t>MINING MINERAL RESOURCES Sarl</t>
  </si>
  <si>
    <t>CONGO SILVER AGE SCI ET TECH COBALT SARL</t>
  </si>
  <si>
    <t>XING PENG MINING Sarl</t>
  </si>
  <si>
    <t>KISENGO MINING</t>
  </si>
  <si>
    <t>SOCIETE DE COMMERCE INTERNATIONAL ET DES RESSOURCES MINING SARL</t>
  </si>
  <si>
    <t>KIPUSHI CORPORATION</t>
  </si>
  <si>
    <t>12434</t>
  </si>
  <si>
    <t>HONGKONG EXCELLEN MINING INVESTMENT CONGO SARL</t>
  </si>
  <si>
    <t>HONGKONG YISEN INVESTMENT CONGO SARL</t>
  </si>
  <si>
    <t>LA CONGOLAISE D'EXPLOITATION MINIERE S.A.</t>
  </si>
  <si>
    <t>SOCIETE MINIERE DU KONGO SARLU</t>
  </si>
  <si>
    <t>PIMA MINING Sprl</t>
  </si>
  <si>
    <t>GOLDEN AFRICA RESSOURCES SARL</t>
  </si>
  <si>
    <t>KEBAYO MINES SARL</t>
  </si>
  <si>
    <t>LEREXCOM</t>
  </si>
  <si>
    <t>KAMOA COPPER SA</t>
  </si>
  <si>
    <t>MINES D'OR DE KISENGE ''MDDK'' SARL</t>
  </si>
  <si>
    <t>SOCIETE D'EXPLOITATION DES GISEMENTS DE MALEMBA NKULU</t>
  </si>
  <si>
    <t>SHAMIKA T3</t>
  </si>
  <si>
    <t>FRONTIER Sprl</t>
  </si>
  <si>
    <t>CROWN MINING SARL</t>
  </si>
  <si>
    <t>BIENVIEW MINING SARL</t>
  </si>
  <si>
    <t>LUKUTWE SAS</t>
  </si>
  <si>
    <t>C.N.M.C HUACHIN MABENDE MINING SA</t>
  </si>
  <si>
    <t>LEDA MINING CONGO</t>
  </si>
  <si>
    <t>GOUVERNORAT DU HAUT-KATANGA</t>
  </si>
  <si>
    <t>BENDERA MINING COMPANY SARL</t>
  </si>
  <si>
    <t>LUALABA MINING RESOURCES</t>
  </si>
  <si>
    <t>HADASA MINING SARL</t>
  </si>
  <si>
    <t>FOURTUNE CONSTRUCTION CONGO</t>
  </si>
  <si>
    <t>CONGO CONSTRUCTION INVESTMENTS SARL</t>
  </si>
  <si>
    <t>RENZHEN INTERNATIONAL DEVELOPMENT INSTITUTE LIMITED</t>
  </si>
  <si>
    <t>ZHISHOU BUSINESS CONSULTING LTD</t>
  </si>
  <si>
    <t>BAKWAFIKA KABULA ZOROBABEL SARL</t>
  </si>
  <si>
    <t>COMPAGNIE MINIERE DE DEVELOPPEMENT ET DE RECONSTRUCTION</t>
  </si>
  <si>
    <t>ANHUA CONSTRUCTION CONGO SARL</t>
  </si>
  <si>
    <t>ANHUA MINING CONGO</t>
  </si>
  <si>
    <t>Louis Junior BOKENDE AMISI</t>
  </si>
  <si>
    <t>THOMAS MINING SARL</t>
  </si>
  <si>
    <t>SOCIETE ALLAMANDA TRADING SARL</t>
  </si>
  <si>
    <t>LETA MBANVU MINING COMPANY SARL</t>
  </si>
  <si>
    <t>MAZAL CORPORATION SARL</t>
  </si>
  <si>
    <t>Lomami</t>
  </si>
  <si>
    <t>SOCIETE CONSTRUCTION COMPANY SARL</t>
  </si>
  <si>
    <t>DA TONG MINING SARL</t>
  </si>
  <si>
    <t>Patrick NGUDIA TSHIABA</t>
  </si>
  <si>
    <t>SOCIETE CONGO HOLDING SARL</t>
  </si>
  <si>
    <t>COMBINED MINING COMPANY SARL</t>
  </si>
  <si>
    <t>BRAVURA CONGO S.A</t>
  </si>
  <si>
    <t>AFRICA EQUITY &amp; INVESTMENT GROUP SARL</t>
  </si>
  <si>
    <t>LUALABA COPPER SMELTER SAS</t>
  </si>
  <si>
    <t>REGAL SK</t>
  </si>
  <si>
    <t>CHENGTUN CONGO RESSOURCES SARL</t>
  </si>
  <si>
    <t>TAMARIS SERVICE SARL</t>
  </si>
  <si>
    <t>CONGO MANAGEMENT SARL</t>
  </si>
  <si>
    <t>DECO ROOM SARL</t>
  </si>
  <si>
    <t>SOCIETE DE RECHERCHE GEOLOGIQUE ET MINIERE</t>
  </si>
  <si>
    <t>CIMENTERIE DU KIVU</t>
  </si>
  <si>
    <t>COOPERATIVE DES ARTISANAUX MINIERS DU CONGO ENTITE SARL</t>
  </si>
  <si>
    <t>BRITCON COMPANY SARL</t>
  </si>
  <si>
    <t>BMK CONSTRUCTION SARL</t>
  </si>
  <si>
    <t>LOTUS MINING SARL</t>
  </si>
  <si>
    <t>NEW CONGO TEC MINING SARL</t>
  </si>
  <si>
    <t>GLOBAL ENVIRONMENT AND SERVICES</t>
  </si>
  <si>
    <t>LUFIRA MINING COMPANY SARL</t>
  </si>
  <si>
    <t>CHEKINA SARL</t>
  </si>
  <si>
    <t>SOCIETE D' EXPLOITATION MINIERE DE MUSOSHI SA</t>
  </si>
  <si>
    <t>SOCIETE LONGATSHIMO MINING SARL</t>
  </si>
  <si>
    <t>XIN HAO MINING SARL</t>
  </si>
  <si>
    <t>DRC MINING EXPLORATION AND FACILITY BUSINESS SARL</t>
  </si>
  <si>
    <t>LIBELA SARL</t>
  </si>
  <si>
    <t>LA GRACE DE DIEU SARL</t>
  </si>
  <si>
    <t>KUNDELUNGU MINING AND EXPLORATION SA</t>
  </si>
  <si>
    <t>FEZA PENETEBA MINING SARL</t>
  </si>
  <si>
    <t>EVEREST MINING SARL</t>
  </si>
  <si>
    <t>MUBALAMA KABANDA</t>
  </si>
  <si>
    <t>SOCIETE LUALABA MULTI SERVICE AGENCE</t>
  </si>
  <si>
    <t>SOCIETE ALVA RESOURCES SARL</t>
  </si>
  <si>
    <t>BOPE EXPLORATION AND MINING COOPERATION SARL</t>
  </si>
  <si>
    <t>KAMUMER INTERNATIONAL INVESTMENTS AND CONSULTING</t>
  </si>
  <si>
    <t>SOCIETE AGRO-PASTORALE ET MINIERE DU KIVU</t>
  </si>
  <si>
    <t>DES IDEES QUI VALENT DE L'OR</t>
  </si>
  <si>
    <t>GRACE ETONNANTE GROUPE SARL</t>
  </si>
  <si>
    <t>MASISI MINING SARLU</t>
  </si>
  <si>
    <t>MATA SARL</t>
  </si>
  <si>
    <t>SOCIETE GENERALE DE CONSULTANCE</t>
  </si>
  <si>
    <t>CONGOLESE COBALT MANAGEMENT SARL</t>
  </si>
  <si>
    <t>GOLDEN CONSTRUCTION SARL</t>
  </si>
  <si>
    <t>VALLEY MINING GROUP SAS</t>
  </si>
  <si>
    <t>SAF MINING SARL</t>
  </si>
  <si>
    <t>MC TWIGA INDUSTRIES SARL</t>
  </si>
  <si>
    <t>BULABA BUETU BIUMA SARL</t>
  </si>
  <si>
    <t>ELIKA BUSINESS SARL</t>
  </si>
  <si>
    <t>CONGO NEW MINING VISION SARL</t>
  </si>
  <si>
    <t>SUPER KATANGA SARL</t>
  </si>
  <si>
    <t>ZHI PENG MINING SARL</t>
  </si>
  <si>
    <t>SOCIETE MINIERE ET AGRICOLE DU CONGO</t>
  </si>
  <si>
    <t>CL ETOILE SARL</t>
  </si>
  <si>
    <t>BARRICK GOLD CONGO SARL</t>
  </si>
  <si>
    <t>MAWUYA TRADING AU CONGO</t>
  </si>
  <si>
    <t>Sud-Ubangi</t>
  </si>
  <si>
    <t>GREEN MINING SARL</t>
  </si>
  <si>
    <t>NEW DESTINY MINING SARL</t>
  </si>
  <si>
    <t>SOGEMIP MINING SARLU</t>
  </si>
  <si>
    <t>NEK MINING SARL</t>
  </si>
  <si>
    <t>STANVIC MINING SARL</t>
  </si>
  <si>
    <t>COMMERCE GENERAL PHARMACIE HOPITAUX ET INDUSTRIES DU LUALABA</t>
  </si>
  <si>
    <t>BUTA SARL</t>
  </si>
  <si>
    <t>LA JOIE DE VIVRE MINING</t>
  </si>
  <si>
    <t>HEYDAY MINING INVESTMENT RDC</t>
  </si>
  <si>
    <t>OCEANE MINING RDC SA</t>
  </si>
  <si>
    <t>SOCIETE NUMBI EXPLOITATION SARL</t>
  </si>
  <si>
    <t>AIR MARINE AFRICA SARL</t>
  </si>
  <si>
    <t>NIANGARA GOLD MINING SARL</t>
  </si>
  <si>
    <t>COOPERATIVE DES EXPLOITANTS ARTISANAUX MINIERS DE MASISI</t>
  </si>
  <si>
    <t>TITAN MINERALS S.A</t>
  </si>
  <si>
    <t>COMPAGNIE MINIERE DE KATOTO SARL</t>
  </si>
  <si>
    <t>KATANGA TECHNIQUE TRADING</t>
  </si>
  <si>
    <t>AGAPAO GLOBAL BUSINESS SARL</t>
  </si>
  <si>
    <t>GENERALE DES MINES ET DES CARRIERES SARL</t>
  </si>
  <si>
    <t>IN PUT MINING SARL</t>
  </si>
  <si>
    <t>SOCIETE DES MINES ET DES CARRIERES POUR L'EMERGENCE DU CONGO SARL</t>
  </si>
  <si>
    <t>MERCURY MINING COMPANY SARL</t>
  </si>
  <si>
    <t>GOD MATEBWE AND SONS SARL</t>
  </si>
  <si>
    <t>CONGO BANTU MINING SARL</t>
  </si>
  <si>
    <t>KATANGA METALS</t>
  </si>
  <si>
    <t>HOPE CONNECT MINING SARL</t>
  </si>
  <si>
    <t>SOCIETE ASPHASAND SARLU</t>
  </si>
  <si>
    <t>BUKWASHI MINING COMPANY SARL</t>
  </si>
  <si>
    <t>NOUVELLE FRONTIERE SARL</t>
  </si>
  <si>
    <t>SOLEIL MINING SARL</t>
  </si>
  <si>
    <t>WIDAL MINING SARL</t>
  </si>
  <si>
    <t>IVANHOE MINES EXPLORATION DRC SARL</t>
  </si>
  <si>
    <t>BTC MINING AND SERVICES SARL</t>
  </si>
  <si>
    <t>SOCIETE COOPERATION GRAND KATANGA POUR LE DEVELOPPEMENT SARL</t>
  </si>
  <si>
    <t>MAHAVEER MINING SARL</t>
  </si>
  <si>
    <t>KIFUMPA MINING SARL</t>
  </si>
  <si>
    <t>YEKAL MINING SARL</t>
  </si>
  <si>
    <t>KIMIA MINING INVESTMENT SARL</t>
  </si>
  <si>
    <t>TD CONSTRUCTION SARLU</t>
  </si>
  <si>
    <t>CONGO MOON MINING SARL</t>
  </si>
  <si>
    <t>JIKA MINING COMPANY SARL</t>
  </si>
  <si>
    <t>CONGO INVESTMENTS SARL</t>
  </si>
  <si>
    <t>SOCIETE LIBENGE MINING SARLU</t>
  </si>
  <si>
    <t>SOCIETE MULTI COMMERCIALE SARL</t>
  </si>
  <si>
    <t>GLORIA DEI MINING SARL</t>
  </si>
  <si>
    <t>CONGO BLUEANT MINERALS SARL</t>
  </si>
  <si>
    <t>STE MIT MINERALS SARL</t>
  </si>
  <si>
    <t>COOPERATIVE MINIERE RISING STARS</t>
  </si>
  <si>
    <t>ENTREPRISE COMMERCIALE. MINIERE. AGRICOLE ET DE SECURITE SARL</t>
  </si>
  <si>
    <t>KAPIRI MINING SARL</t>
  </si>
  <si>
    <t>GOMINING SARL</t>
  </si>
  <si>
    <t>SOCIETE ORIENTALE RESSOURCES CONGO SARL</t>
  </si>
  <si>
    <t>COMPAGNIE MINIERE MIKUBA RESSOURCES SARL</t>
  </si>
  <si>
    <t>COOPERATIVE MINIERE POUR LE DEVELOPPEMENT COMMUNAUTAIRE</t>
  </si>
  <si>
    <t>MICHEE MINING SARL</t>
  </si>
  <si>
    <t>GOLIN MINING INVESTMENT SARL</t>
  </si>
  <si>
    <t>TSONA MINING RDC</t>
  </si>
  <si>
    <t>GROUPE D.M.S. BUSINESS SARLU</t>
  </si>
  <si>
    <t>Société CIMENKAT</t>
  </si>
  <si>
    <t>MINERAL QUEST SARL</t>
  </si>
  <si>
    <t>SINO KAT TIN SARL</t>
  </si>
  <si>
    <t>SOCIETE MINIERE KIMBANGUISTE SARL</t>
  </si>
  <si>
    <t>AMANI MINERALS KATANGA SARL</t>
  </si>
  <si>
    <t>Nord-Ubangi</t>
  </si>
  <si>
    <t>SOCIETE MINIERE BIALA MUKANGA SARL</t>
  </si>
  <si>
    <t>EVEREST MINING DR CONGO SARL</t>
  </si>
  <si>
    <t>DIESEL MINING&amp;CONSULTANTS SARL</t>
  </si>
  <si>
    <t>FIGA MINING SARL</t>
  </si>
  <si>
    <t>KWESU MINING SARL</t>
  </si>
  <si>
    <t>CONGOLAISE COBALT MANAGEMENT SARL</t>
  </si>
  <si>
    <t>MOORE GOLD SAS</t>
  </si>
  <si>
    <t>KIVU TRUSTED MINING SARLU</t>
  </si>
  <si>
    <t>SOCIETE CONGO CHENGTUN NEW MATERIALS SASU</t>
  </si>
  <si>
    <t>AMBA RESSOURCES SARL</t>
  </si>
  <si>
    <t>SOCIETE GOLIN RESOURCES SARL</t>
  </si>
  <si>
    <t>TURCO CONSTRUCT SARL</t>
  </si>
  <si>
    <t>TLMC MINING S.A.U</t>
  </si>
  <si>
    <t>COMPAGNIE DE SERVICES MULTIPLES</t>
  </si>
  <si>
    <t>SOCIETE BUSINESS KAMANDI MINING SARL</t>
  </si>
  <si>
    <t>KARIBU CONSULTING SARL</t>
  </si>
  <si>
    <t>ARUWIMI MINING SARL</t>
  </si>
  <si>
    <t>MAXIMINES SARL</t>
  </si>
  <si>
    <t>PILAR DRC MINING SARLU</t>
  </si>
  <si>
    <t>NEW CONTINENT MINERALS SARL</t>
  </si>
  <si>
    <t>EXCOMINES REPUBLIQUE DÉMOCRATIQUE DU CONGO</t>
  </si>
  <si>
    <t>MUYA RESSOURCES</t>
  </si>
  <si>
    <t>INTERNATIONAL TE DJWA SARL</t>
  </si>
  <si>
    <t>LUILU GOLD MINING SARL</t>
  </si>
  <si>
    <t>ODILON &amp; MANUEL SARL</t>
  </si>
  <si>
    <t>SOCIETE GLOBAL CONGO MINING SARLU</t>
  </si>
  <si>
    <t>GEOCORE SARL</t>
  </si>
  <si>
    <t>KATANGA MINES CORPORATION SARL</t>
  </si>
  <si>
    <t>KALINDA-LUKUNDU DEVELOPMENT MINING SARL</t>
  </si>
  <si>
    <t>NYEMAK MINING SARL</t>
  </si>
  <si>
    <t>WORLD MINING RDC SARL</t>
  </si>
  <si>
    <t>SOCIETE QUALITY CORPORATE MINING SARL</t>
  </si>
  <si>
    <t>DINAMIQUE CONGO INVESTISSEMENT SARL</t>
  </si>
  <si>
    <t>KIBARA MINERALS SARLU</t>
  </si>
  <si>
    <t>SOCIETE UMOJA MINERALS SARL</t>
  </si>
  <si>
    <t>GRANDS SERVICES SARLU</t>
  </si>
  <si>
    <t>SOCIETE TODAY TOMORROW CONGO SARLU</t>
  </si>
  <si>
    <t>BORA MINERALS SARL</t>
  </si>
  <si>
    <t>SOCIETE SAM ET COMPAGNIE SARL</t>
  </si>
  <si>
    <t>SOCIETE COOPERATIVE GRAND KATANGA POUR LE DEVELOPPEMENT SARL</t>
  </si>
  <si>
    <t>GROUPE M.S.A SA</t>
  </si>
  <si>
    <t>COSMOS MINING SARL</t>
  </si>
  <si>
    <t>LA GRACE F.U.J SARL</t>
  </si>
  <si>
    <t>ALINAWA SARL</t>
  </si>
  <si>
    <t>KABARE GOLD MINING SARL</t>
  </si>
  <si>
    <t>STONE MINING COMPANY SARLU</t>
  </si>
  <si>
    <t>MAÏSHA MULTI-SERVICES MINING SARL</t>
  </si>
  <si>
    <t>LONG TENG MINERALS SARL</t>
  </si>
  <si>
    <t>EMERGING MINING SARLU</t>
  </si>
  <si>
    <t>CONGO GLOBAL MINING CORPORATION SARL</t>
  </si>
  <si>
    <t>NGUBA INVESTMENT SARL</t>
  </si>
  <si>
    <t>SOCIETE WALE CARRIERES SARL</t>
  </si>
  <si>
    <t>SOCIETE DES MINES DU CONGO SASU</t>
  </si>
  <si>
    <t>SOCIETE UMOJA MINING SARL</t>
  </si>
  <si>
    <t>SOCIETE MINIERE DE LONGATSHIMO</t>
  </si>
  <si>
    <t>SOCIETE JAMAA MINING SARL</t>
  </si>
  <si>
    <t>LAMPYRIS SARL</t>
  </si>
  <si>
    <t>UMOJA MINING SARL</t>
  </si>
  <si>
    <t>ALOKANI MINING ET INVESTMENTS SARL</t>
  </si>
  <si>
    <t>SOCIETE AMANI SARLU</t>
  </si>
  <si>
    <t>GOLDIX TRADE COMPANY MINING SARL</t>
  </si>
  <si>
    <t>ULTIMATE INDUSTRIALS SARL</t>
  </si>
  <si>
    <t>SOCIETE MINIERE ITURI MINERAL SARL</t>
  </si>
  <si>
    <t>MASLO SARL</t>
  </si>
  <si>
    <t>PALM CONSTELLATION SARL</t>
  </si>
  <si>
    <t>GROUPE MUEMA BUSINESS SARL</t>
  </si>
  <si>
    <t>SOCIETE D&amp;W MINING</t>
  </si>
  <si>
    <t>CONGO PROGRESS MINING S.A</t>
  </si>
  <si>
    <t>TANGANYIKA MAENDELEO SARL</t>
  </si>
  <si>
    <t>TONGLI RESOURCES SARL</t>
  </si>
  <si>
    <t>GROUPE SIX SARL</t>
  </si>
  <si>
    <t>FODEN MINING CORPORATION SARL</t>
  </si>
  <si>
    <t>SANKURU MINING SARL</t>
  </si>
  <si>
    <t>KIMIA GOLD RESOURCES</t>
  </si>
  <si>
    <t>INTERLACS S.A</t>
  </si>
  <si>
    <t>CONGO MINING CORPORATION SARL</t>
  </si>
  <si>
    <t>GRAND KIVU MINING SARL</t>
  </si>
  <si>
    <t>NURU EXPLORATION SARL</t>
  </si>
  <si>
    <t>PAMPANGA LIGHTS MINING SARLU</t>
  </si>
  <si>
    <t>MODERN CONSTRUCTION SARL</t>
  </si>
  <si>
    <t>NEHEMA COPPER SARLU</t>
  </si>
  <si>
    <t>GROUPE OF COMPANIE REKOPANE DRC SARL</t>
  </si>
  <si>
    <t>CHRIST GOLD MINING SARL</t>
  </si>
  <si>
    <t>ORE BODY PROSPECTING SARL</t>
  </si>
  <si>
    <t>KALONGWE SAS</t>
  </si>
  <si>
    <t>MABANGA SHINING SARLU</t>
  </si>
  <si>
    <t>MWAISENI CONGO SARL</t>
  </si>
  <si>
    <t>CONGO ENVIRONMENT AND MINING CONSULTING</t>
  </si>
  <si>
    <t>RMC MINING SAS</t>
  </si>
  <si>
    <t>GENERAL MINING CORPORATION SARL</t>
  </si>
  <si>
    <t>YASH TRADING SARL</t>
  </si>
  <si>
    <t>A déchoir pour non paiement</t>
  </si>
  <si>
    <t>CIMENTERIE NATIONALE ''CINAT''</t>
  </si>
  <si>
    <t>SIMOBILE SARL</t>
  </si>
  <si>
    <t>SOCIETE D'EXPLOITATION DE LA CASSITERITE AU KATANGA</t>
  </si>
  <si>
    <t>Actif-En Déchéance_NonPaiement</t>
  </si>
  <si>
    <t>Droit Déchu</t>
  </si>
  <si>
    <t>SOCIETE DE BROYAGE AFRICAINE</t>
  </si>
  <si>
    <t>CONGO COBALT CORPORATION SPRL</t>
  </si>
  <si>
    <t>KABONGO DEVELOPPEMENT COMPANY</t>
  </si>
  <si>
    <t>SOCIETE D'EXPLOITATION DES GISEMENTS DE KALUKUNDI</t>
  </si>
  <si>
    <t>Clément LETA MBAMVU</t>
  </si>
  <si>
    <t>BUMBA MINES SARL</t>
  </si>
  <si>
    <t>BAKWAFIKA KABULA</t>
  </si>
  <si>
    <t>KENGERE MINING SA</t>
  </si>
  <si>
    <t>MAKOKO SA</t>
  </si>
  <si>
    <t>Actif-Transformation PR en PE</t>
  </si>
  <si>
    <t>SOCIETE YAMS MINING SARL</t>
  </si>
  <si>
    <t>SOCIETE EVOLUTION MINING SARL</t>
  </si>
  <si>
    <t>SOCIETE PROGRES MINING SARL</t>
  </si>
  <si>
    <t>GOLDEN SANDS MINING SARL</t>
  </si>
  <si>
    <t>SOCIETE ROCHKAT MINING SARL</t>
  </si>
  <si>
    <t>SOCIETE HK CENTER MINING SARL</t>
  </si>
  <si>
    <t>Renouvellement Octroi</t>
  </si>
  <si>
    <t>LONCOR RESOURCES CONGO SARL</t>
  </si>
  <si>
    <t>SOCIETE UBITE MINING SARL</t>
  </si>
  <si>
    <t>CARRIERE DE GRES ET DE SABLES SARL</t>
  </si>
  <si>
    <t>MINING PROGRESS COMPANY SARL</t>
  </si>
  <si>
    <t>SINO KATANGA TIN SARL</t>
  </si>
  <si>
    <t>TANGANYIKA MINING COMPANY</t>
  </si>
  <si>
    <t>GRANDE CIMENTERIE DU KATANGA</t>
  </si>
  <si>
    <t>LEDYA</t>
  </si>
  <si>
    <t>AFRIQUE RESSOURCES INTERNATIONAL SARL</t>
  </si>
  <si>
    <t>SOCIETE MINIERE MAPWAR FAUSTIN SARL</t>
  </si>
  <si>
    <t>COMPAGNIE DE TRAITEMENT DES REJETS DE KINGAMYAMBO</t>
  </si>
  <si>
    <t>LA MINIERE DE LA LUKUGA</t>
  </si>
  <si>
    <t>REGAL MANIEMA SARL</t>
  </si>
  <si>
    <t>MAPOTI OLELA MINING GROUP SARL</t>
  </si>
  <si>
    <t>KANUKA MINING COMPANY</t>
  </si>
  <si>
    <t>FRETIN CONSTRUCT SARL</t>
  </si>
  <si>
    <t>ENTREPRISE MINIERE DU KIVU</t>
  </si>
  <si>
    <t>LUAMBO MINING</t>
  </si>
  <si>
    <t>KATANGA CONSULTING COMPANY</t>
  </si>
  <si>
    <t>Félix MAYANGA MAYANGA</t>
  </si>
  <si>
    <t>CARRIEKIN SARL</t>
  </si>
  <si>
    <t>CAILLASSE DU CONGO</t>
  </si>
  <si>
    <t>MAANYAA SARL</t>
  </si>
  <si>
    <t>BAHATI DIAMOND SPRL</t>
  </si>
  <si>
    <t>KUNTUALA MINING SAS</t>
  </si>
  <si>
    <t>DOFA MINING SARL</t>
  </si>
  <si>
    <t>CONGO METAL Sprl</t>
  </si>
  <si>
    <t>SASO TRANS</t>
  </si>
  <si>
    <t>KATANGA STAR COMPANY SARL</t>
  </si>
  <si>
    <t>KALIKA MINING SARL</t>
  </si>
  <si>
    <t>PPC BARNET DRC QUARRYING S.A</t>
  </si>
  <si>
    <t>MINERALS INVESTMENT</t>
  </si>
  <si>
    <t>GOLD MINING CORPORATION-NEPOKO</t>
  </si>
  <si>
    <t>STE DE CIMENTERIE INDUSTRIELLE DU CONGO</t>
  </si>
  <si>
    <t>Dhanani AZIZ BADRUDIN</t>
  </si>
  <si>
    <t>MAADINI MINING</t>
  </si>
  <si>
    <t>ETABLISSEMENTS EMERGING SERVICES EMERS</t>
  </si>
  <si>
    <t>D'APPUI LOGISTIQUE DU KATANGA</t>
  </si>
  <si>
    <t>SOCIETE GENERALE DEXPLOITATION DE CASITERITE ET ACCOMPAGNATEURS SARL</t>
  </si>
  <si>
    <t>PROXMIN</t>
  </si>
  <si>
    <t>SOCIETE HOLDMARK SARL</t>
  </si>
  <si>
    <t>DELRAND RESOURCES CONGO SPRL</t>
  </si>
  <si>
    <t>LUTWIKA MINING SARL</t>
  </si>
  <si>
    <t>Kwilu</t>
  </si>
  <si>
    <t>SOCIETE KAMKIS MINING SARL</t>
  </si>
  <si>
    <t>CONGO MOTORS Sprl</t>
  </si>
  <si>
    <t>FEREXFOR NKV SARL</t>
  </si>
  <si>
    <t>CARRIERE RUDY SAMBA SARLU</t>
  </si>
  <si>
    <t>MOBILIERS KOKETUA SARL</t>
  </si>
  <si>
    <t>CM MINING SARLU</t>
  </si>
  <si>
    <t>CIMENTERIE DU CONGO</t>
  </si>
  <si>
    <t>KAMAYAL SARL</t>
  </si>
  <si>
    <t>IMEC CONGO</t>
  </si>
  <si>
    <t>INTERNATIONALSTOMS AGENCY Sprl</t>
  </si>
  <si>
    <t>FKV CONSTRUCTION SARL</t>
  </si>
  <si>
    <t>NDONA EXPANSION MINING SARL</t>
  </si>
  <si>
    <t>THREE JS GROUP SARL</t>
  </si>
  <si>
    <t>AFRIMINES RESOURCES SARL</t>
  </si>
  <si>
    <t>CORNER STONES RESOURCES RDC</t>
  </si>
  <si>
    <t>CONGO MINING AND MINERAL RESOURCES</t>
  </si>
  <si>
    <t>CONGO CAILLASSE SARL</t>
  </si>
  <si>
    <t>MAIKO MINERALS FIELDS</t>
  </si>
  <si>
    <t>NYUMBA YA AKIBA SA</t>
  </si>
  <si>
    <t>MONGBWALU GOLD MINES SA</t>
  </si>
  <si>
    <t>Jonas NGOIE MWEPU</t>
  </si>
  <si>
    <t>LUBANGI MUTEBA</t>
  </si>
  <si>
    <t>DA FEI MINING Sarl</t>
  </si>
  <si>
    <t>MADINI BARAKA SARL</t>
  </si>
  <si>
    <t>J3 MINERALS SARL</t>
  </si>
  <si>
    <t>TANTALE ET NIOBIUM DU TANGANYIKA</t>
  </si>
  <si>
    <t>SOCIETE MINIERE DE MITWABA</t>
  </si>
  <si>
    <t>UNITED COMINIERE SAS</t>
  </si>
  <si>
    <t>MURUMBI MINERALS</t>
  </si>
  <si>
    <t>SOCIETE JEPI MINING SARLU</t>
  </si>
  <si>
    <t>SRKM CONSTRUCT</t>
  </si>
  <si>
    <t>COMPAGNIE MINIERE DE DILALA</t>
  </si>
  <si>
    <t>DATHCOM MINING SAS</t>
  </si>
  <si>
    <t>MASALA MINERALS SARL</t>
  </si>
  <si>
    <t>GROUPE NEUF COMPANY SARL</t>
  </si>
  <si>
    <t>KATANGA DEVELOPPEMENT ET ASSOCIES</t>
  </si>
  <si>
    <t>KASAI RESSOURCES SARL</t>
  </si>
  <si>
    <t>FAST SERVICE COMPANY SARL</t>
  </si>
  <si>
    <t>KUPANGA SARL</t>
  </si>
  <si>
    <t>PARAGON MINING SARL</t>
  </si>
  <si>
    <t>Droit Octroyé</t>
  </si>
  <si>
    <t>SOCIETE MAISON LA VICTOIRE/NYIRAGONGO CIMENT SARL</t>
  </si>
  <si>
    <t>CONGO ROOFING SARL</t>
  </si>
  <si>
    <t>BANGU MINING SARLU</t>
  </si>
  <si>
    <t>SOCIETE DES DÉVELOPPEMENTS MINIERS SARL</t>
  </si>
  <si>
    <t>NZILCO STONE SARLU</t>
  </si>
  <si>
    <t>WANI SARL</t>
  </si>
  <si>
    <t>TSHILEMB MANUFACTURE &amp; EXTRACTION S.A</t>
  </si>
  <si>
    <t>VICENT MINING SARLU</t>
  </si>
  <si>
    <t>HANRUI METAL CONGO SARL</t>
  </si>
  <si>
    <t>ENTREPRISE GENERALE DES SERVICES SARL</t>
  </si>
  <si>
    <t>NTOTO WA NTALO</t>
  </si>
  <si>
    <t>GICHON LUIZA SARL</t>
  </si>
  <si>
    <t>PWETO COPPER SMELTER SARL</t>
  </si>
  <si>
    <t>J K MINERALS SARLU</t>
  </si>
  <si>
    <t>ETOILE D’ORIENT</t>
  </si>
  <si>
    <t>SOCIETE COMMERCIALE ASIE AFRIQUE MINES SARL</t>
  </si>
  <si>
    <t>MCWAYI MINING DRC SARLU</t>
  </si>
  <si>
    <t>AMIRAC MINING SARL</t>
  </si>
  <si>
    <t>DETAILS SUR LA PROPRIETE EFFECTIVE</t>
  </si>
  <si>
    <t>Période couverte : 1er janvier au 31 décembre 2022</t>
  </si>
  <si>
    <t>NIF :</t>
  </si>
  <si>
    <t>A0905972C</t>
  </si>
  <si>
    <t>NOM DE L'ENTREPRISE :</t>
  </si>
  <si>
    <t>BOSS MINING</t>
  </si>
  <si>
    <t>Ce formulaire est destiné uniquement aux entreprises extractives</t>
  </si>
  <si>
    <t>Propriétaire effectif (Pour les entreprises privées) : personne physique</t>
  </si>
  <si>
    <t>A remplir si le  propriétaire
effectif est une PPE</t>
  </si>
  <si>
    <t>Informations sur la manière dont la propriété est détenue ou dont le contrôle de l'entreprise est exercé</t>
  </si>
  <si>
    <t>Par actions</t>
  </si>
  <si>
    <t>Par un % des droits de vote</t>
  </si>
  <si>
    <t>Autres</t>
  </si>
  <si>
    <t>Nom comlplet</t>
  </si>
  <si>
    <t>Date de naissance</t>
  </si>
  <si>
    <t>Numéro d'identification national</t>
  </si>
  <si>
    <t>Nationalité</t>
  </si>
  <si>
    <t>Pays de résidence</t>
  </si>
  <si>
    <t>PPE
(Oui/Non)</t>
  </si>
  <si>
    <t>Fonction</t>
  </si>
  <si>
    <t>Date Début Mandat</t>
  </si>
  <si>
    <t>Nombre d'actions</t>
  </si>
  <si>
    <t>% d’actions</t>
  </si>
  <si>
    <t>% de droits de vote directs</t>
  </si>
  <si>
    <t>% de droits de vote indirects</t>
  </si>
  <si>
    <t>Autres Moyens</t>
  </si>
  <si>
    <t>Date d'acquisition de la propriété effective</t>
  </si>
  <si>
    <t>Moyens de contact</t>
  </si>
  <si>
    <t>Autres details</t>
  </si>
  <si>
    <t>Propriétaire effectif : entreprise d'Etat</t>
  </si>
  <si>
    <t>Date de création</t>
  </si>
  <si>
    <t>Pays</t>
  </si>
  <si>
    <t>Date d'acquisition de la propriété effectifle</t>
  </si>
  <si>
    <r>
      <t>Certification</t>
    </r>
    <r>
      <rPr>
        <sz val="10"/>
        <color rgb="FF000000"/>
        <rFont val="Trebuchet MS"/>
        <family val="2"/>
      </rPr>
      <t> </t>
    </r>
  </si>
  <si>
    <t xml:space="preserve">Je, soussigné, confirme, au nom de l'entité déclarante, que les informations fournies dans la présente déclaration de propriété effectifle sont exactes et fidèles. </t>
  </si>
  <si>
    <r>
      <t>[Nom]</t>
    </r>
    <r>
      <rPr>
        <u/>
        <sz val="10"/>
        <color rgb="FF000000"/>
        <rFont val="Trebuchet MS"/>
        <family val="2"/>
      </rPr>
      <t>______________________</t>
    </r>
    <r>
      <rPr>
        <sz val="10"/>
        <color rgb="FF000000"/>
        <rFont val="Trebuchet MS"/>
        <family val="2"/>
      </rPr>
      <t xml:space="preserve">                         </t>
    </r>
  </si>
  <si>
    <r>
      <t>[Fonction]</t>
    </r>
    <r>
      <rPr>
        <u/>
        <sz val="10"/>
        <color rgb="FF000000"/>
        <rFont val="Trebuchet MS"/>
        <family val="2"/>
      </rPr>
      <t>_____________________</t>
    </r>
    <r>
      <rPr>
        <sz val="10"/>
        <color rgb="FF000000"/>
        <rFont val="Trebuchet MS"/>
        <family val="2"/>
      </rPr>
      <t xml:space="preserve">                           </t>
    </r>
    <r>
      <rPr>
        <sz val="10"/>
        <color rgb="FFFF0000"/>
        <rFont val="Trebuchet MS"/>
        <family val="2"/>
      </rPr>
      <t>[</t>
    </r>
    <r>
      <rPr>
        <u/>
        <sz val="10"/>
        <color rgb="FFFF0000"/>
        <rFont val="Trebuchet MS"/>
        <family val="2"/>
      </rPr>
      <t>Signature]</t>
    </r>
    <r>
      <rPr>
        <u/>
        <sz val="10"/>
        <color rgb="FF000000"/>
        <rFont val="Trebuchet MS"/>
        <family val="2"/>
      </rPr>
      <t>_________________</t>
    </r>
  </si>
  <si>
    <t>[Nous joignons les informations complémentaires suivantes pour permettre de vérifier les informations fournies relatives à la propriété effectifle :]</t>
  </si>
  <si>
    <t>….</t>
  </si>
  <si>
    <r>
      <t>Une PPE est défini comme suit</t>
    </r>
    <r>
      <rPr>
        <b/>
        <sz val="10"/>
        <color rgb="FF262626"/>
        <rFont val="Trebuchet MS"/>
        <family val="2"/>
      </rPr>
      <t xml:space="preserve"> :</t>
    </r>
  </si>
  <si>
    <r>
      <t>L’expression </t>
    </r>
    <r>
      <rPr>
        <b/>
        <i/>
        <sz val="10"/>
        <color rgb="FF262626"/>
        <rFont val="Trebuchet MS"/>
        <family val="2"/>
      </rPr>
      <t xml:space="preserve">personnes politiquement exposées (PPE) </t>
    </r>
    <r>
      <rPr>
        <i/>
        <sz val="10"/>
        <color rgb="FF262626"/>
        <rFont val="Trebuchet MS"/>
        <family val="2"/>
      </rPr>
      <t xml:space="preserve">étrangères désigne les personnes qui exercent ou ont exercé d'importantes fonctions publiques dans un pays étranger, par exemple, </t>
    </r>
  </si>
  <si>
    <t>les chefs d'État et de gouvernement, les politiciens de haut rang, les hauts responsables au sein des pouvoirs publics, les magistrats et militaires de haut rang, les dirigeants d'entreprise publique et les hauts responsables de partis politiques.</t>
  </si>
  <si>
    <r>
      <t>L’expression </t>
    </r>
    <r>
      <rPr>
        <b/>
        <i/>
        <sz val="10"/>
        <color rgb="FF262626"/>
        <rFont val="Trebuchet MS"/>
        <family val="2"/>
      </rPr>
      <t>PPE nationales</t>
    </r>
    <r>
      <rPr>
        <i/>
        <sz val="10"/>
        <color rgb="FF262626"/>
        <rFont val="Trebuchet MS"/>
        <family val="2"/>
      </rPr>
      <t xml:space="preserve"> désigne les personnes physiques qui exercent ou ont exercé d'importantes fonctions publiques dans le pays, par exemple, les chefs d'État et de gouvernement, les politiciens de haut rang, </t>
    </r>
  </si>
  <si>
    <t xml:space="preserve"> les hauts responsables au sein des pouvoirs publics, les magistrats et militaires de haut rang, les dirigeants d'entreprise publique et les hauts responsables de partis politiques.</t>
  </si>
  <si>
    <t xml:space="preserve">Les personnes qui exercent ou ont exercé d’importantes fonctions au sein de ou pour le compte d’une organisation internationale désigne les membres de la haute direction, </t>
  </si>
  <si>
    <t>c’est-à- dire les directeurs, les directeurs adjoints et les membres du conseil d’administration et toutes les personnes exerçant des fonctions équivalentes.</t>
  </si>
  <si>
    <t>La notion de PPE ne couvre pas les personnes de rang moyen ou inférieur relevant des catégories ci-dessus.</t>
  </si>
  <si>
    <t>Total</t>
  </si>
  <si>
    <t>Déclaré</t>
  </si>
  <si>
    <t>Non déclaré</t>
  </si>
  <si>
    <t>Num périmètre</t>
  </si>
  <si>
    <t>Nom de la société</t>
  </si>
  <si>
    <t>NIF</t>
  </si>
  <si>
    <t xml:space="preserve">Capital </t>
  </si>
  <si>
    <t>Structure du capital</t>
  </si>
  <si>
    <t>Publique</t>
  </si>
  <si>
    <t>%</t>
  </si>
  <si>
    <t>Locale</t>
  </si>
  <si>
    <t>Etrangère</t>
  </si>
  <si>
    <t>A0701041Q</t>
  </si>
  <si>
    <t>N/A</t>
  </si>
  <si>
    <t xml:space="preserve">La Générale des Carrières et des Mines </t>
  </si>
  <si>
    <t>Katanga Mining Finance Ltd</t>
  </si>
  <si>
    <t>Britannique</t>
  </si>
  <si>
    <t>Société Immobilière du Congo</t>
  </si>
  <si>
    <t>TENKE FUNGURUME MINING</t>
  </si>
  <si>
    <t>A0810758D</t>
  </si>
  <si>
    <t>Gécamines</t>
  </si>
  <si>
    <t>TF Holdings Limited &amp; autres (TF Holding Ltd a comme propriétaires ultimes China Molybdenum Co Limited (CMOC Ltd).</t>
  </si>
  <si>
    <t>HONK KONG</t>
  </si>
  <si>
    <t>LA COMPAGNIE MINIERE DE MUSONOIE GLOBAL</t>
  </si>
  <si>
    <t>A0815341K</t>
  </si>
  <si>
    <t>La Générale des Carrières et des Mines ''GECAMINES SA''</t>
  </si>
  <si>
    <t>JICHENG MINING Limited</t>
  </si>
  <si>
    <t>Chinoise</t>
  </si>
  <si>
    <t>COMPAGNIE D'EXPLOITATION DES REJETS DE KINGAMYAMBO SARL</t>
  </si>
  <si>
    <t>A1007580B</t>
  </si>
  <si>
    <t>20 000 000 USD</t>
  </si>
  <si>
    <t>Puissance publique</t>
  </si>
  <si>
    <t>HIGHWIND PROPERTIES LIMITED</t>
  </si>
  <si>
    <t>Anglaise</t>
  </si>
  <si>
    <t>PAREAS LIMITED</t>
  </si>
  <si>
    <t>INTERIM HOLDING LIMITED</t>
  </si>
  <si>
    <t>BLUE NARCISSUS LIMITED</t>
  </si>
  <si>
    <t>SOCIETE MINIERE DE DEZIWA SAS</t>
  </si>
  <si>
    <t>A1712131F</t>
  </si>
  <si>
    <t>10 000 USD
14 000 000 CDF</t>
  </si>
  <si>
    <t>GECAMINES</t>
  </si>
  <si>
    <t>CTCL</t>
  </si>
  <si>
    <t>KAMOA COPPER SA (ex. BARBADOS)</t>
  </si>
  <si>
    <t>A0901048A</t>
  </si>
  <si>
    <t>500 000 USD</t>
  </si>
  <si>
    <t>RDC</t>
  </si>
  <si>
    <t>KAMOA HOLDING LTD</t>
  </si>
  <si>
    <t>Barbade</t>
  </si>
  <si>
    <t>FRONTIER SA</t>
  </si>
  <si>
    <t>A0905460W</t>
  </si>
  <si>
    <t>KIBALI GOLDMINES SA</t>
  </si>
  <si>
    <t>A0702049L</t>
  </si>
  <si>
    <t>10 000 000 USD</t>
  </si>
  <si>
    <t>SOKIMO</t>
  </si>
  <si>
    <t>BARRICK</t>
  </si>
  <si>
    <t>ANGLO GOLD</t>
  </si>
  <si>
    <t>Générale des Carrières et des Mines(GECAMINES SA)</t>
  </si>
  <si>
    <t>A0701147F</t>
  </si>
  <si>
    <t>2 401 500 000 000 CDF</t>
  </si>
  <si>
    <t xml:space="preserve">ETAT </t>
  </si>
  <si>
    <t>MUTANDA MINING</t>
  </si>
  <si>
    <t>A0704867Z</t>
  </si>
  <si>
    <t>SAMREF OVERSEAS</t>
  </si>
  <si>
    <t>RSA</t>
  </si>
  <si>
    <t>COMPAGNIE MINIERE DE KAMBOVE</t>
  </si>
  <si>
    <t>A1100211S</t>
  </si>
  <si>
    <t>NORIN MINING</t>
  </si>
  <si>
    <t>PORTE FEUILLE</t>
  </si>
  <si>
    <t>LA MINIERE DE KALUNKUNDI (LAMIKAL SA)</t>
  </si>
  <si>
    <t>A0906438J</t>
  </si>
  <si>
    <t>République Démocratique du Congo</t>
  </si>
  <si>
    <t>Manacongo</t>
  </si>
  <si>
    <t>Norin Mining Kingco Ltd</t>
  </si>
  <si>
    <t>CHINOISE</t>
  </si>
  <si>
    <t>Managem International AG</t>
  </si>
  <si>
    <t>MAROCAINE</t>
  </si>
  <si>
    <t>MMG KINSEVERE SPRL</t>
  </si>
  <si>
    <t>A0800394N</t>
  </si>
  <si>
    <t>41 233 838 USD</t>
  </si>
  <si>
    <t>MMG AFRICA INVESTMENTS LIMITED</t>
  </si>
  <si>
    <t>ILES VIERGES BRITANIQUES</t>
  </si>
  <si>
    <t>ANVIL MINING LIMITED</t>
  </si>
  <si>
    <t>A1710145X</t>
  </si>
  <si>
    <t>14 000 000 CDF</t>
  </si>
  <si>
    <t>CNMHKL</t>
  </si>
  <si>
    <t>CONGO DONGFANG INTERNATIONAL MINING</t>
  </si>
  <si>
    <t>A0712822W</t>
  </si>
  <si>
    <t>26 100 000 USD</t>
  </si>
  <si>
    <t>HUAYOU HONGKONG CO.,LTD</t>
  </si>
  <si>
    <t>CHINE</t>
  </si>
  <si>
    <t>HUAYUAN COPPER CO.,LTD</t>
  </si>
  <si>
    <t>ANGLETERRE</t>
  </si>
  <si>
    <t>ZHEJANG HUAYOU COBALT CO.,LTD</t>
  </si>
  <si>
    <t>HUAYOU INTERNATIONAL MINING CO.,LTD</t>
  </si>
  <si>
    <t>CHEMICAL OF AFRICA Sarl</t>
  </si>
  <si>
    <t>A0708211J</t>
  </si>
  <si>
    <t>51717970 USD</t>
  </si>
  <si>
    <t>CHEMAF RESOURCES LTD</t>
  </si>
  <si>
    <t>Emiratie</t>
  </si>
  <si>
    <t>SHIRAZ VIRJI</t>
  </si>
  <si>
    <t>Indienne</t>
  </si>
  <si>
    <t>A0704687D</t>
  </si>
  <si>
    <t>12 000 000 USD</t>
  </si>
  <si>
    <t>Ruashi Holdings</t>
  </si>
  <si>
    <t>A1704478M</t>
  </si>
  <si>
    <t>2 000 000 USD</t>
  </si>
  <si>
    <t>HUAN QIU</t>
  </si>
  <si>
    <t>KAI PENG MINING SARLU</t>
  </si>
  <si>
    <t>A1206441Q</t>
  </si>
  <si>
    <t>30 000 000 USD</t>
  </si>
  <si>
    <t>MAURITIUS NANKAI HOLDING GROUP CO.,LTD</t>
  </si>
  <si>
    <t>Compagnie Minière de Luisha SAS</t>
  </si>
  <si>
    <t>A0815428E</t>
  </si>
  <si>
    <t>7 000 000 USD</t>
  </si>
  <si>
    <t>CREC</t>
  </si>
  <si>
    <t>CNMC HUACHIN MABENDE MINING SPRL</t>
  </si>
  <si>
    <t>A1217593M</t>
  </si>
  <si>
    <t>CHINE NONFERROUS MINING HING KONG HOLDING LIMITED</t>
  </si>
  <si>
    <t>HUACHIN SARL</t>
  </si>
  <si>
    <t>CHEBIB MOUKACHAR</t>
  </si>
  <si>
    <t>A0814790L</t>
  </si>
  <si>
    <t>ZHE JIANG HUA YOU COBALT Co,Ltd</t>
  </si>
  <si>
    <t>HUAYOU INTERNATIONAL MINING(HONG KONG)CO.LTD</t>
  </si>
  <si>
    <t>KISENDA COPPER COMPAGNY</t>
  </si>
  <si>
    <t>A0704875H</t>
  </si>
  <si>
    <t>1 250 000 USD</t>
  </si>
  <si>
    <t>SODMICO SA</t>
  </si>
  <si>
    <t>CRC</t>
  </si>
  <si>
    <t>SUD AFRICAINE</t>
  </si>
  <si>
    <t>Metorex</t>
  </si>
  <si>
    <t>A1008279L</t>
  </si>
  <si>
    <t>3 000 000 USD</t>
  </si>
  <si>
    <t>GECAMINES SA</t>
  </si>
  <si>
    <t>ECCH</t>
  </si>
  <si>
    <t>SOCIETE DE TRAITEMENT DE TERRIL DE LUBUMBASHI</t>
  </si>
  <si>
    <t>A0700357X</t>
  </si>
  <si>
    <t>519 900,54 USD</t>
  </si>
  <si>
    <t>A0704865X</t>
  </si>
  <si>
    <t>KALYAN LIMITED</t>
  </si>
  <si>
    <t>BVI</t>
  </si>
  <si>
    <t>SHUKRANA LIMITED</t>
  </si>
  <si>
    <t>HUACHIN METAL LEACH SPRL</t>
  </si>
  <si>
    <t>A1113665R</t>
  </si>
  <si>
    <t>CNMC</t>
  </si>
  <si>
    <t>HUACHIN</t>
  </si>
  <si>
    <t>ABU</t>
  </si>
  <si>
    <t>SINO CONGOLAISE DES MINES</t>
  </si>
  <si>
    <t>A1007960P</t>
  </si>
  <si>
    <t>100 000 000 USD</t>
  </si>
  <si>
    <t>LA GENERALE DES CARRIERES ET DES MINES SARL</t>
  </si>
  <si>
    <t>China Railway (Hong Kong) Engineering Ltd</t>
  </si>
  <si>
    <t>LA SOCIETE IMMOBILERE DO CONGO SPRL</t>
  </si>
  <si>
    <t>POWERCHINA Resources Ltd</t>
  </si>
  <si>
    <t>ZHEJIANG HUAYOU COBALT CO.LTD</t>
  </si>
  <si>
    <t>KISANFU MINING</t>
  </si>
  <si>
    <t>A1004150Y</t>
  </si>
  <si>
    <t>20 721 086 USD</t>
  </si>
  <si>
    <t>SOCIETE D'EXPLOITATION KIPOI</t>
  </si>
  <si>
    <t>A0811655D</t>
  </si>
  <si>
    <t>CONGO MINERALS SARL</t>
  </si>
  <si>
    <t>BALCON INVESTMENTS AND LOGISTICS (Pty) Ltd</t>
  </si>
  <si>
    <t>CMOC KISANFU MINING SARL (EX. PHELPS DODGE CONGO)</t>
  </si>
  <si>
    <t>A0906604P</t>
  </si>
  <si>
    <t>102 132 800 USD</t>
  </si>
  <si>
    <t>Etat congolais</t>
  </si>
  <si>
    <t>Jenny East Holdings Ltd.</t>
  </si>
  <si>
    <t>bermuda</t>
  </si>
  <si>
    <t xml:space="preserve">Kisanfu Holdings Ltd. </t>
  </si>
  <si>
    <t>SOCIETE CNMC CONGO COMPAGNIE MINIERE SARL</t>
  </si>
  <si>
    <t>A1507008K</t>
  </si>
  <si>
    <t>50 000 USD</t>
  </si>
  <si>
    <t>CNMCC</t>
  </si>
  <si>
    <t>LA MINIERE DE KALUMBWE MYUNGA</t>
  </si>
  <si>
    <t>A0704883R</t>
  </si>
  <si>
    <t>1 000 000 USD</t>
  </si>
  <si>
    <t>MONSIEUR SUKADI DIABOD</t>
  </si>
  <si>
    <t>CHINA RAILWAY RESSOUCES UNIVERSAL LIMITES</t>
  </si>
  <si>
    <t>TENGYUAN COBALT &amp; COPPER RESSOURCES LTD CO</t>
  </si>
  <si>
    <t>A1608603U</t>
  </si>
  <si>
    <t>9 300 000 USD</t>
  </si>
  <si>
    <t>METAL MINES</t>
  </si>
  <si>
    <t>A0814803A</t>
  </si>
  <si>
    <t>4 320 000 000 USD</t>
  </si>
  <si>
    <t>A1803946K</t>
  </si>
  <si>
    <t>A1711931N</t>
  </si>
  <si>
    <t>20 000 USD</t>
  </si>
  <si>
    <t>RUBAMIN</t>
  </si>
  <si>
    <t>A0814806D</t>
  </si>
  <si>
    <t>25 000 000 USD</t>
  </si>
  <si>
    <t>Rubamin FZC</t>
  </si>
  <si>
    <t>Arabe</t>
  </si>
  <si>
    <t>Atul N. Dalmia</t>
  </si>
  <si>
    <t>Indien</t>
  </si>
  <si>
    <t>Anil R Patel</t>
  </si>
  <si>
    <t>Navin M. Dalmia</t>
  </si>
  <si>
    <t>SOCIETE IMMOBILIERE DU CONGO SAS</t>
  </si>
  <si>
    <t>A1115317M</t>
  </si>
  <si>
    <t>100 000 USD</t>
  </si>
  <si>
    <t>A1405813K</t>
  </si>
  <si>
    <t>184 000 000 CDF</t>
  </si>
  <si>
    <t>CONGO JIN JU CHENG MINING COMPANY SARL/CJCMC SARL</t>
  </si>
  <si>
    <t>A0907120A</t>
  </si>
  <si>
    <t>8 676 957 USD</t>
  </si>
  <si>
    <t>KAI FENG JILLION TRADE Co Ltd</t>
  </si>
  <si>
    <t>Madame CAI XIULING</t>
  </si>
  <si>
    <t>Monsieur Gabembo Kobo Basil</t>
  </si>
  <si>
    <t>SOCIETE ANHUI CONGO D'INVESTIMENT MINIER</t>
  </si>
  <si>
    <t>A1001383Q</t>
  </si>
  <si>
    <t>8 400 000 USD</t>
  </si>
  <si>
    <t>AFECC</t>
  </si>
  <si>
    <t>MACROLINK JIAYUAN MINING SARL</t>
  </si>
  <si>
    <t>A0814788J</t>
  </si>
  <si>
    <t>ANVIL MINING CONGO SARL</t>
  </si>
  <si>
    <t>A0700172W</t>
  </si>
  <si>
    <t>92 000 000 USD</t>
  </si>
  <si>
    <t>Fondation Dikulushi-Kapulo</t>
  </si>
  <si>
    <t>MawsonWest Invest. Ltd</t>
  </si>
  <si>
    <t>Australienne</t>
  </si>
  <si>
    <t>A1604102C</t>
  </si>
  <si>
    <t>5 000 USD</t>
  </si>
  <si>
    <t>SKY PEARL EXPLORATION LIMITED</t>
  </si>
  <si>
    <t>DIVINE LAND MINING SARL</t>
  </si>
  <si>
    <t>A1507009L</t>
  </si>
  <si>
    <t>66 000 USD</t>
  </si>
  <si>
    <t>LUO GUANGCHEN</t>
  </si>
  <si>
    <t>ZHU MINGHAI</t>
  </si>
  <si>
    <t>A0802327P</t>
  </si>
  <si>
    <t>4 000 000 USD</t>
  </si>
  <si>
    <t>CANADIENNE</t>
  </si>
  <si>
    <t>PIRAN INVESTMENTS LTD</t>
  </si>
  <si>
    <t>INDIENNE</t>
  </si>
  <si>
    <t>A1009298T</t>
  </si>
  <si>
    <t>KIPUSHI HOLDING TLD</t>
  </si>
  <si>
    <t>BARBADIENNE</t>
  </si>
  <si>
    <t>A1716204H</t>
  </si>
  <si>
    <t>HONG KONG KELIXIN METAL MATERIALS CO. LIMITED</t>
  </si>
  <si>
    <t>CONGO COBALT CORPORATION (ex SMKK.)</t>
  </si>
  <si>
    <t>A0906508K</t>
  </si>
  <si>
    <t>20 200 USD</t>
  </si>
  <si>
    <t>ERG CONGO BV</t>
  </si>
  <si>
    <t>HOLANDAISE</t>
  </si>
  <si>
    <t>A1500849Q</t>
  </si>
  <si>
    <t>3 300 000 CDF</t>
  </si>
  <si>
    <t>BOKONDA BALELA FAUSTIN</t>
  </si>
  <si>
    <t>BOKONDA UNGA ARISTOTE</t>
  </si>
  <si>
    <t>Société Aurifère du Kivu et du Maniema</t>
  </si>
  <si>
    <t>A1105861J</t>
  </si>
  <si>
    <t>A0814809G</t>
  </si>
  <si>
    <t>Societé RUBAMIN FZC</t>
  </si>
  <si>
    <t>Monsieur ANIL PATEL</t>
  </si>
  <si>
    <t>Monsieur ATUL DALMIA</t>
  </si>
  <si>
    <t>Monsieur NAVIN DALMIA</t>
  </si>
  <si>
    <t>LA CONGOLAISE DES MINES ET DE DEVELOPPEMENT SPRL</t>
  </si>
  <si>
    <t>A0704695M</t>
  </si>
  <si>
    <t>LUALABA MINING RESOURCES SAS</t>
  </si>
  <si>
    <t>A1616095N</t>
  </si>
  <si>
    <t>MINALEX SARL</t>
  </si>
  <si>
    <t>La Congolaise d'Exploitation Minière</t>
  </si>
  <si>
    <t>A1113407L</t>
  </si>
  <si>
    <t>1 000 000 000 CDF</t>
  </si>
  <si>
    <t>CNSS</t>
  </si>
  <si>
    <t>DATHCOM ( DE AVZ, EX DATHOMIR)</t>
  </si>
  <si>
    <t>A1622637Z</t>
  </si>
  <si>
    <t>100 000 000 CDF</t>
  </si>
  <si>
    <t>COMINIERE SA</t>
  </si>
  <si>
    <t>DATHOMIR MINING RESSOURCES SARLU</t>
  </si>
  <si>
    <t>AVZ INTERNATIONAL PTY LTD</t>
  </si>
  <si>
    <t>AUSTRALIENNE</t>
  </si>
  <si>
    <t>GIRO GOLDFIELDS SARL</t>
  </si>
  <si>
    <t>A1216135C</t>
  </si>
  <si>
    <t>AMANI CONSULTING</t>
  </si>
  <si>
    <t>EVERBRIGTH MINING</t>
  </si>
  <si>
    <t>A1916886B</t>
  </si>
  <si>
    <t>Eunitial Mining Investment Limited</t>
  </si>
  <si>
    <t>Solarin International Investment Limited</t>
  </si>
  <si>
    <t>KIMIA MINING INVESTMENT</t>
  </si>
  <si>
    <t>A1512949S</t>
  </si>
  <si>
    <t>KGOR</t>
  </si>
  <si>
    <t>LIN HAO</t>
  </si>
  <si>
    <t>ABONGANIBO AIME</t>
  </si>
  <si>
    <t>LIN FUXIANG</t>
  </si>
  <si>
    <t>CHEN SHUNMING</t>
  </si>
  <si>
    <t>GAO QUAN YI</t>
  </si>
  <si>
    <t>SHAO YANYANG</t>
  </si>
  <si>
    <t>LIN YANHUI</t>
  </si>
  <si>
    <t>WU YUN</t>
  </si>
  <si>
    <t>YU WENHUA</t>
  </si>
  <si>
    <t>PENG MINGLIANG</t>
  </si>
  <si>
    <t>SOCIETE SURYA MINES SARL</t>
  </si>
  <si>
    <t>A1812418T</t>
  </si>
  <si>
    <t>5 500 000 USD</t>
  </si>
  <si>
    <t>SOLEILMINIERE COMPANIE</t>
  </si>
  <si>
    <t>SURYA METAL AND INDUSTRIES PTE LTD</t>
  </si>
  <si>
    <t>SINGAPOUR</t>
  </si>
  <si>
    <t>Monsieur SULTAN JUMA MULANI</t>
  </si>
  <si>
    <t>Monsieur DAREDIA SALIMBHAI</t>
  </si>
  <si>
    <t>A1006506J</t>
  </si>
  <si>
    <t>180 000 000 CDF</t>
  </si>
  <si>
    <t>Kamal Srour</t>
  </si>
  <si>
    <t>Libanaise</t>
  </si>
  <si>
    <t>Rima Srour</t>
  </si>
  <si>
    <t>A1916905X</t>
  </si>
  <si>
    <t>10 000 CDF</t>
  </si>
  <si>
    <t>Eunitial Mining investment Limited</t>
  </si>
  <si>
    <t>Ile Maurice</t>
  </si>
  <si>
    <t>Seychelles</t>
  </si>
  <si>
    <t>LIVE IN GRPE</t>
  </si>
  <si>
    <t>A1508529N</t>
  </si>
  <si>
    <t>NGONDO MINING</t>
  </si>
  <si>
    <t>A17211220K</t>
  </si>
  <si>
    <t>NGONDO RESOURCES LIMITED</t>
  </si>
  <si>
    <t>SOCIETE D'EXPLOITATION MINIERE DU HAUT-KATANGA</t>
  </si>
  <si>
    <t>A1908132L</t>
  </si>
  <si>
    <t>SOCIETE SUN VENTURES LLC-FZ</t>
  </si>
  <si>
    <t>EMIRATS ARABES UNIS</t>
  </si>
  <si>
    <t>SOCIETE BHUMI INVESTMENTS LLC-FZ</t>
  </si>
  <si>
    <t>TSHISANGAMA SIMEON MINING</t>
  </si>
  <si>
    <t>A0805717Z</t>
  </si>
  <si>
    <t>TSHISANGAMA SIMÉON</t>
  </si>
  <si>
    <t>TSHISANGAMA SIMON TONY</t>
  </si>
  <si>
    <t>A0811080D</t>
  </si>
  <si>
    <t>2 164 810,64 USD</t>
  </si>
  <si>
    <t>A0700201C</t>
  </si>
  <si>
    <t>108 183 301,00 USD</t>
  </si>
  <si>
    <t>SIBEKA</t>
  </si>
  <si>
    <t>Belge</t>
  </si>
  <si>
    <t>A0905363Q</t>
  </si>
  <si>
    <t>234 684 000 000 CDF</t>
  </si>
  <si>
    <t>A0811093S</t>
  </si>
  <si>
    <t>450 000 000 USD</t>
  </si>
  <si>
    <t>Béneficiaire effectif</t>
  </si>
  <si>
    <t>LA Générale des Carrières et des Mines</t>
  </si>
  <si>
    <t>le 20 Juin 2017</t>
  </si>
  <si>
    <t>Glencore International est une société cotée en bourse</t>
  </si>
  <si>
    <t>2007/2017/2023</t>
  </si>
  <si>
    <t>Baarermattstrasse3-CH-6340 Baar Szitwerland</t>
  </si>
  <si>
    <t>République Démocatique du Congo</t>
  </si>
  <si>
    <t>Ministere du portefeuille/RDC</t>
  </si>
  <si>
    <t>CONGO</t>
  </si>
  <si>
    <t xml:space="preserve">PORTE FEUILLE </t>
  </si>
  <si>
    <t xml:space="preserve">GECAMINES </t>
  </si>
  <si>
    <t>RAS</t>
  </si>
  <si>
    <t>CHINA NONFERREOUS MINING HONG KONG INVESTMENT LIMITED</t>
  </si>
  <si>
    <t>HUAYOU INTER MINING CO,LIMITED</t>
  </si>
  <si>
    <t>CHINA</t>
  </si>
  <si>
    <t>JUILLET 2016</t>
  </si>
  <si>
    <t>Room 802, Floor 8, Na non Commercial Building, No 69A Wu Hu Street, Hung Hom, Kowloon, Hong Kong</t>
  </si>
  <si>
    <t>HUAYUAN COPPER COMPANY LIMITED</t>
  </si>
  <si>
    <t>NOVEMBRE 2019</t>
  </si>
  <si>
    <t>Sea Meadow House,Blackburne Highway,(P.O.Box 116),road Town British Virgin Island</t>
  </si>
  <si>
    <t>ZHEJIANG HUAYOU COLBAT CO,LTDLTD</t>
  </si>
  <si>
    <t>OCTOBRE 2010</t>
  </si>
  <si>
    <t>No.18,WuZhen E.Rd Economic Development Zone of Tongxiang, Zhejiang Province,China</t>
  </si>
  <si>
    <t>HUAYOU HONOKONG CO,LIMITED</t>
  </si>
  <si>
    <t>Room 802,Floor 8,Nan On Commecial Building,No.69A Wu HU Street, Hung Hom Kowloon,Hong Kong</t>
  </si>
  <si>
    <t>Jinchuan</t>
  </si>
  <si>
    <t>Chine</t>
  </si>
  <si>
    <t>CHEN DONG</t>
  </si>
  <si>
    <t>CHEN JIAQING</t>
  </si>
  <si>
    <t>RD CONGO</t>
  </si>
  <si>
    <t>AOUT 2017</t>
  </si>
  <si>
    <t>AOUT 2008</t>
  </si>
  <si>
    <t>JIANG ZHAO BAI</t>
  </si>
  <si>
    <t xml:space="preserve">sunny.xu@shiturumining.com </t>
  </si>
  <si>
    <t>CHAITANYA CHUG</t>
  </si>
  <si>
    <t>1312, AV. MAMAN YEMO. C/L'SHI</t>
  </si>
  <si>
    <t>RAHIM UMEDALI DHROLIA</t>
  </si>
  <si>
    <t>21/03/2003</t>
  </si>
  <si>
    <t>7658, AV. KILWA. C/L'SHI</t>
  </si>
  <si>
    <t>SHAOYUAN SUN</t>
  </si>
  <si>
    <t>Monsieur SUKADI DIABOD</t>
  </si>
  <si>
    <t>CONGOLAISE</t>
  </si>
  <si>
    <t>443, Av. Colonel Munziba c/lshi-katanga ou sukarich@hotmailcom</t>
  </si>
  <si>
    <t>Mr. Atul N. Dalmia</t>
  </si>
  <si>
    <t>Block No. 14/A, Green Acres, At &amp; PO : Ampad, Taluka &amp; Dist : Vadodara - Gujarat (Inde)</t>
  </si>
  <si>
    <t>Mr. Anil R. Patel</t>
  </si>
  <si>
    <t>Plot No.8, R.S. No.79, At &amp; PO : Sevasi, Dist : Baroda, Gujarat (Inde)</t>
  </si>
  <si>
    <t>Mr. Navin M. Dalmia</t>
  </si>
  <si>
    <t>Rubamin,  26-27, Poteau Rouze, Route Kambove, Commune de Panda, Likasi, Province : Katanga, D.R. Congo</t>
  </si>
  <si>
    <t>Mrs. Seema Atul Dalmia</t>
  </si>
  <si>
    <t>Mrs. Mita Anil Patel</t>
  </si>
  <si>
    <t>Mr. Hetav  Anil Patel</t>
  </si>
  <si>
    <t>WANG QIULI</t>
  </si>
  <si>
    <t>chinoise</t>
  </si>
  <si>
    <t>JIANG QINGDE</t>
  </si>
  <si>
    <t xml:space="preserve">CHAITANYA CHUG </t>
  </si>
  <si>
    <t>RAHIM  DHROLIA</t>
  </si>
  <si>
    <t>HITESH CHAG BHUDHARBHAI</t>
  </si>
  <si>
    <t>Générale de carrière et des mines</t>
  </si>
  <si>
    <t>Mr. Nandkishore J. Dalmia</t>
  </si>
  <si>
    <t>C-602, C-Tower , Bhadralok, Old Padra Road, Baroda - 390 015, Gujarat (Inde)</t>
  </si>
  <si>
    <t>Mrs. Gyan Nandkishore Dalmia</t>
  </si>
  <si>
    <t>Gecamines SA (Etat congolais</t>
  </si>
  <si>
    <t>29/7/2016</t>
  </si>
  <si>
    <t>419, Boulevard Kamanyola, Lubumbashi, RDC</t>
  </si>
  <si>
    <t>810207190, 815291059</t>
  </si>
  <si>
    <t>ABONGANIBO PENE AIME</t>
  </si>
  <si>
    <t>Monsieur DAREDIA SALIM BHAI</t>
  </si>
  <si>
    <t>Monsieur Surya Prakash</t>
  </si>
  <si>
    <t>Madame Swati Choudhary</t>
  </si>
  <si>
    <t>Monsieur Bheru Lal Jat</t>
  </si>
  <si>
    <t>Monsieur Goverdhan Agarwal</t>
  </si>
  <si>
    <t>Madame Priyanka Agarwal</t>
  </si>
  <si>
    <t>Madame Sunita Agarwal</t>
  </si>
  <si>
    <t>Madame Priyanka Upadhyay</t>
  </si>
  <si>
    <t>Monsieur Vinod Agarwal</t>
  </si>
  <si>
    <t>Madame Indra Choudhary</t>
  </si>
  <si>
    <t>Madame Kanika Agarwal</t>
  </si>
  <si>
    <t>Madame Shruti Agarwal</t>
  </si>
  <si>
    <t>Liban</t>
  </si>
  <si>
    <t>Kaushal Kishore Bhairulal</t>
  </si>
  <si>
    <t>+243810060000</t>
  </si>
  <si>
    <t>Mukesh Samota</t>
  </si>
  <si>
    <t>Surya Prakash Shatrughan</t>
  </si>
  <si>
    <t xml:space="preserve">Arun Daulatram Datwani </t>
  </si>
  <si>
    <t>Congolaise</t>
  </si>
  <si>
    <t>ETAT CONGOLAIS</t>
  </si>
  <si>
    <t>MUANDA INTERNATIONAL OIL COMPANY</t>
  </si>
  <si>
    <t>A0701284E</t>
  </si>
  <si>
    <t>PERENCO</t>
  </si>
  <si>
    <t>Francaise</t>
  </si>
  <si>
    <t>PERENCO OVERSEAS JAPAN Ltd (ex TEIKOKU)</t>
  </si>
  <si>
    <t>A0703938P</t>
  </si>
  <si>
    <t>PERENCO ODS (EX. CHEVRON ODS)</t>
  </si>
  <si>
    <t>A0703905D</t>
  </si>
  <si>
    <t>68 770 205 USD</t>
  </si>
  <si>
    <t>PERENCO RECHERCHE ET EXPLOITATION PETROLIERE</t>
  </si>
  <si>
    <t>A1215507U</t>
  </si>
  <si>
    <t>818 403 733 CDF</t>
  </si>
  <si>
    <t>LIREX</t>
  </si>
  <si>
    <t>A0703937N</t>
  </si>
  <si>
    <t>36 595 368 CDF</t>
  </si>
  <si>
    <t>Incompatible avec la declaration du propriétaire effectif</t>
  </si>
  <si>
    <t>SURESTREAM RDC</t>
  </si>
  <si>
    <t>A0706875G</t>
  </si>
  <si>
    <t>21 022 USD</t>
  </si>
  <si>
    <t>LOG E&amp;P SA</t>
  </si>
  <si>
    <t>Surestream Petroleum Ltd</t>
  </si>
  <si>
    <t>ANGLAISE</t>
  </si>
  <si>
    <t>Ebeli-Popo</t>
  </si>
  <si>
    <t>Christopher N Pitman</t>
  </si>
  <si>
    <t>Mehmet Engin Adiguzel</t>
  </si>
  <si>
    <t>TURQUE</t>
  </si>
  <si>
    <t>Moustapha Niasse</t>
  </si>
  <si>
    <t>SENEGALAISE</t>
  </si>
  <si>
    <t>Société Nationale des Hydrocarbures du Congo</t>
  </si>
  <si>
    <t>A0700108B</t>
  </si>
  <si>
    <t>68 069 790 000 CDF</t>
  </si>
  <si>
    <t>CODAN TRUST COMPANY(GUERNSEY) LIMITED</t>
  </si>
  <si>
    <t>Suite 6 Tower Hill House Le Bordage St Peter Port  Guernsey</t>
  </si>
  <si>
    <t>CODAN SERVICES (T&amp;C) LIMITED</t>
  </si>
  <si>
    <t xml:space="preserve">Bristol House PO Box 171 Providenciales Turks &amp; Caicos Islands The British West Indies  </t>
  </si>
  <si>
    <t>PERENCO (RDC) SA</t>
  </si>
  <si>
    <t>Lyford Manor,lyford Cay, westBay Street, PO Box N10051 Nassau, Bahamas</t>
  </si>
  <si>
    <t xml:space="preserve">Lyford Manor, Lyford Cay, West Bay Street, PO Box N10051 Nassau, Bahamas </t>
  </si>
  <si>
    <t>PETRODRILL INTERNATIONAL LIMITED</t>
  </si>
  <si>
    <t xml:space="preserve">Lyford Manor, Lyford Cay, West Bay Street, Nassau, Bahamas </t>
  </si>
  <si>
    <t>SONAHYDROC SA</t>
  </si>
  <si>
    <t>TENGYUAN COBALT &amp; COPPER RESOURCES LTD</t>
  </si>
  <si>
    <t>BM GLOBAL BUSINESS SARL</t>
  </si>
  <si>
    <t>ADVANCE INDUSTRY CONGO SARL</t>
  </si>
  <si>
    <t>STATUT 2021</t>
  </si>
  <si>
    <t>Actif en cours de Cession Totale</t>
  </si>
  <si>
    <t>NATURE 2021</t>
  </si>
  <si>
    <t>STATUT 2022</t>
  </si>
  <si>
    <t>NATURE 2022</t>
  </si>
  <si>
    <r>
      <rPr>
        <sz val="10"/>
        <rFont val="Trebuchet MS"/>
        <family val="2"/>
      </rPr>
      <t>UNITED COMINIERE SAS</t>
    </r>
  </si>
  <si>
    <r>
      <rPr>
        <sz val="10"/>
        <rFont val="Trebuchet MS"/>
        <family val="2"/>
      </rPr>
      <t>PR</t>
    </r>
  </si>
  <si>
    <r>
      <rPr>
        <sz val="10"/>
        <rFont val="Trebuchet MS"/>
        <family val="2"/>
      </rPr>
      <t>Haut-Lomami</t>
    </r>
  </si>
  <si>
    <r>
      <rPr>
        <sz val="10"/>
        <rFont val="Trebuchet MS"/>
        <family val="2"/>
      </rPr>
      <t>Actif-En Déchéance_NonPaiement</t>
    </r>
  </si>
  <si>
    <t>N</t>
  </si>
  <si>
    <t>Sociétés</t>
  </si>
  <si>
    <t>OUI</t>
  </si>
  <si>
    <t>NON</t>
  </si>
  <si>
    <t>A0805833A</t>
  </si>
  <si>
    <t>non</t>
  </si>
  <si>
    <t>A1513596W</t>
  </si>
  <si>
    <t>SONAHYDROC</t>
  </si>
  <si>
    <t>FD soumis</t>
  </si>
  <si>
    <t>Soumission détails participations</t>
  </si>
  <si>
    <t>Publication GES</t>
  </si>
  <si>
    <t>Ste</t>
  </si>
  <si>
    <t>oui</t>
  </si>
  <si>
    <t>X</t>
  </si>
  <si>
    <t>N/R</t>
  </si>
  <si>
    <t>HAUT KATANGA</t>
  </si>
  <si>
    <t>COMIKA</t>
  </si>
  <si>
    <t>LUALABA MINING</t>
  </si>
  <si>
    <t>HUACHIN METAL LEACH</t>
  </si>
  <si>
    <t>MM MINING</t>
  </si>
  <si>
    <t>LUALABA</t>
  </si>
  <si>
    <t>SOGECOM SARL</t>
  </si>
  <si>
    <t>num périmètre</t>
  </si>
  <si>
    <t>Description de la dépense</t>
  </si>
  <si>
    <t>Entité  Bénéficiaire</t>
  </si>
  <si>
    <t>% des femmes parmi
les bénéficaires</t>
  </si>
  <si>
    <t xml:space="preserve">Région du bénéficiaire
</t>
  </si>
  <si>
    <t>Localisation de l'ouvrage executé (</t>
  </si>
  <si>
    <t>Qualité du
Maître d'ouvrage</t>
  </si>
  <si>
    <t>Identité du
maitre d'œuvre</t>
  </si>
  <si>
    <t>Base juridique  
(cahier des charges ou protocoles d'accords, etc.)</t>
  </si>
  <si>
    <t>Paiements en numéraires</t>
  </si>
  <si>
    <t>Paiements en nature (sous forme de projet)</t>
  </si>
  <si>
    <t xml:space="preserve">contrats liés aux dépenses sociales </t>
  </si>
  <si>
    <t>Date Début des travaux ou services</t>
  </si>
  <si>
    <t xml:space="preserve">Date Réception </t>
  </si>
  <si>
    <t>Coût du service
USD</t>
  </si>
  <si>
    <t>Total de la
 Dépense
USD</t>
  </si>
  <si>
    <t>Coût du Projet encouru durant l'année 2022
USD</t>
  </si>
  <si>
    <t>Date Début 
des travaux ou services</t>
  </si>
  <si>
    <t xml:space="preserve">Date 
Réception </t>
  </si>
  <si>
    <t>Coût de l'infrastructure 
communautaire
USD</t>
  </si>
  <si>
    <t>La société divulgue-t-elle les contrats se rapportant aux dépenses sociales obligatoires? (oui/non)</t>
  </si>
  <si>
    <t>Si oui, ajouter le lien internet</t>
  </si>
  <si>
    <t xml:space="preserve">Si non, préciser les obstacles à la publication </t>
  </si>
  <si>
    <t>Programme de crédit Mais</t>
  </si>
  <si>
    <t>Participants au Programme</t>
  </si>
  <si>
    <t>Concession TFM</t>
  </si>
  <si>
    <t>Arreté Provincial Numéro 2008/0008/katanga du 22 mars 2008 portant mesures d'encadrement de la production agricole dans la province du Katanga</t>
  </si>
  <si>
    <t>Réinstallation</t>
  </si>
  <si>
    <t>Personnes affectées par le Projet</t>
  </si>
  <si>
    <t>La politique de réinstallation de TFM et son engagement à l'ESIA (Environmental and Social Impact Assessments)</t>
  </si>
  <si>
    <t>groupement et commune</t>
  </si>
  <si>
    <t xml:space="preserve">Pour les années 2018-2023
</t>
  </si>
  <si>
    <t>Cahier des charges</t>
  </si>
  <si>
    <t>toutes les 8 communautés environnantes (Dépenses de 2024)
(Quartier :BIASHARA MUSONOIE KANINA GCM)
(Villages:TSHABULA PIERRE-MUTEBA TSHIZUZA KAPEPA)</t>
  </si>
  <si>
    <t>Groupement (Villages:TSHABULA PIERRE-MUTEBA TSHIZUZA KAPEPA)
Commune (Quartier :BIASHARA MUSONOIE KANINA GCM)</t>
  </si>
  <si>
    <t>cahier des charges</t>
  </si>
  <si>
    <t>l'anné 2021</t>
  </si>
  <si>
    <t>Non, il n'y a pas des contrats liés pour les projets du  cahier des charges, il y a l'avis d'offre sur le site Internet de l'ARSP, les contrat sont enregistrés par l'ARSP.</t>
  </si>
  <si>
    <t>pour plus d'information:
https://arsp.cd/en/accueil-english/</t>
  </si>
  <si>
    <t xml:space="preserve">Mise en oeuvre des projets du cahier des charges </t>
  </si>
  <si>
    <t xml:space="preserve">9 Communautes impactees par le projet minier de Metalkol SA </t>
  </si>
  <si>
    <t xml:space="preserve">Territoire de Mutshtsha /Secteur Luilu/Groupement Kazembe </t>
  </si>
  <si>
    <t xml:space="preserve">Kipepa, Kashala, Kamimbi, UCK Samukinda, Tshala, Tshamundenda, Samukonga, Kamimbi 2. </t>
  </si>
  <si>
    <t xml:space="preserve">Entreprise Miniere </t>
  </si>
  <si>
    <t xml:space="preserve">Metalkol SA </t>
  </si>
  <si>
    <t>Cahier des charges  de Responsabilites Societales</t>
  </si>
  <si>
    <t xml:space="preserve">Aout 2021 </t>
  </si>
  <si>
    <t>Decembre 2023</t>
  </si>
  <si>
    <t>approvisionnement intrants et matériels agricoles</t>
  </si>
  <si>
    <t>village TSHIKALA, village MUMPAJA...</t>
  </si>
  <si>
    <t>secteur LUILU</t>
  </si>
  <si>
    <t>SOMIDEZ</t>
  </si>
  <si>
    <t xml:space="preserve">cahier des charges </t>
  </si>
  <si>
    <t>le 12 Sep. 2022</t>
  </si>
  <si>
    <t>Soutien apporté à la culture semimécanisée du maïs au sein de la coopérative agricole Chawama.</t>
  </si>
  <si>
    <t xml:space="preserve">Coopérative agricole Chawama </t>
  </si>
  <si>
    <t xml:space="preserve">Sakania _Sec de Balamba _Gpt Katala </t>
  </si>
  <si>
    <t xml:space="preserve">Kimfumpa, Kaloko Kabumba Sakania, Lukangaba Mashimu et Custums </t>
  </si>
  <si>
    <t xml:space="preserve">CDC </t>
  </si>
  <si>
    <t>Septembre 2021</t>
  </si>
  <si>
    <t>juin 2022</t>
  </si>
  <si>
    <t>Organisation d'une formation agro- pastorale dans  le cadre  du cahier des charges.</t>
  </si>
  <si>
    <t xml:space="preserve">CLD </t>
  </si>
  <si>
    <t xml:space="preserve">Province du Haut-Katanga
Territoire de Sakania 
Secteur Balamba </t>
  </si>
  <si>
    <t>Kimfumpa, Kaloko Kabumba Sakania, Lukangaba Mashimu et Custums</t>
  </si>
  <si>
    <t xml:space="preserve">Frontier </t>
  </si>
  <si>
    <t>Mars 2022</t>
  </si>
  <si>
    <t xml:space="preserve">Dons aux vulnérables, assistances mensuelles régulières (assistance hôpitaux, centres de santé), appui aux chefs locaux, sport, mangeurs de cuivre, etc. </t>
  </si>
  <si>
    <t>Hopituaux, centre des santé, chefs locaux</t>
  </si>
  <si>
    <t>SECTEUR LUILU</t>
  </si>
  <si>
    <t>LIBERTY SPRL</t>
  </si>
  <si>
    <t>SPRL</t>
  </si>
  <si>
    <t>PERIODIQUE, MENSUELLE, TRIMESTRIELLE</t>
  </si>
  <si>
    <t>Don en nature</t>
  </si>
  <si>
    <t xml:space="preserve">Appui à l’Agriculture Vivrière (Culture de Maïs, Arachide, Haricot, Soja) et à la mécanisation agricole. </t>
  </si>
  <si>
    <t xml:space="preserve">(50 associations et </t>
  </si>
  <si>
    <t>SION INVESTEMENT</t>
  </si>
  <si>
    <t>ANNUELLE</t>
  </si>
  <si>
    <t xml:space="preserve">Education </t>
  </si>
  <si>
    <t>Assistance Financière aux enseignants,construction aires de jeux, don materiels didactiques aux enseignants et aux eleves</t>
  </si>
  <si>
    <t>MAKASHA, AARON, RAYON SERVICES, GMT</t>
  </si>
  <si>
    <t>ETABLISSEMENT, SARL</t>
  </si>
  <si>
    <t>Construction aires de jeux, do en nature</t>
  </si>
  <si>
    <t xml:space="preserve">Santé </t>
  </si>
  <si>
    <t>Assistance aux structures de Santé de l’Etat. (ZS), et donation en nature pour la lutte contre le cholera, VIH, Paludisme</t>
  </si>
  <si>
    <t xml:space="preserve">WATU WETU, MAKASHA, AARON, </t>
  </si>
  <si>
    <t>Sensibilisation preventive appui au MCZ</t>
  </si>
  <si>
    <t>Genre</t>
  </si>
  <si>
    <t>Formation assosciations des femmes sur le genre et le developpement et violence</t>
  </si>
  <si>
    <t>DYNAMIQUE DES FEMMES POUR LE DEVELOPPEMENT DU CONG0</t>
  </si>
  <si>
    <t>DYNAMIQUE DES FEMMES POUR LE DEVELOPPEMENT DU CONGO</t>
  </si>
  <si>
    <t>ASBL</t>
  </si>
  <si>
    <t>Formation associations communautaires des femmes</t>
  </si>
  <si>
    <t xml:space="preserve">Célebration du mois de la femme </t>
  </si>
  <si>
    <t xml:space="preserve">Travailleurs </t>
  </si>
  <si>
    <t>KAMBOVE</t>
  </si>
  <si>
    <t xml:space="preserve">KAMBOVE </t>
  </si>
  <si>
    <t xml:space="preserve">ENTREPRISE </t>
  </si>
  <si>
    <t>Aide Sociale</t>
  </si>
  <si>
    <t>Non</t>
  </si>
  <si>
    <t>Colis de fin d'année</t>
  </si>
  <si>
    <t>Construction du pont Sur la Riviere Kifumanshi a Kilongo</t>
  </si>
  <si>
    <t>Communautes environnantes de la Mine</t>
  </si>
  <si>
    <t>Kipushi / Bukanda/Groupement Kasongo</t>
  </si>
  <si>
    <t>Haut Katanga / Kipushi / Bukanda / Groupement Kasongo</t>
  </si>
  <si>
    <t>Societe Miniere</t>
  </si>
  <si>
    <t>MMG KINSEVERE</t>
  </si>
  <si>
    <t>Cahier des Charges de l'Entreprise MMG dans le Secteur de Bukanda</t>
  </si>
  <si>
    <t>Réhabilitation et extension du réseau électrique dans le village de Kilongo</t>
  </si>
  <si>
    <t>Communautes du village Kilongo</t>
  </si>
  <si>
    <t>Construction et équipement d'un bureau d'administration du village Kifita</t>
  </si>
  <si>
    <t xml:space="preserve">Communautes du village Kifita </t>
  </si>
  <si>
    <t>Programme d'assistance aux agriculteurs</t>
  </si>
  <si>
    <t>Communaute environnantes de la Mine / Agriculteurs</t>
  </si>
  <si>
    <t>Kipushi / Bukanda</t>
  </si>
  <si>
    <t>Haut Katage / Kipushi / Bukanda / Kinsevere</t>
  </si>
  <si>
    <t>Cultures maraîchères</t>
  </si>
  <si>
    <t>Élevage et amélioration du bétail</t>
  </si>
  <si>
    <t>Programme de reboisement communautaire</t>
  </si>
  <si>
    <t>Construction et équipement du centre de santé de Kifita</t>
  </si>
  <si>
    <t>Construction et équipement du post de santé de Sela</t>
  </si>
  <si>
    <t>Construction et équipement de l'ecole secondaire de Kifita</t>
  </si>
  <si>
    <t>Paiement mensuel des enseignants</t>
  </si>
  <si>
    <t>Renforcement des capacites et formation des enseignants</t>
  </si>
  <si>
    <t>Bourses Kinsevere pour le niveau secondaire</t>
  </si>
  <si>
    <t>Programme d'alphabetisation des adultes</t>
  </si>
  <si>
    <t>Amélioration des latrines</t>
  </si>
  <si>
    <t xml:space="preserve">Acces a l'eau potable (Forage et installation de pompes à eau &amp; Nettoyage et désinfection des puits d'eau et sensibilisation aux maladies transmises par l'eau  </t>
  </si>
  <si>
    <t>Project    d' Agricultures</t>
  </si>
  <si>
    <t xml:space="preserve">22 ONGS  </t>
  </si>
  <si>
    <t>HAUT   KATANGA</t>
  </si>
  <si>
    <t>RUASHI,KIPUSHI</t>
  </si>
  <si>
    <t xml:space="preserve">ONGS </t>
  </si>
  <si>
    <t xml:space="preserve">CAHIER DE   CHARGES </t>
  </si>
  <si>
    <t>JUIN 2022</t>
  </si>
  <si>
    <t>ruashi@ruashi.com</t>
  </si>
  <si>
    <t>Project  d' Eletrifiction luano</t>
  </si>
  <si>
    <t>Quartier   Luano</t>
  </si>
  <si>
    <t>RUASHI,</t>
  </si>
  <si>
    <t>FREKAM</t>
  </si>
  <si>
    <t>AVRIL 2022</t>
  </si>
  <si>
    <t>SEPTEMBRE 2022</t>
  </si>
  <si>
    <t>Construction Ecole   Primaire</t>
  </si>
  <si>
    <t>Quartier  KANAMBA</t>
  </si>
  <si>
    <t>RUASHI</t>
  </si>
  <si>
    <t>RJM</t>
  </si>
  <si>
    <t>Decembre 2022</t>
  </si>
  <si>
    <t>DECEMBRE 2022</t>
  </si>
  <si>
    <t>Construction Clinic  Luano</t>
  </si>
  <si>
    <t xml:space="preserve">LWALABA  </t>
  </si>
  <si>
    <t>Fevrier 2022</t>
  </si>
  <si>
    <t>Novenbre 2022</t>
  </si>
  <si>
    <t>Equipements   medicales  clinic   Ruashi  HAKIKA</t>
  </si>
  <si>
    <t>ONG</t>
  </si>
  <si>
    <t xml:space="preserve">CAHIER DE  CHARGES </t>
  </si>
  <si>
    <t>juillet 2022</t>
  </si>
  <si>
    <t xml:space="preserve">ETUDES TOPOGRAPHIQUE,ELABORATION DU DOCUMET CAHIER DES CHAERGES </t>
  </si>
  <si>
    <t>COMMUNAUTE KINSENDA</t>
  </si>
  <si>
    <t>Kinsdenda kitotwe territoire de sakania</t>
  </si>
  <si>
    <t>Kinsenda</t>
  </si>
  <si>
    <t xml:space="preserve">Aménagement des Poteaux </t>
  </si>
  <si>
    <t xml:space="preserve">Les cinq quartiers  impactés  par les   </t>
  </si>
  <si>
    <t xml:space="preserve">Haut -Katanga  </t>
  </si>
  <si>
    <t xml:space="preserve">Jeunes de la   </t>
  </si>
  <si>
    <t xml:space="preserve">Cahier des charges </t>
  </si>
  <si>
    <t>Aout  2022</t>
  </si>
  <si>
    <t>au quartier Q/MAMPALA 2</t>
  </si>
  <si>
    <t xml:space="preserve">activités de STL </t>
  </si>
  <si>
    <t>C/ Lubumbashi</t>
  </si>
  <si>
    <t>Communauté</t>
  </si>
  <si>
    <t>  31 635,00</t>
  </si>
  <si>
    <t xml:space="preserve">Aménagement de l’Avenue </t>
  </si>
  <si>
    <t>des écoles Q/SALAMA</t>
  </si>
  <si>
    <t>du marchés  Q/MaMPALA2</t>
  </si>
  <si>
    <t xml:space="preserve">Aménagement de l’avenue </t>
  </si>
  <si>
    <t>Mulamba Nyunyi</t>
  </si>
  <si>
    <t xml:space="preserve">Construction de 4 bureaux de quartiers </t>
  </si>
  <si>
    <t>MUMBUNDA</t>
  </si>
  <si>
    <t>MAMPLA2</t>
  </si>
  <si>
    <t>SALAMA</t>
  </si>
  <si>
    <t>LIDO</t>
  </si>
  <si>
    <t>Réhabilitation du bureau de</t>
  </si>
  <si>
    <t xml:space="preserve"> Q/MAMPALA 1</t>
  </si>
  <si>
    <t>REHABILITATION DES ROUTES DANS LES CELLULES (23KM)</t>
  </si>
  <si>
    <t>COMMUNE ANNEXE</t>
  </si>
  <si>
    <t>CAHIEER DES CHARGES</t>
  </si>
  <si>
    <t>ALIMENTATION EN EAU POTABLE QUARTIER MUKUNTO (5 FORAGES)</t>
  </si>
  <si>
    <t>APPUI AUX ELEVEURS DE POULETS ( 2000 POUSSINS)</t>
  </si>
  <si>
    <t>FOURNITURE DES TUYAUX DES TRANSFORMATEURS ET CABLES (3 TRANSFO)</t>
  </si>
  <si>
    <t>APPUI AUX ACTIVITES DE CULTURE MARAICHERE ( 50 Ha)</t>
  </si>
  <si>
    <t>ALIMENTATION EN EAU POTABLE QUARTIER MUKUNTO (6 FORAGES)</t>
  </si>
  <si>
    <t>CHEFFERIE KAPONDA</t>
  </si>
  <si>
    <t>CONSTRUCTION DE QUATRE ECOLES PRIMAIRES</t>
  </si>
  <si>
    <t>CONSTRUCTION DE QUATRE POSTES DE SANTE</t>
  </si>
  <si>
    <t>APPUI AUX PRODUCTEURS DE Maïs</t>
  </si>
  <si>
    <t>卡巴达医院建设项目
Projet de construction d'un hôpital du quartier Kapata</t>
  </si>
  <si>
    <t>卡巴达社区
Quartier Kapata</t>
  </si>
  <si>
    <t>**</t>
  </si>
  <si>
    <t>科卢韦齐市
Ville de Kolwezi</t>
  </si>
  <si>
    <t>卢阿拉巴省科卢韦齐市卡巴达社区
Quartier Kapata, Ville de Kolwezi, Province du Lualaba</t>
  </si>
  <si>
    <t>社会责任书
Cahier des charges</t>
  </si>
  <si>
    <t>卡巴达技术中学建设项目
Projet de construction d'une école technique du quartier Kapata</t>
  </si>
  <si>
    <t>农业机械化项目
Projet de mécanisation agriculture</t>
  </si>
  <si>
    <t>卡巴达社区和绿路社区
Quartier Kapata et secteur de Luilu</t>
  </si>
  <si>
    <t>卢阿拉巴省科卢韦齐市卡巴达社区和绿路社区
Quartier Kapata  et secteur de Luilu, Ville de Kolwezi, Province du Lualaba</t>
  </si>
  <si>
    <t>玉米扶持项目
Projet d'appui aux producteur de maïs</t>
  </si>
  <si>
    <t>卢阿拉巴省科卢韦齐市卡巴达社区和绿路社区
Quartier Kapata et secteur de Luilu, Ville de Kolwezi, Province du Lualaba</t>
  </si>
  <si>
    <t>卡巴达B6堤坝修复项目
Projet de réhabilitation de la digue B6 du quartier Kapata</t>
  </si>
  <si>
    <t>绿路区MUTAKA堤坝修复项目
Projet de réhabnilitation de la digue Mutaka du secteur de Luilu</t>
  </si>
  <si>
    <t>绿路社区
Secteur de Luilu</t>
  </si>
  <si>
    <t>卢阿拉巴省科卢韦齐市绿路社区
Secteur de Luilu, Ville de Kolwezi, Province du Lualaba</t>
  </si>
  <si>
    <t>卡巴达村长办公室修复项目
Projet de réhabilitation du bureau quartier Kapata</t>
  </si>
  <si>
    <t>绿路区饮用水供应项目
Projet d'alimentation en eau potable du secteur de Luilu</t>
  </si>
  <si>
    <t>绿路区足球场平整项目
Projet amenagement des terrains de football du secteur de Luilu</t>
  </si>
  <si>
    <t>卡巴达4所学校长凳配备和修复项目
Projet de réhabilitation et équipement en bancs 4 écoles du Quartier Kapata</t>
  </si>
  <si>
    <t>绿路区三所小学建设项目
Projet de construction de 3 écoles primaires du secteur de Luilu</t>
  </si>
  <si>
    <t>绿路区泥土路修复项目
Projet de réhabilitation des routes en terre battue du secteur de Luilu</t>
  </si>
  <si>
    <t>Formation agricole et intrants agricoles</t>
  </si>
  <si>
    <t>*09 villages impactés par le projet KFM</t>
  </si>
  <si>
    <t>Chefferie des Bayeke</t>
  </si>
  <si>
    <t>Société KFM, le promoteur</t>
  </si>
  <si>
    <t>CEADO &amp; Mson EBEN EZER</t>
  </si>
  <si>
    <t>Cahier des Charges</t>
  </si>
  <si>
    <t>01/04/2022</t>
  </si>
  <si>
    <t>10/12/2022</t>
  </si>
  <si>
    <t>Réparation puits d'eau</t>
  </si>
  <si>
    <t>Mayeba</t>
  </si>
  <si>
    <t>AED &amp; ACOHYDRAM</t>
  </si>
  <si>
    <t>01/01/2022</t>
  </si>
  <si>
    <t>05/01/2022</t>
  </si>
  <si>
    <t>Etude de faisabilité d'électrificaiton Kisanfu</t>
  </si>
  <si>
    <t>Kisanfu Koni，Kisanfu Gare</t>
  </si>
  <si>
    <t>CONGO ENERGY</t>
  </si>
  <si>
    <t>02/11/2021</t>
  </si>
  <si>
    <t>10/01/2022</t>
  </si>
  <si>
    <t xml:space="preserve">Services de santé </t>
  </si>
  <si>
    <t>ZONE DE SANTE LUALABA</t>
  </si>
  <si>
    <t>31/12/2022</t>
  </si>
  <si>
    <t>Puits solaire Kisanfu</t>
  </si>
  <si>
    <t>Kisanfu Koni</t>
  </si>
  <si>
    <t>DEV ENERGIE SARL</t>
  </si>
  <si>
    <t>08/06/2022</t>
  </si>
  <si>
    <t>Electrification Kisanfu</t>
  </si>
  <si>
    <t>Kisanfu Gare</t>
  </si>
  <si>
    <t>TSHWALEC MEGAWATT SARL</t>
  </si>
  <si>
    <t>23/03/2022</t>
  </si>
  <si>
    <t>Alphabétisation</t>
  </si>
  <si>
    <t>NYUMBA YA BINTI BORA</t>
  </si>
  <si>
    <t>15/04/2022</t>
  </si>
  <si>
    <t>30/09/2022</t>
  </si>
  <si>
    <t>Extension école Mayeba et dotation des articles scolaires</t>
  </si>
  <si>
    <t>EQUIPE DE KFM</t>
  </si>
  <si>
    <t>16/05/2022</t>
  </si>
  <si>
    <t>Formation technique</t>
  </si>
  <si>
    <t>KAYOMB TSHIJIK SARL</t>
  </si>
  <si>
    <t>Eau,hygiene et assainissement</t>
  </si>
  <si>
    <t>ALTERNATIVES FOR ACTIONS</t>
  </si>
  <si>
    <t>20/08/2022</t>
  </si>
  <si>
    <t>Education/Formation santé</t>
  </si>
  <si>
    <t>ZONE DE SANTE LUALABA &amp; AIR DE SANTE KISANFU</t>
  </si>
  <si>
    <t>société</t>
  </si>
  <si>
    <t xml:space="preserve">Identité du Bénéficiaire
</t>
  </si>
  <si>
    <t>Localisation
de l'ouvrage exécuté</t>
  </si>
  <si>
    <t xml:space="preserve">Base juridique  </t>
  </si>
  <si>
    <t>Coût du Projet encouru
durant l'année 2022 USD</t>
  </si>
  <si>
    <t>Construction et équipement de 3 écoles : Tujenge (11 classes), Tshamundenda (8 classes) &amp; Tshala (8 classes)</t>
  </si>
  <si>
    <t>Institut Tujenge de Musonoie, Ecole Kanema de Tshamundenda, Ecole Unufuo de Tshala</t>
  </si>
  <si>
    <t>Commune de Dilala &amp; Secteur de Luilu</t>
  </si>
  <si>
    <t>Musonoie, Tshamundenda, Tshala</t>
  </si>
  <si>
    <t>Entreprise Héglo, Entreprise SOGESCO, Entreprise Héglo</t>
  </si>
  <si>
    <t xml:space="preserve">Contrat </t>
  </si>
  <si>
    <t>Réhabilitation et équipement de 3 maisons de liaison: Luilu (pièces), Musonoie (5 pièces), UCK (4 pièces)</t>
  </si>
  <si>
    <t>Structures communautaires: kiosques des jeunes, forums des femmes</t>
  </si>
  <si>
    <t>Commune de Dilala &amp; Commune de Manika</t>
  </si>
  <si>
    <t>Luilu, Musonoie &amp; UCK</t>
  </si>
  <si>
    <t>Entreprise Spectrum, Entreprise Héglo, Entreprise Godness</t>
  </si>
  <si>
    <t>Agropastoral: Assister 46 associations en intrants agricoles, formation technique, production de 10 000 plantules, distribution de 12 000 poussins &amp; aliments</t>
  </si>
  <si>
    <t xml:space="preserve">27 Associations agricoles (229 hectares de maïs), 19 associations pour les maraichage, piscicoles &amp; éleveurs </t>
  </si>
  <si>
    <t>Ville de Kolwezi et Secteur de Luilu</t>
  </si>
  <si>
    <t>Zone d'influence de KCC (3 ETD: Commune de Dilala, Commune de Manika &amp; Secteur de Luilu)</t>
  </si>
  <si>
    <t>Fournisseurs d'intrants agropastoraux, la Savane</t>
  </si>
  <si>
    <t>Contrat, entente relative à la donation (conformité)</t>
  </si>
  <si>
    <t>Colonie des vacances: appui aux 34 structures d'encadrement de 11 974 enfants</t>
  </si>
  <si>
    <t>11 794 enfants de Kolwezi (6 412 garçons et 5 562 filles)</t>
  </si>
  <si>
    <t>34 structures d'encadrement des enfants</t>
  </si>
  <si>
    <t>Entente relative à la donation (conformité)</t>
  </si>
  <si>
    <t>Forage de 3 puits et équipement en pompes immergées + Assainissement de la Cité de Kapata, laboratoire (WW)</t>
  </si>
  <si>
    <t>Communautés de UCK &amp; Tshamundenda, Maison Kwetu et Cité de Kapata</t>
  </si>
  <si>
    <t>UCK, Tshamundenda &amp; Kanina</t>
  </si>
  <si>
    <t>Entreprises</t>
  </si>
  <si>
    <t>Contrat</t>
  </si>
  <si>
    <t>Appui aux vulnérables et structures de protecton sociales + appui à la maternité de Kapata</t>
  </si>
  <si>
    <t>280 Vulnérables et 23 orphelins</t>
  </si>
  <si>
    <t>Structures de protection sociale &amp; Centre de Santé</t>
  </si>
  <si>
    <t>Enquête sur les Droits Humains, Préparation du Cahier des Charges, Communications RSE &amp; Système de gestion des parties prenantes</t>
  </si>
  <si>
    <t>Populations vivant dans les communautés locales autour de KCC</t>
  </si>
  <si>
    <t>Maisons de Consultance</t>
  </si>
  <si>
    <t>Journée de la femme, et Journée Scientifique de l'UNIKOL</t>
  </si>
  <si>
    <t>415 Femmes de KCC, Etudiants de l'UNIKOL</t>
  </si>
  <si>
    <t>Entreprise</t>
  </si>
  <si>
    <t>Tournoi de Football ''Kolwezi Ya Lisano''</t>
  </si>
  <si>
    <t xml:space="preserve">17 Entreprises et Services de l'Etat, et 15 Universités </t>
  </si>
  <si>
    <t>Provision de la Dotation 0.3% contribution au Développement Communautaire</t>
  </si>
  <si>
    <t>Collège en charge de la DOT 0.3% de KCC</t>
  </si>
  <si>
    <t>Code Minier &amp; Règlement</t>
  </si>
  <si>
    <t>Coûts administratifs</t>
  </si>
  <si>
    <t>Résidents de la concession</t>
  </si>
  <si>
    <t>Développement économique et des infrastructures</t>
  </si>
  <si>
    <t>Education et Formation</t>
  </si>
  <si>
    <t>Etudiants &amp; Stagiaires et Universités &amp; Instituts Supérieurs/Institutions de Formation</t>
  </si>
  <si>
    <t>Santé Publique</t>
  </si>
  <si>
    <t>Sport, art &amp; cultures</t>
  </si>
  <si>
    <t>Autres dons et contributions</t>
  </si>
  <si>
    <t>Bénéficiaires de dons &amp; Contributions</t>
  </si>
  <si>
    <t>En RDC</t>
  </si>
  <si>
    <t>match de football</t>
  </si>
  <si>
    <t>parmi les 8 communautés environnantes</t>
  </si>
  <si>
    <t>sans statistique</t>
  </si>
  <si>
    <t xml:space="preserve">groupement et commune </t>
  </si>
  <si>
    <t xml:space="preserve">la volonté de l'entreprise </t>
  </si>
  <si>
    <t xml:space="preserve">chaque année </t>
  </si>
  <si>
    <t>colonie des vacances</t>
  </si>
  <si>
    <t>projet d'appui aux producteurs de maïs</t>
  </si>
  <si>
    <t>les 4 villages environnants</t>
  </si>
  <si>
    <t>groupement</t>
  </si>
  <si>
    <t>le forum pour la journée Internationale des femmes</t>
  </si>
  <si>
    <t>la donation pour la journée Internationale des enfants</t>
  </si>
  <si>
    <t xml:space="preserve">la donation pour le Noël </t>
  </si>
  <si>
    <t>Construction d'un système d'adduction d'eau à Sakania composé de trois puits,  à grand diamètre à haut débit comme source d'approvisionnement. Le système inclut également deux réservoirs d'eau d'une capacité de 3 300 m³, avec un débit de 1,2 m³ par heure, acheminées par un réseau de canalisations s'étendant sur 21 452 mètres à l'intérieur de Sakania.</t>
  </si>
  <si>
    <t xml:space="preserve">Commune rurale de Sakania </t>
  </si>
  <si>
    <t xml:space="preserve">Sakania </t>
  </si>
  <si>
    <t>Protocoles d'accords</t>
  </si>
  <si>
    <t>24/01/2023</t>
  </si>
  <si>
    <t xml:space="preserve">RIEN A RAPPORT </t>
  </si>
  <si>
    <t>Education &amp; Youth</t>
  </si>
  <si>
    <t xml:space="preserve">Les boursiers de KGM et les eleves finalistes </t>
  </si>
  <si>
    <t xml:space="preserve">Watsa </t>
  </si>
  <si>
    <t>Initiative volontaire</t>
  </si>
  <si>
    <t>Health</t>
  </si>
  <si>
    <t>Les membres de la communaute</t>
  </si>
  <si>
    <t>Small Medium &amp; Micro  Enterprise</t>
  </si>
  <si>
    <t>Les entreprises locales</t>
  </si>
  <si>
    <t>Watsa et Faradje</t>
  </si>
  <si>
    <t>opportunite d'affaires</t>
  </si>
  <si>
    <t xml:space="preserve">Social Infrastructure </t>
  </si>
  <si>
    <t>Les membres de communnautes locales</t>
  </si>
  <si>
    <t xml:space="preserve">Environment </t>
  </si>
  <si>
    <t>Arts, Culture &amp; Heritage</t>
  </si>
  <si>
    <t>Le Cercle sportif de Watsa</t>
  </si>
  <si>
    <t>Water &amp; Sanitation</t>
  </si>
  <si>
    <t>Les Villages impactes par les operations</t>
  </si>
  <si>
    <t>Demande communautaire</t>
  </si>
  <si>
    <t>Agribusiness</t>
  </si>
  <si>
    <t>Other</t>
  </si>
  <si>
    <t>Demande et Initiative volontaire</t>
  </si>
  <si>
    <t>Don à l'équipe fiminine de foot</t>
  </si>
  <si>
    <t>Equipe  de foot fiminine kambove</t>
  </si>
  <si>
    <t xml:space="preserve">COMIKA </t>
  </si>
  <si>
    <t xml:space="preserve">CAHIER DE CHARGE </t>
  </si>
  <si>
    <t>Réhabilitation des pompes des puits</t>
  </si>
  <si>
    <t xml:space="preserve">habitants de KAMBOVE </t>
  </si>
  <si>
    <t>AIDE SOCIAL</t>
  </si>
  <si>
    <t xml:space="preserve">Assistance communautaire </t>
  </si>
  <si>
    <t xml:space="preserve">Cultivateur </t>
  </si>
  <si>
    <t>Reconstruction d'une maison</t>
  </si>
  <si>
    <t>Don de 24 sacs de farine de maïs pour les membres de CLD</t>
  </si>
  <si>
    <t>CLD</t>
  </si>
  <si>
    <t>2022.01.01</t>
  </si>
  <si>
    <t>contribution des matériels de vie à l'école des religieuses（bon pasteur）</t>
  </si>
  <si>
    <t>Bon Pasteur à Kolwezi</t>
  </si>
  <si>
    <t>Kolwezi</t>
  </si>
  <si>
    <t>CDM SAS</t>
  </si>
  <si>
    <t xml:space="preserve">Don </t>
  </si>
  <si>
    <t>Assistance de 300$ et 5 sacs de farine au deuil du chef de centre LUKUNI</t>
  </si>
  <si>
    <t>Chef du centre d'enfants de LUKUNI</t>
  </si>
  <si>
    <t>LUKUNI</t>
  </si>
  <si>
    <t>centre d'enfants de LUKUNI</t>
  </si>
  <si>
    <t>Assistance Sociale</t>
  </si>
  <si>
    <t>2022.1.27</t>
  </si>
  <si>
    <t>2022.2.1</t>
  </si>
  <si>
    <t>Visite du quartier KAWAMA et KAMATETE à l'occasion de fête du printemps</t>
  </si>
  <si>
    <t xml:space="preserve"> KAWAMA et KAMATETE</t>
  </si>
  <si>
    <t>Les villages de KAWAMA ET KAMATETE</t>
  </si>
  <si>
    <t>2022.2.2</t>
  </si>
  <si>
    <t>Décès du chef adjoint du groupement Inakiluba</t>
  </si>
  <si>
    <t>chef adjoint du groupement Inakiluba</t>
  </si>
  <si>
    <t>Inakiluba</t>
  </si>
  <si>
    <t>groupement Inakiluba</t>
  </si>
  <si>
    <t>2022.2.15</t>
  </si>
  <si>
    <t>2022.03.1</t>
  </si>
  <si>
    <t>offre du soutien fiancier pour la fête nationale des femmes</t>
  </si>
  <si>
    <t>Ligue Provinciale des personnes vivant avec handicap du Haut-Katanga</t>
  </si>
  <si>
    <t>2022.3.3</t>
  </si>
  <si>
    <t>Les femmes du quartier Kamatete</t>
  </si>
  <si>
    <t>Kamatete</t>
  </si>
  <si>
    <t>quartier Kamatete</t>
  </si>
  <si>
    <t>Assistance au Comité provincial de l'emploi, du travail et de la protection sociale pour la fête des femmes</t>
  </si>
  <si>
    <t>Comité provincial de l'emploi, du travail et de la protection sociale</t>
  </si>
  <si>
    <t>Lubumbashi</t>
  </si>
  <si>
    <t>2022.3.7</t>
  </si>
  <si>
    <t>Don d'un véhicule au commissariat provincial</t>
  </si>
  <si>
    <t>Commissariat provincial de Haut-Katanga</t>
  </si>
  <si>
    <t>2022.4.1</t>
  </si>
  <si>
    <t>2022.4.2</t>
  </si>
  <si>
    <t>Assistance au deuil de cadre supérieur de la division de terrain de KIPUSHI</t>
  </si>
  <si>
    <t>Division de terrain de KIPUSHI</t>
  </si>
  <si>
    <t>KIPUSHI</t>
  </si>
  <si>
    <t>2022.4.15</t>
  </si>
  <si>
    <t>2022.5.1</t>
  </si>
  <si>
    <t>2022.6.1</t>
  </si>
  <si>
    <t>Programme de rénovation  de puits d’eau à Kolwezie</t>
  </si>
  <si>
    <t xml:space="preserve">gouvernement de LUALABA </t>
  </si>
  <si>
    <t>Kolwezie</t>
  </si>
  <si>
    <t>PROTOCOLE D'ACCORD</t>
  </si>
  <si>
    <t>2022.6.6</t>
  </si>
  <si>
    <t>Programme de rénovation de puits d’eau au village Kawama</t>
  </si>
  <si>
    <t>village Kawama</t>
  </si>
  <si>
    <t>Kawama</t>
  </si>
  <si>
    <t>SOUS TRAITANCE</t>
  </si>
  <si>
    <t>ALL FOR ENGENERING</t>
  </si>
  <si>
    <t>2022.7.1</t>
  </si>
  <si>
    <t>Assistance au gouvernement municipal pour louer un bulldozer en 3 jours</t>
  </si>
  <si>
    <t>Gouvernement municipal de Lubumbashi</t>
  </si>
  <si>
    <t xml:space="preserve"> Lubumbashi</t>
  </si>
  <si>
    <t>Gouvernement</t>
  </si>
  <si>
    <t>Gouvernement municipal</t>
  </si>
  <si>
    <t>2022.7.2</t>
  </si>
  <si>
    <t>Assitance au bureau de l’activité sociétale de la force armée d’un Pays pour la fête de la libération</t>
  </si>
  <si>
    <t>bureau de l’activité sociétale de la force armée d’un Pays</t>
  </si>
  <si>
    <t>2022.8.1</t>
  </si>
  <si>
    <t>Financement de la réparation d'une voie ferrée engloutie</t>
  </si>
  <si>
    <t>Village Lukuni ainsi que les utilisateurs</t>
  </si>
  <si>
    <t>Village Lukuni</t>
  </si>
  <si>
    <t>2022.8.15</t>
  </si>
  <si>
    <t>2022.9.1</t>
  </si>
  <si>
    <t>2022.10.1</t>
  </si>
  <si>
    <t>Don d’une télécision au Procureur général pour améliorer sa condition de vie de famille</t>
  </si>
  <si>
    <t>Procureur Général</t>
  </si>
  <si>
    <t>2022.10.31</t>
  </si>
  <si>
    <t>2022.11.1</t>
  </si>
  <si>
    <t>2022.12.1</t>
  </si>
  <si>
    <t>Construction   cloture   Parquet   Ruashi</t>
  </si>
  <si>
    <t>COMMUNAUTE DE RUASHI</t>
  </si>
  <si>
    <t>COMMUNE RUASHI</t>
  </si>
  <si>
    <t>COMMUNAUTE</t>
  </si>
  <si>
    <t>Groupe   Nehemi</t>
  </si>
  <si>
    <t>JANVIER 2022</t>
  </si>
  <si>
    <t>Avril 2022</t>
  </si>
  <si>
    <t xml:space="preserve">Encadrement   des orphelins </t>
  </si>
  <si>
    <t>OMMUNAUTE DE RUASHI</t>
  </si>
  <si>
    <t>RUASHI  MIING</t>
  </si>
  <si>
    <t>engrais chimiques</t>
  </si>
  <si>
    <t>60 sacs</t>
  </si>
  <si>
    <t>les choses de securite du travail et pour contre covid-19</t>
  </si>
  <si>
    <t>les bots de travail:9;casques:9 pieces;masques:2800 pieces</t>
  </si>
  <si>
    <t>les dons pour le nouvel an</t>
  </si>
  <si>
    <t>50 seaux de l'huile, 50 sacs de farines, 100 sacs de sel; 50 kilo des arachides; 2800 pieces de masques, 40 cartons de gants; 20 seaux de l'alcol;bonus pour nouvel an:740$</t>
  </si>
  <si>
    <t>réparation de puits solaire</t>
  </si>
  <si>
    <t xml:space="preserve"> 3 panneaux solaire (250$/panneau)
frais de réparation d'ancien UPS 460$</t>
  </si>
  <si>
    <t xml:space="preserve">les dons pour les élèves en félicitant la journée des enfants </t>
  </si>
  <si>
    <t>40 boîtes de  craies, 500 crayons, 500 cahiers, 3 tableaux noir, 500 paquets de biscuits, 500 paquets de bonbons, 2 cartons de masques</t>
  </si>
  <si>
    <t>ELECTRICITE</t>
  </si>
  <si>
    <t>COMMUNAUTE DE KINSENDA</t>
  </si>
  <si>
    <t>AGRICULTURE</t>
  </si>
  <si>
    <t>FARINE</t>
  </si>
  <si>
    <t>SOINS</t>
  </si>
  <si>
    <t>SPORT</t>
  </si>
  <si>
    <t>FRAIS SCOLAIRE ORPHELINS</t>
  </si>
  <si>
    <t>NOURRITURE ORPHELINS</t>
  </si>
  <si>
    <t>NOURRITURE CHEFS DU VILLAGE</t>
  </si>
  <si>
    <t xml:space="preserve">AUTRE ASSISTANCE </t>
  </si>
  <si>
    <t xml:space="preserve">向国家森林基金会卢阿拉巴省分会办公室捐赠砂石和沙子
Donation des graviers et des sables au Bureau d'Antenne de Lualaba du Fonds Forestier National </t>
  </si>
  <si>
    <t xml:space="preserve">国家森林基金会卢阿拉巴省分会办公室
Bureau d'Antenne de Lualaba du Fonds Forestier National </t>
  </si>
  <si>
    <t>卢阿拉巴省
Province du Lualaba</t>
  </si>
  <si>
    <t>向刚果贝塞斯达球联合会提供物资
Un soutien matériel à la FEDERATION CONGOLAISE DE BETHESDA BALL</t>
  </si>
  <si>
    <t xml:space="preserve">刚果贝塞斯达球联合会
FEDERATION CONGOLAISE DE BETHESDA BALL </t>
  </si>
  <si>
    <t>金沙萨
Kinshasa</t>
  </si>
  <si>
    <t>向科卢韦齐迪拉拉区警察局捐赠石块和砂
Donation des moellons et des sables au Commissariat Local de la Commune Dilala à Kolwezi</t>
  </si>
  <si>
    <t>科卢韦齐迪拉拉区警察局
Commissariat Local de la Commune Dilala à Kolwezi</t>
  </si>
  <si>
    <t xml:space="preserve">向卢阿拉巴省矿业处环境办公室捐赠大石、小石和砂
Donation des moellons, des graviers et des sables concassé au Bureau de Protection de l'Environnement Minier de la Division des Mines du Lualaba </t>
  </si>
  <si>
    <t>卢阿拉巴省矿业处环境办公室
Bureau de Protection de l'Environnement Minier de la Division des Mines du Lualaba</t>
  </si>
  <si>
    <t xml:space="preserve">向军人家庭共同发展组织捐赠
Une assistance financière à la Synergie des familles militaires pour le développement intégral SYFMDI-RDC      </t>
  </si>
  <si>
    <t xml:space="preserve">军人家庭共同发展组织
Synergie des familles militaires pour le développement intégral SYFMDI-RDC   </t>
  </si>
  <si>
    <t>为国家元首民事办公厅举办的“玛特·齐塞克迪·卡萨卢荣誉女性奖杯”晚会的组织和宣传捐赠
Un soutien financier  pour l'organisation et la communication de la 2ème édition du Trophée M.T.KASALU, Femme d'honneur par la Maison Civile du Chef de l'Etat</t>
  </si>
  <si>
    <t>国家元首民事办公厅
Maison Civile du Chef de l'Etat</t>
  </si>
  <si>
    <t xml:space="preserve">向科卢韦齐军事监察院捐赠石块
Donation des moellons  à l'Auditorat Militaire de Garnison de Kolwezi-Lualaba    </t>
  </si>
  <si>
    <t>科卢韦齐军事监察院
 Auditorat Militaire de Garnison de Kolwezi-Lualaba</t>
  </si>
  <si>
    <t xml:space="preserve">向卢省矿业处环境办公室捐赠小石和砂
Donation des graviers et des sables au Bureau de Protection de l’Environnement Minier de la Division Provinciale des Mines du Lualaba   </t>
  </si>
  <si>
    <t>卢阿拉巴省矿业处环境办公室
Bureau de Protection de l’Environnement Minier de la Division Provinciale des Mines du Lualaba</t>
  </si>
  <si>
    <t xml:space="preserve">向卡巴达社区捐赠铝制高空电缆
Un don des câbles électriques aériens en aluminium au Quartier Kapata </t>
  </si>
  <si>
    <t>向卢阿拉巴省科卢韦齐市军事法庭捐赠碎石和碎沙                 Donation des moellons et des sables au Tribunal Militaire de Garnison de Kolwezi-Lualaba</t>
  </si>
  <si>
    <t>卢阿拉巴省科卢韦齐市军事法庭
Tribunal Militaire de Garnison de Kolwezi-Lualaba</t>
  </si>
  <si>
    <t>3/6/2022</t>
  </si>
  <si>
    <t>向科卢韦齐622独立营捐赠砂石和石块                          Donation des moellons et des graviers au 622ème Bataillon Indépendant de Kolwezi</t>
  </si>
  <si>
    <t>科卢韦齐622独立营
622ème Bataillon Indépendant de Kolwezi</t>
  </si>
  <si>
    <t>10/6/2022</t>
  </si>
  <si>
    <t xml:space="preserve">向刚果贝塞斯达球联合会提供经济支持                          Un soutien financier à la FEDERATION CONGOLAISE DE BETHESDA BALL        </t>
  </si>
  <si>
    <t xml:space="preserve">刚果贝塞斯达球联合会
FEDERATION CONGOLAISE DE BETHESDA BALL  </t>
  </si>
  <si>
    <t xml:space="preserve">为科卢韦齐大学科学院筹办科学思考日活动提供赞助
Une assistance financière à la faculté des sciences de l’Université de Kolwezi pour l’organisation de la journée de réflexion scientifique </t>
  </si>
  <si>
    <t xml:space="preserve">科卢韦齐大学
Université de Kolwezi </t>
  </si>
  <si>
    <t>向卢阿拉巴省警察局捐赠石块和砂石                                  Donation des moellons et graviers au Commissariat Provinciale du Lualaba</t>
  </si>
  <si>
    <t>卢阿拉巴省警察局
Commissariat Provinciale du Lualaba</t>
  </si>
  <si>
    <t xml:space="preserve">
28/9/2022</t>
  </si>
  <si>
    <t>向刚果国家警察局卢阿拉巴省分局华刚矿业支队捐赠石块和沙子                                  Donation des moellons et sable au Détachement SICOMINES SA du Commissariat Provincial du Lualaba de la Police Nationale Congolaise</t>
  </si>
  <si>
    <t xml:space="preserve">刚果国家警察局卢阿拉巴省分局华刚矿业支队
Détachement SICOMINES SA du Commissariat Provincial du Lualaba de la Police Nationale Congolaise  </t>
  </si>
  <si>
    <t xml:space="preserve">向卢省内政与安全部捐赠石块和砂石
Donation des moellons et graviers au Ministère de l'Intérieur et Sécurité de la Province du Lualaba </t>
  </si>
  <si>
    <t xml:space="preserve">卢省内政与安全部
Ministère de l'Intérieur et Sécurité de la Province du Lualaba </t>
  </si>
  <si>
    <t>27/9/2022</t>
  </si>
  <si>
    <t>向金沙萨Tobongisa综合学校捐赠文教用品
Donation de matériels d'enseignement au Complexe scolaire de Tobongisa</t>
  </si>
  <si>
    <t>Tobongisa综合学校
Complexe scolaire de Tobongisa</t>
  </si>
  <si>
    <t>向科卢韦齐迪拉拉区卫生区首席医疗官办公室捐赠石块和沙子
Donation des moellons et sable au Bureau du medecin chef de zone de santé DILALA de la Ville de Kolwezi</t>
  </si>
  <si>
    <t>科卢韦齐迪拉拉区卫生区首席医疗官办公室
Bureau du medecin chef de zone de santé DILALA de la Ville de Kolwezi</t>
  </si>
  <si>
    <t>向国家情报局卢阿拉巴省分局捐赠石块
Donation des moellons à l'Agence Nationale de Renseignements du Lualaba</t>
  </si>
  <si>
    <t>国家情报局卢阿拉巴省分局
Agence Nationale de Renseignements du Lualaba</t>
  </si>
  <si>
    <t>向卢阿拉巴省矿业处卫生安全防护办公室捐赠桶
Donation des bidons au Bureau d'hygière, sécurité et protection de la division provincial des mines du Lualaba</t>
  </si>
  <si>
    <t>卢阿拉巴省矿业处卫生安全防护办公室
Bureau d'hygière, sécurité et protection de la division provincial des mines du Lualaba</t>
  </si>
  <si>
    <t>向卢阿拉巴省环境和旅游部植树节捐赠树苗          Donation des plantules d'arbres  au Ministère Provincial de l'Environnement et Développement du Lualaba</t>
  </si>
  <si>
    <t>卢阿拉巴省环境和可持续发展部
Ministère Provincial de l'Environnement et Développement du Lualaba</t>
  </si>
  <si>
    <t>向刚果贝塞斯达球联合会提供物资                           Un soutien financier et matériel pour l'oganisation d'une rencontrel sportif  à la FEDERATION CONGOLAISE DE BETHESDA BALL</t>
  </si>
  <si>
    <t>向省矿业环境办公室捐赠砂石
Donation des graviers et sables au BPEM de la Division des Mines du Lualaba</t>
  </si>
  <si>
    <t>卢阿拉巴省矿业环境办公室
BPEM de la Division des Mines du Lualaba</t>
  </si>
  <si>
    <t xml:space="preserve">Dotation d'une école de trois classe à Bwasalangana </t>
  </si>
  <si>
    <t xml:space="preserve">Village Bwasalangana </t>
  </si>
  <si>
    <t>Province de Lualaba</t>
  </si>
  <si>
    <t>CLD(Comité de développement local)</t>
  </si>
  <si>
    <t>Réf, convention, PV</t>
  </si>
  <si>
    <t>13/09/2022</t>
  </si>
  <si>
    <t>21/12/2022</t>
  </si>
  <si>
    <t>Assistance mensuelle des enseignants dans la zone d'intervention</t>
  </si>
  <si>
    <t xml:space="preserve">Enseignants de l'école Mayeba et Bwasalangana </t>
  </si>
  <si>
    <t>Chef de terre, Chef du Village</t>
  </si>
  <si>
    <t>Réf, lettre des parents d'élèves</t>
  </si>
  <si>
    <t>Captage et adduction d'eau à Kalebi</t>
  </si>
  <si>
    <t>Village Kalebi</t>
  </si>
  <si>
    <t>Chef de quartier</t>
  </si>
  <si>
    <t>Réf, lettre de la communauté</t>
  </si>
  <si>
    <t xml:space="preserve">Appui aux fêtes traditionnelles </t>
  </si>
  <si>
    <t>09 villages, Chef traditionnels</t>
  </si>
  <si>
    <t>Toutes les 09 communautés</t>
  </si>
  <si>
    <t>Réf, récu</t>
  </si>
  <si>
    <t>CONSTRUCTION INSTITUT MUNGOTI</t>
  </si>
  <si>
    <t>INSTITUT MUNGOTI</t>
  </si>
  <si>
    <t>MOBUTU/MONGANGA</t>
  </si>
  <si>
    <t>SHEKINA SPRL</t>
  </si>
  <si>
    <t>REHABILITATION INFRASTRUCTURES</t>
  </si>
  <si>
    <t>BOURSES</t>
  </si>
  <si>
    <t>ETUDIANTS ET ELEVES</t>
  </si>
  <si>
    <t>KICO</t>
  </si>
  <si>
    <t>FORMATION EN COUPES ET COUTURES</t>
  </si>
  <si>
    <t>FEMMES DE KIPUSHI</t>
  </si>
  <si>
    <t>MAMAN YEMO</t>
  </si>
  <si>
    <t>ALPHABETISATION</t>
  </si>
  <si>
    <t>COMMUNAUTE DE KIPUSHI</t>
  </si>
  <si>
    <t>ALFA CONGO</t>
  </si>
  <si>
    <t>AUTRES</t>
  </si>
  <si>
    <t>ELABORATION DU CAHIER DES CHARGES</t>
  </si>
  <si>
    <t>OCE</t>
  </si>
  <si>
    <t>MEDIAS ET COMMUNICATION</t>
  </si>
  <si>
    <t>RADIO MWAISENI</t>
  </si>
  <si>
    <t>ASSISTANCES SOCIALES</t>
  </si>
  <si>
    <t>COVID/HEALTH PROJECTS</t>
  </si>
  <si>
    <t>PUITS D'EAU</t>
  </si>
  <si>
    <t>DEV SOLAIRE/RMC</t>
  </si>
  <si>
    <t>CAMPAGNE DE VACCINATION</t>
  </si>
  <si>
    <t>ENFANTS DE KIPUSHI</t>
  </si>
  <si>
    <t>ZONE DE SANTE</t>
  </si>
  <si>
    <t xml:space="preserve">Indemnisation des propriétaires de champ </t>
  </si>
  <si>
    <t>autochtones</t>
  </si>
  <si>
    <t>Territoire de Sakania</t>
  </si>
  <si>
    <t xml:space="preserve">Base juridique
</t>
  </si>
  <si>
    <t>Coût du Projet
USD</t>
  </si>
  <si>
    <t>CNTAPP019583: REHABILITATION DU REMBLAI MASHAMBA EST</t>
  </si>
  <si>
    <t>Kolwezi/ Dilala</t>
  </si>
  <si>
    <t>Site KCC/ Mine de Mashamba</t>
  </si>
  <si>
    <t>Saint Joseph Travailleur Sarl</t>
  </si>
  <si>
    <t>EIES</t>
  </si>
  <si>
    <t>CNTAPP019585: Biodiversity - Nursery and progressive</t>
  </si>
  <si>
    <t>Site KCC/ pepinière de Luilu</t>
  </si>
  <si>
    <t>CNTAPP019675: Constructed Nursery with miombo type</t>
  </si>
  <si>
    <t>Site KCC/pepinière de Luilu</t>
  </si>
  <si>
    <t>University of Lubumbashi</t>
  </si>
  <si>
    <t>CNTAPP019676: Constructed wetland</t>
  </si>
  <si>
    <t>Site KCC/Usine de Luilu</t>
  </si>
  <si>
    <t>CNTAPP019732: Robinson lab analysis</t>
  </si>
  <si>
    <t>Site KCC</t>
  </si>
  <si>
    <t>Robinson Lab International</t>
  </si>
  <si>
    <t>CNTAPP019759: Annual suscription for scentriods</t>
  </si>
  <si>
    <t>SI Analytics Pty Ltd</t>
  </si>
  <si>
    <t>CNTAMEND032195: KCC ESIA Amendment -Mining Right Renewal</t>
  </si>
  <si>
    <t>SRK Consulting Congo SARL</t>
  </si>
  <si>
    <t>182,294.30</t>
  </si>
  <si>
    <t>CNTAPP020106: Environmental Radioactive Monitoring to comply with DRC Mining Regulations</t>
  </si>
  <si>
    <t>KELKAM SA</t>
  </si>
  <si>
    <t>198,901.92</t>
  </si>
  <si>
    <t>CNTAPP020105: DOSIMETRIC MONITORING OF AGENTS- KCC MIN</t>
  </si>
  <si>
    <t>Site de KCC</t>
  </si>
  <si>
    <t>kelkam S A</t>
  </si>
  <si>
    <t>CNTAMEND032306: Biodiversity - Nursery and progressive rehabilitation</t>
  </si>
  <si>
    <t>CNTAMEND032381: Constructed Nursery with miombo type</t>
  </si>
  <si>
    <t>CNTAPP020345: ACTIVITY OF KCC CENTRAL NURSERY</t>
  </si>
  <si>
    <t>CNTAPP020347: Environmental annual report 2021-2022</t>
  </si>
  <si>
    <t>Environmental Mining Construction and Construction Services</t>
  </si>
  <si>
    <t>CNTAMEND032457: REHABILITATION DU REMBLAI MASHAMBA EST</t>
  </si>
  <si>
    <t>Biodiversity - Nursery and progressiverehabilitation</t>
  </si>
  <si>
    <t>ENTRETIENT DES ESPACES VERST ET AMENAGEMENT (Lutte contre les especès invasives)</t>
  </si>
  <si>
    <t>CNTAMEND032528: ACTIVITY OF KCC CENTRAL NURSERY</t>
  </si>
  <si>
    <t>Biodiversity - Nursery and progressive rehabilitation</t>
  </si>
  <si>
    <t>31/032023</t>
  </si>
  <si>
    <t>CNTAMEND032734: REHABILITATION DU REMBLAI MASHAMBA EST</t>
  </si>
  <si>
    <t>CNTAMEND032735: ENTRETIENT DES ESPACES VERST ET AMENAGEMEMENT (lutte contre les espaces invasives)</t>
  </si>
  <si>
    <t>CNTAPP020744: DOSIMETRIC MONITORING OF AGENTS- KCC MIN</t>
  </si>
  <si>
    <t>Commissariat General a l'Energie Atomique (CGEA)</t>
  </si>
  <si>
    <t>Obtention of Environmental certificat and environmental services</t>
  </si>
  <si>
    <t>Concession TFM à Fungurume</t>
  </si>
  <si>
    <t>Analyse en laboratoire d’échantillons de surveillance environnementale (eau et sédiments)</t>
  </si>
  <si>
    <t>Code Minier tel que modifié et complété par la loi N° 18/001 du 09 mars 2018, Article 50 bis page 51</t>
  </si>
  <si>
    <t>Surveillance de l’air et étalonnage des stations météorologiques environnementales</t>
  </si>
  <si>
    <t>EIES 2022, 5.1.2.3 page 400 et  3.2.3.1 page 158-166 and Code Minier tel que modifié et complété par la loi N° 18/001 du 09 mars 2018, Article 204 page 122.</t>
  </si>
  <si>
    <t>Étude de faisabilité de synthèse</t>
  </si>
  <si>
    <t>EIES  2022, 3.2.7.1 page 198 et Code Minier tel que modifié et complété par la loi N° 18/001 du 09 mars 2018, Article 1st: 18a page 12-13.</t>
  </si>
  <si>
    <t>Autorisations environnementales - Mise a jour de l'EIES</t>
  </si>
  <si>
    <t>Kamoa</t>
  </si>
  <si>
    <t>Bureau de consultance/Kamoa Copper</t>
  </si>
  <si>
    <t>CEMIC/Kamoa Copper</t>
  </si>
  <si>
    <t>EIES/ Regulations miniere, 2018</t>
  </si>
  <si>
    <t>Gestion des déchets</t>
  </si>
  <si>
    <t>NA</t>
  </si>
  <si>
    <t>Kamoa Copper</t>
  </si>
  <si>
    <t>PGES</t>
  </si>
  <si>
    <t>Audit environnemental - biannuel</t>
  </si>
  <si>
    <t>Bureau de consultance</t>
  </si>
  <si>
    <t>EMI Africa</t>
  </si>
  <si>
    <t>Regulations miniere, 2018</t>
  </si>
  <si>
    <t>Programme de surveillance environnementale</t>
  </si>
  <si>
    <t>SRK/Kamoa</t>
  </si>
  <si>
    <t>Réhabilitation</t>
  </si>
  <si>
    <t>Gestion des eaux de surface</t>
  </si>
  <si>
    <t>Secteur Surur</t>
  </si>
  <si>
    <t>Doko</t>
  </si>
  <si>
    <t>Operateur minier</t>
  </si>
  <si>
    <t>Kibali</t>
  </si>
  <si>
    <t>Mai 2022</t>
  </si>
  <si>
    <t>Octobre 2022</t>
  </si>
  <si>
    <t>Rehabilitation des espaces deboisees</t>
  </si>
  <si>
    <t>PAR</t>
  </si>
  <si>
    <t>Novembre 2022</t>
  </si>
  <si>
    <t>Reforestation des especes indigenes</t>
  </si>
  <si>
    <t>Decembre2022</t>
  </si>
  <si>
    <t>Paiemment  2ème acompte sur prestations relatives au contrat de service d'évaluation des coûts de démantèlement, d'enlèvement des installations et infrastructures et de remise en état des sites miniers en rapport avec la facture N°031/CEMIC/11/21 du 16/11/2021</t>
  </si>
  <si>
    <t>CONGO ENVIRONMENT AND MINING CONSULTING SARL</t>
  </si>
  <si>
    <t>Commune ANNEXE, Q/JOLI SITE 21 ème Pylône Rte KINSEVERE LUBUMBASHI</t>
  </si>
  <si>
    <t>Groupes SUD, Centre et Ouest</t>
  </si>
  <si>
    <t>Travaux d'évaluation des coûts de démantelèment, d'enlevement des installations et infrastructures  et de remise en état des sites miniers conformément au contrat GCM -CEMC - AFT N° 2050/8033/SG/GC/2021 du 16/11/2021</t>
  </si>
  <si>
    <t>Travaux d'évaluation des coûts de demantelement ,,,(débours et remboursement des frais de mission) en rapport avec la facture N° AFT/006/2022 du 11/04/2022</t>
  </si>
  <si>
    <t>AFT Consulting &amp; Associés SARL</t>
  </si>
  <si>
    <t>KIN/GOMBE</t>
  </si>
  <si>
    <t>Groupes SUD, Centre et Ouest)</t>
  </si>
  <si>
    <t>AFT Consulting</t>
  </si>
  <si>
    <t>Travaux d'évaluation des coûts de démantelèment, d'enlevement des installations et infrastructures et de remise en état des sites miniers(Exécution de l'article 3 point 3,2 de la convention sur le démentalement)</t>
  </si>
  <si>
    <t>Travaux d'évaluation des  coûts de démantèlement, d'enlèvement des installations et infrastructures et de remise en état des sites miniers( Frais de mission) en rapport avec la facture N° 002/CEMIC/02/22 du 24/02/2022</t>
  </si>
  <si>
    <t xml:space="preserve">travaux d'evaluation des coûts de démentalement, d'enlèvement des installations et infrastructures et de remise en etat des sites miniers conformément au contrat GCM et CEMC AFT N°2050/ 8033/SG/GC/2021 du 16/11/2021 </t>
  </si>
  <si>
    <t>Travaux d'évaluation des  coûts de démantèlement, d'enlèvement des installations et infrastructures et de remise en état des sites miniers( Deuxième acompte de 30 %) en rapport avec la facture N° AFT/003/2022 du 9/03/2022</t>
  </si>
  <si>
    <t>Travaux d'évaluation des  coûts de démantèlement, d'enlèvement des installations et infrastructures et de remise en état des sites miniers, Phase II selon le contrat N°2131/11370/SG/GC/2022 du 1/12/2022 en rapport  avec les factures 042/CEMIC/12/22 et 043/CEMIC/12/22 du 8/12/2022</t>
  </si>
  <si>
    <t>Travaux d'évaluation des coûts de démantèlement, d'enlèvement des installations et infrastructures et de remise en état des sites miniers, Phase II, selon  le contrat de services N° 2131/11370/SG/GC/2022 du 8/12/2022 entre  GCM - CEMIC -AFT.</t>
  </si>
  <si>
    <t>Qualite de l eau</t>
  </si>
  <si>
    <t xml:space="preserve">MMG Kinsevere, Mine, </t>
  </si>
  <si>
    <t>Ville de Lubumbashi, Secteur de Bukanda au Haut-Katanga (ex-Katanga) / République Démocratique du Congo</t>
  </si>
  <si>
    <t>Contractant</t>
  </si>
  <si>
    <t>Knight Piesold</t>
  </si>
  <si>
    <t>Qualite de l air</t>
  </si>
  <si>
    <t>Biodiversite</t>
  </si>
  <si>
    <t>Controle de conformité des operations</t>
  </si>
  <si>
    <t>BEEC</t>
  </si>
  <si>
    <t>Juillet 2022</t>
  </si>
  <si>
    <t>Inspection environnementale legale PE</t>
  </si>
  <si>
    <t>Cotation de prestation de services</t>
  </si>
  <si>
    <t>Juin 2022</t>
  </si>
  <si>
    <t>Suivi environnemental Saison des pluies</t>
  </si>
  <si>
    <t>DRC Green SARL</t>
  </si>
  <si>
    <t>Ruashi Mine</t>
  </si>
  <si>
    <t>Suivi environnemental Saison sèche</t>
  </si>
  <si>
    <t>Elaboration du Rapport environnemental annuel</t>
  </si>
  <si>
    <t>Analyses chimiques annuelles</t>
  </si>
  <si>
    <t>Universite de Lubumbashi</t>
  </si>
  <si>
    <t>Sakania</t>
  </si>
  <si>
    <t>CONSULTANT</t>
  </si>
  <si>
    <t>DRC GREEN-EMEC SPRL</t>
  </si>
  <si>
    <t>EIES/PGES</t>
  </si>
  <si>
    <t>Laboratoire agrée</t>
  </si>
  <si>
    <t>UNILU/faculté des Sciences</t>
  </si>
  <si>
    <t>EIE/PGEP</t>
  </si>
  <si>
    <t>Robinson International</t>
  </si>
  <si>
    <t>RAYON SERVICES SARL</t>
  </si>
  <si>
    <t>Reglement Minier</t>
  </si>
  <si>
    <t>Consultant</t>
  </si>
  <si>
    <t>KELKAM</t>
  </si>
  <si>
    <t>AMENAGEMENT DU BASSIN no 5</t>
  </si>
  <si>
    <t>POPULATION</t>
  </si>
  <si>
    <t>EIES, PGES</t>
  </si>
  <si>
    <t>RENFORCEMENT STABILITE DIGUES DES BASSINS 2,3 &amp; 4</t>
  </si>
  <si>
    <t>BARICADE ERIGEE EN TREILLIS AUTOUR DE NOS BASSINS DE RETENTION</t>
  </si>
  <si>
    <t>TRAVAUX COMPACTAGE, TERRASSEMENT ET AROSAGE PARC REJET SOLIDE</t>
  </si>
  <si>
    <t>REMPLACEMENT REVETEMENT ANTI ACIDE DANS L'ELECTROLYSE …..</t>
  </si>
  <si>
    <t>REHABILITATION SYSTEME DE DRAINAGE ENTOURANT LE SITE</t>
  </si>
  <si>
    <t>2022年度环境恢复保证金sûreté financière de réhabilitation de l'environnement</t>
  </si>
  <si>
    <t>ANALYSES D'EAU</t>
  </si>
  <si>
    <t>COMMUNAUTE KIPUSHI</t>
  </si>
  <si>
    <t>POLYTECHNIQUE / UNILU</t>
  </si>
  <si>
    <t xml:space="preserve">KICO - SUSTAINABILITY </t>
  </si>
  <si>
    <t>ANALYSES DE POUSSIERE</t>
  </si>
  <si>
    <t>ETUDES ENVIRON OKAPI</t>
  </si>
  <si>
    <t>OKAPI -EG</t>
  </si>
  <si>
    <t>VALID PER ACE</t>
  </si>
  <si>
    <t>ACE</t>
  </si>
  <si>
    <t>TAXE ENVIRON PENALTIES CNPRI</t>
  </si>
  <si>
    <t>CNPRI</t>
  </si>
  <si>
    <t>TAXES DGRAD</t>
  </si>
  <si>
    <t>EIES PAR CEMIC</t>
  </si>
  <si>
    <t>CEMIC</t>
  </si>
  <si>
    <t>TAXE LOCALE ENVIRON</t>
  </si>
  <si>
    <t>TERRITOIRE</t>
  </si>
  <si>
    <t>TAXE ENVIRON DGRAD</t>
  </si>
  <si>
    <t>MAINTENANCE STATION METEO</t>
  </si>
  <si>
    <t>TRANSFIELDS</t>
  </si>
  <si>
    <t>ETUDE ENVIRON RAYON SERVICE</t>
  </si>
  <si>
    <t>RAYON SERVICE</t>
  </si>
  <si>
    <t>Impact social</t>
  </si>
  <si>
    <t>Impact environnemental</t>
  </si>
  <si>
    <t>Politique genre</t>
  </si>
  <si>
    <t>Non renseigné</t>
  </si>
  <si>
    <t>En Usd</t>
  </si>
  <si>
    <t>KAMOTO COPPER COMPANY SA (KCC)</t>
  </si>
  <si>
    <t>TENKE FUNGURUME MINING (TFM)</t>
  </si>
  <si>
    <t>COMPAGNIE MINIERE DE MUSONOI (COMMUS)</t>
  </si>
  <si>
    <t>COMPAGNIE DE TRAITEMENT  DES REJETS DE KINGAMYAMBO METALKOL SA</t>
  </si>
  <si>
    <t>SOCIETE MINIERE DE DEZIWA SAS (SOMIDEZ)</t>
  </si>
  <si>
    <t xml:space="preserve">FRONTIER S.A </t>
  </si>
  <si>
    <t>MUTANDA MINING (MUMI)</t>
  </si>
  <si>
    <t>COMPAGNIE MINIERE DE KAMBOVE SARL (COMIKA)</t>
  </si>
  <si>
    <t>Générale des Carrières et des Mines (GECAMINES)</t>
  </si>
  <si>
    <t>LA MINIERE DE KALUKUNDI SPRL (LAMIKAL)</t>
  </si>
  <si>
    <t>MMG KINSEVERE SARL (MMG)</t>
  </si>
  <si>
    <t>CHEMICAL OF AFRICA (CHEMAF)</t>
  </si>
  <si>
    <t>SINO CONGOLAISE DES MINES SARL</t>
  </si>
  <si>
    <t>KISENDA COPPER COMPAGNY  (KICC)</t>
  </si>
  <si>
    <t>LA  MINIERE  DE  KASOMBO (MIKAS)</t>
  </si>
  <si>
    <t>SHITURU MINING CORPORATION SPRL</t>
  </si>
  <si>
    <t>SOCIETE DE TRAITEMENT DU TERRIL DE LUBUMBASHI (STL)</t>
  </si>
  <si>
    <t>CMOC KISANFU MINING SARL (Ex. PHELPS DODGE CONGO SARL)</t>
  </si>
  <si>
    <t>SOCIETE MINIERE DU KATANGA (SOMIKA)</t>
  </si>
  <si>
    <t>KISANFU MINING SARL (KIMIN)</t>
  </si>
  <si>
    <t>Sociétéd'Exploitation de Kipoi  (SEK)</t>
  </si>
  <si>
    <t>KOBOLTTI</t>
  </si>
  <si>
    <t>SOCIETE CNMC CONGO COMPAGNIE MINIERE</t>
  </si>
  <si>
    <t>TENGYUAN COBALT &amp; COPPER RESOURCES</t>
  </si>
  <si>
    <t>LA MINIERE DE KALUNKWE MYUNGA</t>
  </si>
  <si>
    <t>JIN CHEN (KATAMBA MINING)</t>
  </si>
  <si>
    <t>LISHI SPRL</t>
  </si>
  <si>
    <t>LUILU RESSOURCES SA</t>
  </si>
  <si>
    <t>KALONGWE MINING S.A</t>
  </si>
  <si>
    <t>SODIFOR EXPLORATION S.A.R.L.</t>
  </si>
  <si>
    <t>SOCIETE MINING CHEMICAL SUPPLIERS</t>
  </si>
  <si>
    <t>SOCIETE IMMOBILIERE DU CONGO</t>
  </si>
  <si>
    <t>SANDVIK MINING &amp; CONSTRUCTION DRC S</t>
  </si>
  <si>
    <t>NEW MINERALS INVESTMENT SARLU</t>
  </si>
  <si>
    <t>Société Anhui-Congo d'Investissement Minier (SACIM)</t>
  </si>
  <si>
    <t>MINERAL METAL TECHNOLOGY SARL</t>
  </si>
  <si>
    <t>COOPERATIVE DES ARTISANAUX MINIERS DU CONGO GOMA (CDMC)</t>
  </si>
  <si>
    <t>La Congolaise d'Exploitation Minière (COMINIERE)</t>
  </si>
  <si>
    <t>EXCELLEN</t>
  </si>
  <si>
    <t>MINING ENGINEERING SERVICES SARL</t>
  </si>
  <si>
    <t>Société Aurifère du Kivu et du Maniema (SAKIMA)</t>
  </si>
  <si>
    <t>LA CONGOLAISE DES MINES ET DEVELOPPEMENT</t>
  </si>
  <si>
    <t>SOGECOM</t>
  </si>
  <si>
    <t>ENTREPRISE GENERALE MALTA FOREST</t>
  </si>
  <si>
    <t>COMEDECOM</t>
  </si>
  <si>
    <t>BAUDOUIN MINING SARL</t>
  </si>
  <si>
    <t>IVANHOE MINES EXPLORATION DRC</t>
  </si>
  <si>
    <t>Non communiqué</t>
  </si>
  <si>
    <t>DFSA</t>
  </si>
  <si>
    <t>CONGO JIA XIN SARL</t>
  </si>
  <si>
    <t>CONGO JIA XIN SARL (CJX)</t>
  </si>
  <si>
    <t>COPROCO GROUP SARL</t>
  </si>
  <si>
    <t xml:space="preserve"> KATANGA STRATEGIC RESOURCES </t>
  </si>
  <si>
    <t>DITHER</t>
  </si>
  <si>
    <t>RDC METAL SARLU</t>
  </si>
  <si>
    <t>WILLEM MINERALS COMPANY (WMC)</t>
  </si>
  <si>
    <t>NGONDO MINING Sarl</t>
  </si>
  <si>
    <t>Société minière de Kilo-Moto (SOKIMO)</t>
  </si>
  <si>
    <t>AMUR SARL</t>
  </si>
  <si>
    <t>AXIS MINING CONGO SPRL</t>
  </si>
  <si>
    <t>KALIMA MINING COMPANY SA</t>
  </si>
  <si>
    <t>MABANGA SHINING Sarlu</t>
  </si>
  <si>
    <t>Société Commerciale Minière de Kisenge Managnèse (SCMK-Mn)</t>
  </si>
  <si>
    <t>CONGO SOUTH AFRICA COMPANY</t>
  </si>
  <si>
    <t>RATEL METAL CONGO Sarl</t>
  </si>
  <si>
    <t>OM METAL RESOURCES SARL</t>
  </si>
  <si>
    <t>LA MINIERE DU CONGO SPRL</t>
  </si>
  <si>
    <t>Société Minière de Bakwanga (MIBA)</t>
  </si>
  <si>
    <t>GROUPE SIX Sarl</t>
  </si>
  <si>
    <t>NAMOYA MINING SARL (SAKIMA SARL)</t>
  </si>
  <si>
    <t>LEREXCOM MINING SARL</t>
  </si>
  <si>
    <t>KABE SARL</t>
  </si>
  <si>
    <t>SGS MINERALS SPRL</t>
  </si>
  <si>
    <t>INTERLACS  SARL</t>
  </si>
  <si>
    <t>TANTALE MINING KATANGA SPRL</t>
  </si>
  <si>
    <t>SOCIETE NBB &amp; FRERES</t>
  </si>
  <si>
    <t>REGAL SK SPRL</t>
  </si>
  <si>
    <t>CDC (partenaire Sakima)</t>
  </si>
  <si>
    <t>ETS RICA</t>
  </si>
  <si>
    <t>STANBUD SARL</t>
  </si>
  <si>
    <t>INVESTISSEMENT ET DEVELOPPEMENT IMMOBILIERS</t>
  </si>
  <si>
    <t>CONGO MOON</t>
  </si>
  <si>
    <t>WANMICO SARL</t>
  </si>
  <si>
    <t>ETOILE D ORIENT SARL</t>
  </si>
  <si>
    <t>MISMATCH</t>
  </si>
  <si>
    <t>GOLDEN CONSTRUCTION</t>
  </si>
  <si>
    <t>BRITCOM COMPANY SARL</t>
  </si>
  <si>
    <t>Société du Développement Industriel et Minier du Congo (SODIMICO)</t>
  </si>
  <si>
    <t>STANVIC MINING</t>
  </si>
  <si>
    <t>GICC SARL</t>
  </si>
  <si>
    <t>MURUMBI MINERALS SPRL</t>
  </si>
  <si>
    <t>LBK CONSTRUCTION SARL</t>
  </si>
  <si>
    <t>BOKANDA</t>
  </si>
  <si>
    <t>ORIENTALE RESSOURCES CONGO Sarl</t>
  </si>
  <si>
    <t>CARRIERE DU LUALABA</t>
  </si>
  <si>
    <t>KASTRO SARL</t>
  </si>
  <si>
    <t>MBAKA KAWAYA AMBROISE</t>
  </si>
  <si>
    <t>KISENGO MINING SPRL</t>
  </si>
  <si>
    <t>AFRIMINES RESSOURCES</t>
  </si>
  <si>
    <t>YAFEI MINING</t>
  </si>
  <si>
    <t>COMPAGNIE MINIERE DE LA LUKAYA SA</t>
  </si>
  <si>
    <t>DA FEI MINING SPRL</t>
  </si>
  <si>
    <t>G12 ENTREPRISE</t>
  </si>
  <si>
    <t>IVANPLATS DRC SERVICES SPRL</t>
  </si>
  <si>
    <t>BRAVURA CONGO SA</t>
  </si>
  <si>
    <t>STE MINIERE DE MITWABA SPRL</t>
  </si>
  <si>
    <t xml:space="preserve">BASEMINE </t>
  </si>
  <si>
    <t>COMIBA</t>
  </si>
  <si>
    <t>KIVU MINERAL RESOURCES SARLU</t>
  </si>
  <si>
    <t>KANUKA MINING</t>
  </si>
  <si>
    <t>SOCIETE MINIERE DE LUBUTU</t>
  </si>
  <si>
    <t>MINERAL DEVELOPMENT AND INVESTMENT</t>
  </si>
  <si>
    <t>EUGO INVESTMENT Sarl</t>
  </si>
  <si>
    <t>NB MINING SAU</t>
  </si>
  <si>
    <t>KIN BETON SARL</t>
  </si>
  <si>
    <t>DOFA MINING Sarl</t>
  </si>
  <si>
    <t>GROUPE NEUF CONSTRUCTION COMPANY Sarl</t>
  </si>
  <si>
    <t>COMISA SPRL</t>
  </si>
  <si>
    <t>CONGO CONSTRUCTION INVESTMENTS Sarl</t>
  </si>
  <si>
    <t>MINES D'OR DE KISENGA "MDDK" SARL</t>
  </si>
  <si>
    <t>WALI</t>
  </si>
  <si>
    <t>WEZA</t>
  </si>
  <si>
    <t>MCC RESSOURCES SARLU</t>
  </si>
  <si>
    <t>BANRO CONGO MINING SARL</t>
  </si>
  <si>
    <t>SOCIETE TANGANYIKA MINING SARL</t>
  </si>
  <si>
    <t>FMR DEVELOPMENT SARL</t>
  </si>
  <si>
    <t>LEDYA SPRL</t>
  </si>
  <si>
    <t>STÉ INTERMINES SPRL</t>
  </si>
  <si>
    <t>JEHOVAH JIREH ADO SPRL</t>
  </si>
  <si>
    <t>TANGANYIKA MINERAL</t>
  </si>
  <si>
    <t>RICA</t>
  </si>
  <si>
    <t>AMAZONA SARL</t>
  </si>
  <si>
    <t>MUKONO KWA MUKONO MU KAZI GROUPE SARL</t>
  </si>
  <si>
    <t>WALI MINING INVESTMENT Sarl</t>
  </si>
  <si>
    <t>CIMCO</t>
  </si>
  <si>
    <t>KATENDE MBALA</t>
  </si>
  <si>
    <t>EPIC</t>
  </si>
  <si>
    <t>ERG</t>
  </si>
  <si>
    <t>GROUPE INC</t>
  </si>
  <si>
    <t>LOTUS MINING Sarl</t>
  </si>
  <si>
    <t>SABLE ET GRAVIER DE BAYA SARL</t>
  </si>
  <si>
    <t>SWANMINES</t>
  </si>
  <si>
    <t>MABENDE MINING</t>
  </si>
  <si>
    <t xml:space="preserve"> SOCIETE AGRO-PASTORALE LEMERA SARL</t>
  </si>
  <si>
    <t>ANHUA CONSTRUCTION CONGO Sarl</t>
  </si>
  <si>
    <t>LUFUPA SASU SARL</t>
  </si>
  <si>
    <t>DU CHARBONNAGE DE MAKALA SAS</t>
  </si>
  <si>
    <t>GEMCO SPRL</t>
  </si>
  <si>
    <t>DESTINY'S MERCY MINING SARL</t>
  </si>
  <si>
    <t>COMPAGNIE MINIERE DE TONDO</t>
  </si>
  <si>
    <t xml:space="preserve">SHAMITUMBA </t>
  </si>
  <si>
    <t xml:space="preserve">PUNIA KASESE MINING </t>
  </si>
  <si>
    <t>PILAR DRC MINING SARL</t>
  </si>
  <si>
    <t>SPILL CONGO Sarl</t>
  </si>
  <si>
    <t>UNITED MATERIALS CONGO SARL</t>
  </si>
  <si>
    <t>SOLEIL MINING</t>
  </si>
  <si>
    <t>EMPIRE CORPORATION YVY SARL</t>
  </si>
  <si>
    <t>CONGO MINING SOLUTION SPRL</t>
  </si>
  <si>
    <t>EXCOMINES RDC</t>
  </si>
  <si>
    <t>CONGO GEOLOGIST GALAXY</t>
  </si>
  <si>
    <t>NSHAMAMBA BISIMWA EVARISTE</t>
  </si>
  <si>
    <t>LWANZO INVESTISSEMENTS SARL</t>
  </si>
  <si>
    <t>YELLOW WATER RESSOURCES Sarl</t>
  </si>
  <si>
    <t>HAVILA INVESTMENTS SARL</t>
  </si>
  <si>
    <t>GLOBAL INVESTMENT CONGO</t>
  </si>
  <si>
    <t>CHINA FORTUNE SARL</t>
  </si>
  <si>
    <t>REGAL MANIEMA</t>
  </si>
  <si>
    <t>MNAZI TRADING SARL</t>
  </si>
  <si>
    <t>EXTRA MADURA SARL</t>
  </si>
  <si>
    <t>GOLDIX TRADE COMPANY MINING Sarl</t>
  </si>
  <si>
    <t>GOLIN MINING INVESTMENT</t>
  </si>
  <si>
    <t>SOGEMIP MINING</t>
  </si>
  <si>
    <t>CONSTRUCTION COMPANY</t>
  </si>
  <si>
    <t>SAMTA NATURAL</t>
  </si>
  <si>
    <t xml:space="preserve">MBAKA KAWAYA SARL  </t>
  </si>
  <si>
    <t>MAGHARIBI MINING Sau</t>
  </si>
  <si>
    <t>GOMA MINING</t>
  </si>
  <si>
    <t>SOCIETE  AGRO PASTORAL ET MINIERE DU NORD KIVU</t>
  </si>
  <si>
    <t>KALORDIA MINING LOGISTIQUE ET SERVICES ENTREPRISES</t>
  </si>
  <si>
    <t xml:space="preserve">KUN TAI CONGO MINING SPRL </t>
  </si>
  <si>
    <t>NSHAMAMBA BISIMWA "ETS NAMUKAYA" (NEW CONGO COM AIR)/BUKAVU</t>
  </si>
  <si>
    <t>BM GLOBAL BUSINESS LTD</t>
  </si>
  <si>
    <t>Fifi NDJOLO</t>
  </si>
  <si>
    <t xml:space="preserve">INTERACTIVE ENERGY RUSSIA S.A </t>
  </si>
  <si>
    <t>PAMPANGA LIGHTS MINING Sarlu</t>
  </si>
  <si>
    <t>COOPERATIVE MINIERE KAZI KWA AMANI</t>
  </si>
  <si>
    <t xml:space="preserve">KALUMBU MWADI </t>
  </si>
  <si>
    <t>SWAKALA SAS</t>
  </si>
  <si>
    <t>MUKEVERE</t>
  </si>
  <si>
    <t>STAR METALS COMPANY SARL</t>
  </si>
  <si>
    <t>AFRICA EQUITY ET INVESTMENT GROUP SARL</t>
  </si>
  <si>
    <t>FIPAGRES SARL</t>
  </si>
  <si>
    <t>LONCOR RESSOURCES CONGO SARL</t>
  </si>
  <si>
    <t>COEXCO CONGO</t>
  </si>
  <si>
    <t>IVHANOE MINES ENERGY</t>
  </si>
  <si>
    <t>KASONGA MINING</t>
  </si>
  <si>
    <t>SOCIETE MINIERE D'EXPLOITATION DE MUSOSHI</t>
  </si>
  <si>
    <t>CODEMA</t>
  </si>
  <si>
    <t>OCEAN MINING RDC SA</t>
  </si>
  <si>
    <t>IMEC CONGO SPRL</t>
  </si>
  <si>
    <t>COOPERATIVE DES EXPLOITANTS/ARTISANAUX MINIERS DE MASISI</t>
  </si>
  <si>
    <t>GLOBAL TRADING SERVICES &amp; CONSULTING</t>
  </si>
  <si>
    <t>MBOMBA MINING SARL</t>
  </si>
  <si>
    <t>GOLDEN SANDS MINING Sarl</t>
  </si>
  <si>
    <t>CORNER STONES RESSOURCES RDC</t>
  </si>
  <si>
    <t>J2M SARL</t>
  </si>
  <si>
    <t>KATANGA METALS SARL</t>
  </si>
  <si>
    <t>KAPIRI MINING Sarl</t>
  </si>
  <si>
    <t>AFRIQUE OR MINING SARL</t>
  </si>
  <si>
    <t>GAYA MINING GROUP SA</t>
  </si>
  <si>
    <t>BANKERS COBALT MINING SASU</t>
  </si>
  <si>
    <t>ZAO JUN</t>
  </si>
  <si>
    <t>DRAGON INTERNATIONAL MINING SPRL</t>
  </si>
  <si>
    <t>AMANI MINERAL KATANGA</t>
  </si>
  <si>
    <t>SOCIETE MINIERE D'APPUI AUX INITIATIVES PAYSANNES SARL</t>
  </si>
  <si>
    <t>NUMBI EXPLOITATION SARL</t>
  </si>
  <si>
    <t>STE MINIERE DE KASONTA</t>
  </si>
  <si>
    <t xml:space="preserve"> IMPERIAL MINING SERVICES SARL</t>
  </si>
  <si>
    <t>SOCIETE MEDICI MINING</t>
  </si>
  <si>
    <t>KATANGA CONSULTING COMPANY SPRL</t>
  </si>
  <si>
    <t>WENTONA PROPERTIES SPRL</t>
  </si>
  <si>
    <t>MWANGACHUCHU  Edouard</t>
  </si>
  <si>
    <t>COMPANY MINIERE DE DEVELOP ET DE RECONSTRUCTION</t>
  </si>
  <si>
    <t xml:space="preserve">SOCIETE DU CHARBONNAGE DE MAKALA </t>
  </si>
  <si>
    <t>BAKULIKIRA NGUMA Dieudonné</t>
  </si>
  <si>
    <t xml:space="preserve"> WIDAL MINING</t>
  </si>
  <si>
    <t>LU  WANG SPRL</t>
  </si>
  <si>
    <t>SOGEMICA SARL</t>
  </si>
  <si>
    <t>ANTOINE MUHIDAGIGA RUTEGA</t>
  </si>
  <si>
    <t>PIMA MINING SPRL</t>
  </si>
  <si>
    <t>NOVCORP SARLU</t>
  </si>
  <si>
    <t xml:space="preserve">STE SODIMIKA </t>
  </si>
  <si>
    <t>MONGBWALU GOLD MINES SA (ex: ASHANTI GOLDFIEDS KILO)</t>
  </si>
  <si>
    <t>COM GNL PHARM HOPIT ET IND DU LUALABA SARL</t>
  </si>
  <si>
    <t>BORA MINERAL</t>
  </si>
  <si>
    <t>EARTH MANTLE SARL</t>
  </si>
  <si>
    <t>NDONA EXPANSION COMPANY SARL</t>
  </si>
  <si>
    <t>MEDICI MINING</t>
  </si>
  <si>
    <t>GLOBAL TRADING COMMODITIES</t>
  </si>
  <si>
    <t>NAVARRO RESSOURCES SARL</t>
  </si>
  <si>
    <t>STE MINES AFRIQUE  MINAF</t>
  </si>
  <si>
    <t>EMPIRE RESSOURCES Sarl</t>
  </si>
  <si>
    <t>METACHEM</t>
  </si>
  <si>
    <t>ROHIM MINING SARL</t>
  </si>
  <si>
    <t>CONGO NEW MINING VISION Sarl</t>
  </si>
  <si>
    <t>AKULA AFRICA SARL</t>
  </si>
  <si>
    <t>CONGO GOLD RAFFINERIE SARL</t>
  </si>
  <si>
    <t>LONG FEI MINING</t>
  </si>
  <si>
    <t>TIGER CONGO SPRL</t>
  </si>
  <si>
    <t>TLMC MINING SAU</t>
  </si>
  <si>
    <t>MAHAVEER MINING SPRL</t>
  </si>
  <si>
    <t>ENTREPRISE COMM MIN AGRICOLE ET DE SECURITE SARL</t>
  </si>
  <si>
    <t>STE DES IDEES QUI VALENT DE L'OR SARL</t>
  </si>
  <si>
    <t>STE GENERALE D'EXPLOIT. DE CASSIT. &amp; ACCOMPAGNATEURS SARL</t>
  </si>
  <si>
    <t>ALVA RESOURCES SARL</t>
  </si>
  <si>
    <t>GOD MATEBWE AND SONS</t>
  </si>
  <si>
    <t>GROUPE LES LEADERS SERVICE</t>
  </si>
  <si>
    <t>SUPER KATANGA</t>
  </si>
  <si>
    <t>STE DES MINES ET CARR PR L EMERGENCE DU CONGO SARL</t>
  </si>
  <si>
    <t>BAHATI DIAMONDS SPRL</t>
  </si>
  <si>
    <t>DELUBAM MINERAL COMPANY SARL</t>
  </si>
  <si>
    <t>MERCURY COMPANY SARL</t>
  </si>
  <si>
    <t>BUNIA HUB SERVICES SARL</t>
  </si>
  <si>
    <t>NEW CONGO TEC MINING Sarl</t>
  </si>
  <si>
    <t xml:space="preserve">DIESEL MINING </t>
  </si>
  <si>
    <t>COMPANY MINIERE DE KATOTO SARL</t>
  </si>
  <si>
    <t>AITEO MINING CONGO LTD SARL</t>
  </si>
  <si>
    <t>COOPERATIVE MINIERE DE DEVELOPPEMENT COMMUNAUTAIRE</t>
  </si>
  <si>
    <t>LONGATSHIMO MINING SARL</t>
  </si>
  <si>
    <t>LUFIRA MINING</t>
  </si>
  <si>
    <t>INDUSTRIELLE MINING INTERNATIONAL SARLU</t>
  </si>
  <si>
    <t>XIANG JIANG MINING Sarl</t>
  </si>
  <si>
    <t>SOCIETE DES DEVELOPPEMENTS MINIERS SARL</t>
  </si>
  <si>
    <t>STE MINIERE ET AGRICOLE DU CONGO SARL</t>
  </si>
  <si>
    <t>ANJOU CONSULTING SARLU</t>
  </si>
  <si>
    <t>GLORY MINERAL</t>
  </si>
  <si>
    <t>MAMBA TSHIBUYI MINIING SARL</t>
  </si>
  <si>
    <t>MULUMBA KANKU KAIMBY FELIX-CAMILLE</t>
  </si>
  <si>
    <t>TAMARIS SERVICE Sarl</t>
  </si>
  <si>
    <t>KILUNGUYI SOMBE MINING SARL</t>
  </si>
  <si>
    <t>GROUPE D.M.S. BUSINESS Sarlu</t>
  </si>
  <si>
    <t>GROUP M.S.A</t>
  </si>
  <si>
    <t xml:space="preserve">BOPE EXPLOITATION MINING COOPERATION SARL </t>
  </si>
  <si>
    <t>LIBENGE MINING SARLU</t>
  </si>
  <si>
    <t xml:space="preserve">GOMINING </t>
  </si>
  <si>
    <t>KAMUMER INTER INVESTMENTS ET CONSULTING SARL</t>
  </si>
  <si>
    <t>AMICAL KAKANA MINING SPRL</t>
  </si>
  <si>
    <t>COOPERATION GRAND KATANGA POUR LE DEV</t>
  </si>
  <si>
    <t>TAMARIS SERVICE</t>
  </si>
  <si>
    <t>SOCIETE METAL CHIMICAL SPRL</t>
  </si>
  <si>
    <t>ITURI GOLD MINING COMPANY Sprl</t>
  </si>
  <si>
    <t>GRANDS SERVICES SAELU</t>
  </si>
  <si>
    <t>ADVANCE INDUSTRY</t>
  </si>
  <si>
    <t>KATANGA DEVELOPPEMENT ET ASSOCIES SA</t>
  </si>
  <si>
    <t>ODLION &amp; MANUEL SARL</t>
  </si>
  <si>
    <t>JAMAA MINING SARL</t>
  </si>
  <si>
    <t>NYEMAK MINING Sarl</t>
  </si>
  <si>
    <t>KARIBU CONSULTING Sarl</t>
  </si>
  <si>
    <t>ALS MINERALS RDC SPRL</t>
  </si>
  <si>
    <t>COMPAGNIE MINIERE MIKUBA RESSOURCES Sarl</t>
  </si>
  <si>
    <t>HOPE MINING CONGO SARL</t>
  </si>
  <si>
    <t>ORE BODY PROSPECTING Sarl</t>
  </si>
  <si>
    <t>STE MINIERE BIALA MUKANGA SARL</t>
  </si>
  <si>
    <t>CHRIST GOLD MINING Sarl</t>
  </si>
  <si>
    <t>UKAY MINING Sarl</t>
  </si>
  <si>
    <t>Société Nationale des Hydrocarbures du Congo (SONAHYDROC)</t>
  </si>
  <si>
    <t>Flux</t>
  </si>
  <si>
    <t>Impôt sur les bénéfices et Profits(ou Impôt Spécial Forfetaire)</t>
  </si>
  <si>
    <t>Droits et taxes à l'importation (Totale Quittance)</t>
  </si>
  <si>
    <t>Redevance Minière: Quote-part Trésor (50%)</t>
  </si>
  <si>
    <t>Dividendes des Entreprises publiques</t>
  </si>
  <si>
    <t>Impôt Spécial sur le profit Excédentaire</t>
  </si>
  <si>
    <t>Droits et Taxes A L'Exportation (Totale Quittance)</t>
  </si>
  <si>
    <t>Avis de Mise en Recouvrement A</t>
  </si>
  <si>
    <t>Redevance Minière: Quote-part Province (25%)</t>
  </si>
  <si>
    <t>Impôts Professionnel sur les Rémunérations et Exceptionnel sur la Rémunération des Expatriés</t>
  </si>
  <si>
    <t>Impôt mobilier</t>
  </si>
  <si>
    <t>Redevance minière : quote-part ETD (15%)</t>
  </si>
  <si>
    <t>Taxe Voirie et Drainage</t>
  </si>
  <si>
    <t>Taxe Concentrés</t>
  </si>
  <si>
    <t>Pas-de-Porte versés aux Entreprises Publiques/Bonus de signature ou Transfert</t>
  </si>
  <si>
    <t>Paiements sociaux obligatoires</t>
  </si>
  <si>
    <t>Avis de Mise en Recouvrement B</t>
  </si>
  <si>
    <t>Royalties versées aux Entreprises Publiques</t>
  </si>
  <si>
    <t>Royalties : Quote-part Trésor (50%)</t>
  </si>
  <si>
    <t>Redevances minières: FOMIN (10%)</t>
  </si>
  <si>
    <t>Cession d'actifs</t>
  </si>
  <si>
    <t>IBP sur Prestations des personnes non résidentes en RDC</t>
  </si>
  <si>
    <t>Redevance Suivi de change</t>
  </si>
  <si>
    <t>Taxe rémunératoire annuelle</t>
  </si>
  <si>
    <t>Dotation Minimum 0,3 % du Chiffre d'Affaires des entreprises minières</t>
  </si>
  <si>
    <t>Paiements sociaux volontaires</t>
  </si>
  <si>
    <t>Prestation des services</t>
  </si>
  <si>
    <t>Taxe de pollution</t>
  </si>
  <si>
    <t>Dividendes versées à l'Etat</t>
  </si>
  <si>
    <t>Frais d'analyse et d'expertise</t>
  </si>
  <si>
    <t>Droits superficiaires annuels par carré : CAMI (50%)</t>
  </si>
  <si>
    <t>Frais de Consultance</t>
  </si>
  <si>
    <t>Frais de certification</t>
  </si>
  <si>
    <t>Droits superficiaires annuels par carré : Quote-part Trésor (50%)</t>
  </si>
  <si>
    <t>Autres flux (CEEC)</t>
  </si>
  <si>
    <t>Frais de dépôt des dossiers des droits miniers</t>
  </si>
  <si>
    <t>Loyers d'Amodiation et/ou rente mensuelle et Indemnisation pour perte des revenus escomptés à titre de contrat  d’amodiation</t>
  </si>
  <si>
    <t>Dépenses environnementales obligatoires</t>
  </si>
  <si>
    <t>Taxe de Déboisement</t>
  </si>
  <si>
    <t xml:space="preserve">Pénalités versées à la DGRAD </t>
  </si>
  <si>
    <t>Pénalités versées au Trésor</t>
  </si>
  <si>
    <t>Police des Mines et Hydrocarbures</t>
  </si>
  <si>
    <t>Dépenses environnementales volontaires</t>
  </si>
  <si>
    <t>Impôt sur la superficie des concessions Minières et des hydrocarbures</t>
  </si>
  <si>
    <t>Effort de contribution au budget de l'Etat</t>
  </si>
  <si>
    <t>Taxe 1% sur la valeur réévaluée par le CEEC revenant à la province</t>
  </si>
  <si>
    <t>Redevance annuelle pour entités de traitement et de transformation de toutes catégories et tailleries</t>
  </si>
  <si>
    <t>Quote-part sur les frais de contrôle de radioactivité</t>
  </si>
  <si>
    <t>Taxe pour exploitation des eaux naturelles et de surface</t>
  </si>
  <si>
    <t>Frais administratif de confidentialité</t>
  </si>
  <si>
    <t>Impôt sur le Véhicule (Vignette &amp; TCSR)</t>
  </si>
  <si>
    <t xml:space="preserve">Taxe rémunératoire annuelle </t>
  </si>
  <si>
    <t>Taxe d’implantation</t>
  </si>
  <si>
    <t>Pénalités SOKIMO</t>
  </si>
  <si>
    <t>Autorisation de transport de minerais</t>
  </si>
  <si>
    <t>Suivi de l’exécution du PAR, PGE et Audit Environnemental</t>
  </si>
  <si>
    <t>Taxe sur la reconstruction</t>
  </si>
  <si>
    <t>Frais d'audit environnementale</t>
  </si>
  <si>
    <t>Suivi environnemental</t>
  </si>
  <si>
    <t>redevance pour attenuation et rehabilitation de l'environnement minier d'exploitation artisanale</t>
  </si>
  <si>
    <t>Marge distribuable(Profit-Oil Etat Puissance Publique)</t>
  </si>
  <si>
    <t>Participation (Profit-Oil Etat associé)</t>
  </si>
  <si>
    <t>Dividendes Pétrolier</t>
  </si>
  <si>
    <t>Redevance Superficiaire/Frais de passage</t>
  </si>
  <si>
    <t>Bonus de Renouvellement de Permis d'exploration</t>
  </si>
  <si>
    <t>Frais de formation des cadres congolais</t>
  </si>
  <si>
    <t>Plan de Mise en Conformité Environnementale et Sociale.</t>
  </si>
  <si>
    <t>Annexe 2 - Détails de renouvellement des droits miniers en 2022</t>
  </si>
  <si>
    <t>Annexe 3 - Détails des droits miniers actifs en 2022</t>
  </si>
  <si>
    <t>Annexe 4 - Liste des Titres miniers avec le statut actif dont la date d'expiration est antérieure ou identique à la date d'octroi</t>
  </si>
  <si>
    <t>Annexe 5 - Droits miniers en statut actif dont la date d'expiration est antérieure à 2022</t>
  </si>
  <si>
    <t>Annexe 6 - Liste des Titres miniers avec le statut actif dont la date d'octroi est en 2024</t>
  </si>
  <si>
    <t>Annexe 7 - Liste des Titres miniers avec dont la date d'octroi et la date d'expiration sont vides</t>
  </si>
  <si>
    <t xml:space="preserve">Annexe 8 - Modèle formulaire de déclaration du propriétaire effectif </t>
  </si>
  <si>
    <t>Annexe 9  – Structure du capital secteur minier</t>
  </si>
  <si>
    <t>Annexe 10  – Structure du capital secteur pétrolier</t>
  </si>
  <si>
    <t>Annexe 11  – Bénéficiaire effectif secteur minier</t>
  </si>
  <si>
    <t>Annexe 12  – Bénéficiaire effectif secteur pétrolier</t>
  </si>
  <si>
    <t>Annexe 13 - Liste des PR transformés en PE en 2022</t>
  </si>
  <si>
    <t>Annexe 14 - Soumission détails des participations publiques par les EP en 2022</t>
  </si>
  <si>
    <t>ID Substance</t>
  </si>
  <si>
    <t>Metaux</t>
  </si>
  <si>
    <t>Substances</t>
  </si>
  <si>
    <t>Total annuel</t>
  </si>
  <si>
    <t>Région</t>
  </si>
  <si>
    <t>Projet</t>
  </si>
  <si>
    <t>Qte</t>
  </si>
  <si>
    <t>Val</t>
  </si>
  <si>
    <t>Co</t>
  </si>
  <si>
    <t>Hydroxyde de Cobalt(25-40%)</t>
  </si>
  <si>
    <t xml:space="preserve"> Non renseignée </t>
  </si>
  <si>
    <t>Cu</t>
  </si>
  <si>
    <t>Cuivre autrement presente(90-99%à</t>
  </si>
  <si>
    <t>Cathode de Cuivre(99,8-99,9%)</t>
  </si>
  <si>
    <t>Cathode de cobalt(99,3-99,8%)</t>
  </si>
  <si>
    <t>Minerais de cobalt sulfuré</t>
  </si>
  <si>
    <t>Matte de Cuivre(46-60%Cu)</t>
  </si>
  <si>
    <t>Cuivre Blister ou Cu Noir(80-98%)</t>
  </si>
  <si>
    <t>Minerais de cuivre oxydé</t>
  </si>
  <si>
    <t>#34</t>
  </si>
  <si>
    <t>Conc.Co (4-15%)</t>
  </si>
  <si>
    <t xml:space="preserve"> </t>
  </si>
  <si>
    <t>#3</t>
  </si>
  <si>
    <t>#38</t>
  </si>
  <si>
    <t>(31-40%Co )</t>
  </si>
  <si>
    <t>PE660</t>
  </si>
  <si>
    <t>#35</t>
  </si>
  <si>
    <t>Conc.CuCo</t>
  </si>
  <si>
    <t>#63</t>
  </si>
  <si>
    <t>cocu</t>
  </si>
  <si>
    <t>#32</t>
  </si>
  <si>
    <t>Conc.Cu (10-30%)</t>
  </si>
  <si>
    <t>#30</t>
  </si>
  <si>
    <t>Au</t>
  </si>
  <si>
    <t>Or(90-99.9%)</t>
  </si>
  <si>
    <t>#27</t>
  </si>
  <si>
    <t>#2</t>
  </si>
  <si>
    <t>Wire Bars(99,8-99,9%)</t>
  </si>
  <si>
    <t>#7</t>
  </si>
  <si>
    <t>PE 465</t>
  </si>
  <si>
    <t>Déclaration erroné a verifier</t>
  </si>
  <si>
    <t>#37</t>
  </si>
  <si>
    <t>All.Blanc(21-30%Co et 10-20%Cu)</t>
  </si>
  <si>
    <t>#51</t>
  </si>
  <si>
    <t>ZnPb</t>
  </si>
  <si>
    <t>Poussière de Zinc et Plomb(41-50%Zn et &lt;=10%Pb)</t>
  </si>
  <si>
    <t>#65</t>
  </si>
  <si>
    <t>#</t>
  </si>
  <si>
    <t>Cuivre Scrap</t>
  </si>
  <si>
    <t>Concentré de cobalt</t>
  </si>
  <si>
    <t>CUIVRE</t>
  </si>
  <si>
    <t>HYDROXYDE DE COBALT</t>
  </si>
  <si>
    <t>#39</t>
  </si>
  <si>
    <t>CoCuNi</t>
  </si>
  <si>
    <t>All Cobalt_Nickel (30-40%Co,7-15%Cu et 10-15%Ni)</t>
  </si>
  <si>
    <t>#44</t>
  </si>
  <si>
    <t>#33</t>
  </si>
  <si>
    <t>CU</t>
  </si>
  <si>
    <t>CO</t>
  </si>
  <si>
    <t>#29</t>
  </si>
  <si>
    <t>All.Blanc (Co ≤ 30%Cu≤30%</t>
  </si>
  <si>
    <t>#5</t>
  </si>
  <si>
    <t>Cathode de Cuivre
(99,8-99,9%)</t>
  </si>
  <si>
    <t>#58</t>
  </si>
  <si>
    <t>C</t>
  </si>
  <si>
    <t>Diamant</t>
  </si>
  <si>
    <t>10 551 152,82</t>
  </si>
  <si>
    <t>9 479 331,34</t>
  </si>
  <si>
    <t>8 779 795,94</t>
  </si>
  <si>
    <t>9 491 385</t>
  </si>
  <si>
    <t>9 154 620,27</t>
  </si>
  <si>
    <t>10 242 524,06</t>
  </si>
  <si>
    <t>11 321 227,36</t>
  </si>
  <si>
    <t>10 091 310,18</t>
  </si>
  <si>
    <t>10 416 719,78</t>
  </si>
  <si>
    <t>9 524 405,12</t>
  </si>
  <si>
    <t>6 916 812</t>
  </si>
  <si>
    <t>10 931 720,02</t>
  </si>
  <si>
    <t>#59</t>
  </si>
  <si>
    <t>FeMn</t>
  </si>
  <si>
    <t>Coltan</t>
  </si>
  <si>
    <t>#60</t>
  </si>
  <si>
    <t>Sn</t>
  </si>
  <si>
    <t>Concentré d'Etain</t>
  </si>
  <si>
    <t>#61</t>
  </si>
  <si>
    <t>W</t>
  </si>
  <si>
    <t>Concentré de tungstène(Wolframite)</t>
  </si>
  <si>
    <t>Bukena/Ngoya</t>
  </si>
  <si>
    <t>#10</t>
  </si>
  <si>
    <t>transporteur</t>
  </si>
  <si>
    <t>acheteur</t>
  </si>
  <si>
    <t>Cuivre Spot Bleu(99,8-99,9%)</t>
  </si>
  <si>
    <t>Cuivre Pulverisé(84-94%)</t>
  </si>
  <si>
    <t>Poussières de Plomb(&lt;=30%Pb)</t>
  </si>
  <si>
    <t>KURASIMI INLAND CONTAINER DEPOT (KICD)</t>
  </si>
  <si>
    <t>NEW SPREAD TRANDING LTD</t>
  </si>
  <si>
    <t>Kambove</t>
  </si>
  <si>
    <t>BGN INT DMCC</t>
  </si>
  <si>
    <t xml:space="preserve">kambove </t>
  </si>
  <si>
    <t>HYDOXYDE DE COBALT</t>
  </si>
  <si>
    <t>erroné</t>
  </si>
  <si>
    <t>TRAF &amp; LCS</t>
  </si>
  <si>
    <t>Kapulo/Pweto</t>
  </si>
  <si>
    <t>PE1697</t>
  </si>
  <si>
    <t>Scorie d'Etain(5-10%Ta205)</t>
  </si>
  <si>
    <t>Nelly</t>
  </si>
  <si>
    <t>Vin Metal</t>
  </si>
  <si>
    <t>bukena/ Ngoya</t>
  </si>
  <si>
    <t xml:space="preserve">Mn </t>
  </si>
  <si>
    <t>Annexe 16  – Exportations détaillées secteur minier</t>
  </si>
  <si>
    <t>Annexe 15  – Production détaillée secteur minier</t>
  </si>
  <si>
    <t>Annexe 17 - Publication des GES secteur minier</t>
  </si>
  <si>
    <t>PERCEPTEUR</t>
  </si>
  <si>
    <t>TYPE DE FLUX</t>
  </si>
  <si>
    <t>SECTEURS</t>
  </si>
  <si>
    <t>1. FLUX PAYES PAR LES ENTREPRISES EXTRACTIVES DESTINES AU TRESOR PUBLIC</t>
  </si>
  <si>
    <t>Minier</t>
  </si>
  <si>
    <t>Pétrolier</t>
  </si>
  <si>
    <t>DGI</t>
  </si>
  <si>
    <t>Avis de Mise en Recouvrement (AMR A)</t>
  </si>
  <si>
    <t>M</t>
  </si>
  <si>
    <t>P</t>
  </si>
  <si>
    <t>Impôt sur les bénéfices et profits (IBP)/ISF</t>
  </si>
  <si>
    <t>Impôt Professionnel sur les Rémunérations (IPR)</t>
  </si>
  <si>
    <t>Impôt Exceptionnel sur la Rémunération des Expatriés (IER)</t>
  </si>
  <si>
    <t>Impôt mobilier (IM)</t>
  </si>
  <si>
    <t>Impôt Spécial sur le Profit Excédentaire (ISPE)</t>
  </si>
  <si>
    <t>IBP sur prestations des personnes non résidentes en RDC</t>
  </si>
  <si>
    <t>DGDA</t>
  </si>
  <si>
    <t>Droits et Taxes à l'importation</t>
  </si>
  <si>
    <t>Droits et Taxes à l'exportation</t>
  </si>
  <si>
    <t>Autres frais liés au paiement de bonus</t>
  </si>
  <si>
    <t>Bonus de signature</t>
  </si>
  <si>
    <t>Bonus de production</t>
  </si>
  <si>
    <t>Bonus de Production des dix millionièmes barils</t>
  </si>
  <si>
    <t>Bonus de Découverte Commerciale</t>
  </si>
  <si>
    <t>Bonus de Permis d’Exploration</t>
  </si>
  <si>
    <t>Bonus de Renouvellement de permis d’exploration</t>
  </si>
  <si>
    <t>Bonus de Permis d’Exploitation</t>
  </si>
  <si>
    <t>Bonus de renouvellement de la Concession</t>
  </si>
  <si>
    <t>Dividendes versés à l’Etat</t>
  </si>
  <si>
    <t>Pas-de-porte versés à l'Etat (quote part revenant au Trésor: 50%)*</t>
  </si>
  <si>
    <t>Ventes Actions et Parts Sociales de l'Etat</t>
  </si>
  <si>
    <t>Droits superficiaires annuels par carré  (Quotité 50% revenant au trésor)*</t>
  </si>
  <si>
    <t>Marge distribuable (Profit-Oïl Etat Puissance Publique)</t>
  </si>
  <si>
    <t>Participation (Profit-Oïl Etat associé)</t>
  </si>
  <si>
    <t>Pénalités versées au trésor</t>
  </si>
  <si>
    <t>Redevances minières (RM): quotepart Trésor (50%)*</t>
  </si>
  <si>
    <t>Renouvellement de Permis d'exploitation</t>
  </si>
  <si>
    <t>Royalties (quotepart revenant au Trésor: 50%)*</t>
  </si>
  <si>
    <t>Royalties petrolières</t>
  </si>
  <si>
    <t>Taxes sur les plus-values de cessions totales de l’intérêt de participation</t>
  </si>
  <si>
    <t>Vente de Licence</t>
  </si>
  <si>
    <t>Autorisation d'exportation des minerais à l'état brut</t>
  </si>
  <si>
    <t>Contribution au budget de l’Etat</t>
  </si>
  <si>
    <t>Frais de passage / Redevance superficiaire</t>
  </si>
  <si>
    <t xml:space="preserve">Taxe sur autorisation d'exploitation des eaux naturelles de surface ou souterraines </t>
  </si>
  <si>
    <t>Police des mines et hydrocarbures</t>
  </si>
  <si>
    <t>Amendes pour non-exécution de Programme</t>
  </si>
  <si>
    <t>Droits proportionnels pour approbation et enregistrement des actes administratifs</t>
  </si>
  <si>
    <t>Taxe pour acquisition des titres immobiliers</t>
  </si>
  <si>
    <t>Droits proportionnels sur augmentation du capital des sociétés</t>
  </si>
  <si>
    <t>Redevance annuelle (entité de traitement)</t>
  </si>
  <si>
    <t>2. FLUX PAYES PAR LES ENTREPRISES EXTRACTIVES DESTINES AUX AFE ET EP</t>
  </si>
  <si>
    <t>Avis de mise en recouvrement (AMR) B (50 % des pénalités)</t>
  </si>
  <si>
    <t>Amendes et pénalités revenant à la DGRAD (40% des pénalités)</t>
  </si>
  <si>
    <t>Taxe statistique</t>
  </si>
  <si>
    <t>Amendes et pénalités revenant à la DGDA (60% des pénalités)</t>
  </si>
  <si>
    <t>Frais de Services rendus à l’exportation (1% à repartir entre  la DGDA  et les intervenants)</t>
  </si>
  <si>
    <t>EP</t>
  </si>
  <si>
    <t>Cession d’actifs ou parts sociales</t>
  </si>
  <si>
    <t>Dividendes versés aux entreprises publiques</t>
  </si>
  <si>
    <t>Loyers d’amodiation et/ou rente mensuelle</t>
  </si>
  <si>
    <t>Quote part (50%) Pas de porte / Bonus de Transfert revenant aux EP  (Voir flux Pas de porte)</t>
  </si>
  <si>
    <t>Mines,  (Flux partagé)</t>
  </si>
  <si>
    <t>Quote part 50% des Royalties  revenant aux EP ( Voir Flux Royalties)</t>
  </si>
  <si>
    <t>Prestations de services/Assistance technique et financière</t>
  </si>
  <si>
    <t>Frais d’option</t>
  </si>
  <si>
    <t>Fonds versés à la GCM pour la vente des scories</t>
  </si>
  <si>
    <t>Paiement contractuel sur seuil de production atteint (500000TCU)</t>
  </si>
  <si>
    <t>Frais de consultance</t>
  </si>
  <si>
    <t>Remboursement de Prestations</t>
  </si>
  <si>
    <t>Avance contractuelle</t>
  </si>
  <si>
    <t>Frais de renonciation au droit de préemption</t>
  </si>
  <si>
    <t xml:space="preserve">Redevances supplémentaires sur les réserves additionnelles </t>
  </si>
  <si>
    <t>Indemnité forfaitaire</t>
  </si>
  <si>
    <t>Bonus de découverte /mines (SOKIMO)</t>
  </si>
  <si>
    <t>Accords transactionnels (GCM)</t>
  </si>
  <si>
    <t>Frais administratifs de confidentialité</t>
  </si>
  <si>
    <t>DRP</t>
  </si>
  <si>
    <t>Taxe voiries et drainage</t>
  </si>
  <si>
    <t>Taxe concentrés</t>
  </si>
  <si>
    <t>Taxe sur la reconstruction (Kasaï Oriental)</t>
  </si>
  <si>
    <t>Autorisation de transport de minerais (ATM)</t>
  </si>
  <si>
    <t>Taxe sur autorisation d'exploitation des eaux naturelles de surface ou souterraines</t>
  </si>
  <si>
    <t>Royalties (DGRMA)</t>
  </si>
  <si>
    <r>
      <t>Taxe 1% sur les produits de transaction des matières précieuses  d'exploitation artisanale</t>
    </r>
    <r>
      <rPr>
        <sz val="8"/>
        <color rgb="FF000000"/>
        <rFont val="Trebuchet MS"/>
        <family val="2"/>
      </rPr>
      <t>*</t>
    </r>
  </si>
  <si>
    <t>Quotité 25% de la RM  (Voir flux  Redevance minière)</t>
  </si>
  <si>
    <t>Droits proportionnels sur la cession des parts ou actions des personnes morales</t>
  </si>
  <si>
    <t>SGH</t>
  </si>
  <si>
    <t>Banque de données</t>
  </si>
  <si>
    <t>Contribution aux droits payables à l’Association des Pays Africains Producteurs de Pétrole (APPA)</t>
  </si>
  <si>
    <t>Participation à l’effort de reconstruction nationale</t>
  </si>
  <si>
    <t>Contribution à l'effort pour l'exploration de la Cuvette Centrale</t>
  </si>
  <si>
    <t>Frais de formation des cadres Congolais</t>
  </si>
  <si>
    <t>CEEC</t>
  </si>
  <si>
    <t>Taxe rémunératoire</t>
  </si>
  <si>
    <t xml:space="preserve">Frais de Certification </t>
  </si>
  <si>
    <t>BCC</t>
  </si>
  <si>
    <t>Redevance de Suivi de Change</t>
  </si>
  <si>
    <t>CAMI</t>
  </si>
  <si>
    <t>Quotité 50% des DSA (voir DSA)</t>
  </si>
  <si>
    <t>Frais d'instruction environnementale et sociale</t>
  </si>
  <si>
    <t>FOMIN</t>
  </si>
  <si>
    <t>Quotité 8%  de la RM (Voir Flux  Redevance Minière)</t>
  </si>
  <si>
    <t>ETD</t>
  </si>
  <si>
    <t>Quotité 14% de la RM(Voir Flux  Redevance Minière)</t>
  </si>
  <si>
    <t>Organismes Spécialisés (OS/DOT)</t>
  </si>
  <si>
    <t>Dépenses sociales</t>
  </si>
  <si>
    <t>Entreprises/ Etat</t>
  </si>
  <si>
    <t>Autres Paiements/Recettes significatifs</t>
  </si>
  <si>
    <t>* Flux partagé entre le pouvoir central et les autres échelons de pouvoir, ne considérer qu'un seul flux</t>
  </si>
  <si>
    <t>Annexe 18 - Publication des GES secteur pétrolier</t>
  </si>
  <si>
    <t>Annexe 19 - Référentiel des flux</t>
  </si>
  <si>
    <t xml:space="preserve">Cabinda Oïl Company Limited </t>
  </si>
  <si>
    <t>Energulf</t>
  </si>
  <si>
    <t>Critéres de
Selection</t>
  </si>
  <si>
    <t xml:space="preserve">Matérialité </t>
  </si>
  <si>
    <t>A0702063B</t>
  </si>
  <si>
    <t>CHEMICAL OF AFRICA Sarl (CHEMAF)</t>
  </si>
  <si>
    <t>A0705928C</t>
  </si>
  <si>
    <t>A0704478M</t>
  </si>
  <si>
    <t>A1809916Z</t>
  </si>
  <si>
    <t>NC</t>
  </si>
  <si>
    <t>THOMAS MINING Sarl</t>
  </si>
  <si>
    <t>A1408473B</t>
  </si>
  <si>
    <t>A1500752K</t>
  </si>
  <si>
    <t>RUBAMIN SARL</t>
  </si>
  <si>
    <t>A1821178Q</t>
  </si>
  <si>
    <t>H99A0059N</t>
  </si>
  <si>
    <t xml:space="preserve">SIMCO </t>
  </si>
  <si>
    <t>A0700347L</t>
  </si>
  <si>
    <t>A1716611A</t>
  </si>
  <si>
    <t>A1212519X</t>
  </si>
  <si>
    <t>A1805938A</t>
  </si>
  <si>
    <t>A1213242H</t>
  </si>
  <si>
    <t>A1309746J</t>
  </si>
  <si>
    <t>A0700073N</t>
  </si>
  <si>
    <t>A0700540W</t>
  </si>
  <si>
    <t>BAUDOUIN MINING</t>
  </si>
  <si>
    <t>A1810064K</t>
  </si>
  <si>
    <t>A1418408A</t>
  </si>
  <si>
    <t>A1906957J</t>
  </si>
  <si>
    <t>MISOLE MINING SARL</t>
  </si>
  <si>
    <t>A1910321Q</t>
  </si>
  <si>
    <t>A0700193T</t>
  </si>
  <si>
    <t>N1200675J</t>
  </si>
  <si>
    <t>A0700163L</t>
  </si>
  <si>
    <t>A1407282G</t>
  </si>
  <si>
    <t>A1102426A</t>
  </si>
  <si>
    <t>A22818828T</t>
  </si>
  <si>
    <t>A1106531M</t>
  </si>
  <si>
    <t>A1704461T</t>
  </si>
  <si>
    <t>KATANGA STRATEGIC RESOURCES</t>
  </si>
  <si>
    <t>A1808372W</t>
  </si>
  <si>
    <t>NGONDO MINING SARL</t>
  </si>
  <si>
    <t>K99A0570P</t>
  </si>
  <si>
    <t>A2150245N</t>
  </si>
  <si>
    <t>A0712818R</t>
  </si>
  <si>
    <t>A0901460Y</t>
  </si>
  <si>
    <t>A1511236F</t>
  </si>
  <si>
    <t>A1009556Z</t>
  </si>
  <si>
    <t xml:space="preserve"> A2291155T</t>
  </si>
  <si>
    <t>LUALABA MINING COMPANY</t>
  </si>
  <si>
    <t>A0814837M</t>
  </si>
  <si>
    <t>EP (en dessous du seuil de matérialité)</t>
  </si>
  <si>
    <t>A1301245T</t>
  </si>
  <si>
    <t>A0906904Q</t>
  </si>
  <si>
    <t>181210609</t>
  </si>
  <si>
    <t>A2043360D</t>
  </si>
  <si>
    <t>A1811189U</t>
  </si>
  <si>
    <t>A1815530B</t>
  </si>
  <si>
    <t>A2037334D</t>
  </si>
  <si>
    <t>A1205570D</t>
  </si>
  <si>
    <t>A2162526M</t>
  </si>
  <si>
    <t>A1829084J</t>
  </si>
  <si>
    <t xml:space="preserve">METACHEM SPRLAV. DES ARCHIDEES No </t>
  </si>
  <si>
    <t>A1201610P</t>
  </si>
  <si>
    <t>A2040922D</t>
  </si>
  <si>
    <t xml:space="preserve"> A1000223F</t>
  </si>
  <si>
    <t>A0910912X</t>
  </si>
  <si>
    <t>A1402652Z</t>
  </si>
  <si>
    <t>A1400916M</t>
  </si>
  <si>
    <t>A0906707B</t>
  </si>
  <si>
    <t>A1622642E</t>
  </si>
  <si>
    <t>A1812424</t>
  </si>
  <si>
    <t>A2214825P</t>
  </si>
  <si>
    <t>A0704864W</t>
  </si>
  <si>
    <t>A0714789G</t>
  </si>
  <si>
    <t>A1916483N</t>
  </si>
  <si>
    <t>A1824861T</t>
  </si>
  <si>
    <t>A0704876J</t>
  </si>
  <si>
    <t>A1302523H</t>
  </si>
  <si>
    <t>A1506806Z</t>
  </si>
  <si>
    <t>A1236645M</t>
  </si>
  <si>
    <t>A1613991B</t>
  </si>
  <si>
    <t>A1116127S</t>
  </si>
  <si>
    <t>A0905433R</t>
  </si>
  <si>
    <t>A1703029M</t>
  </si>
  <si>
    <t>A1609022A</t>
  </si>
  <si>
    <t>A2213342C</t>
  </si>
  <si>
    <t>A0807944U</t>
  </si>
  <si>
    <t>A1217376B</t>
  </si>
  <si>
    <t>A2043540Z</t>
  </si>
  <si>
    <t>INVESTISSEMENT ET DEVELOPPEMENT IMMOBILIERS SARL</t>
  </si>
  <si>
    <t>A1305324C</t>
  </si>
  <si>
    <t>A1407402M</t>
  </si>
  <si>
    <t>A1301958T</t>
  </si>
  <si>
    <t>A1400941P</t>
  </si>
  <si>
    <t>A1705611T</t>
  </si>
  <si>
    <t>A0815386J</t>
  </si>
  <si>
    <t>A1911999P</t>
  </si>
  <si>
    <t>A1622626M</t>
  </si>
  <si>
    <t>A1215056E</t>
  </si>
  <si>
    <t>A1217395X</t>
  </si>
  <si>
    <t>A1824859R</t>
  </si>
  <si>
    <t>STANVIC MINING Sarl</t>
  </si>
  <si>
    <t>A1813253B</t>
  </si>
  <si>
    <t>A1304079Z</t>
  </si>
  <si>
    <t>A1716860W</t>
  </si>
  <si>
    <t>A1301147M</t>
  </si>
  <si>
    <t>A1909825D</t>
  </si>
  <si>
    <t>A1203459Z</t>
  </si>
  <si>
    <t>A1302557U</t>
  </si>
  <si>
    <t>A0700153A</t>
  </si>
  <si>
    <t>A2167973H</t>
  </si>
  <si>
    <t>A1301660U</t>
  </si>
  <si>
    <t>A172231PE</t>
  </si>
  <si>
    <t>A1817768J</t>
  </si>
  <si>
    <t>A1113061K</t>
  </si>
  <si>
    <t>A1300047R</t>
  </si>
  <si>
    <t>A0708632R</t>
  </si>
  <si>
    <t>A1414611G</t>
  </si>
  <si>
    <t>A1800549S</t>
  </si>
  <si>
    <t>A13019632</t>
  </si>
  <si>
    <t>A19091601A</t>
  </si>
  <si>
    <t>A1600964R</t>
  </si>
  <si>
    <t>A1300694U</t>
  </si>
  <si>
    <t>A1508340H</t>
  </si>
  <si>
    <t>A1704213Z</t>
  </si>
  <si>
    <t>SOCIETE DU CHARBONNAGE DE MAKALA SAS</t>
  </si>
  <si>
    <t>A1721214D</t>
  </si>
  <si>
    <t>A1916183M</t>
  </si>
  <si>
    <t>A1511582G</t>
  </si>
  <si>
    <t>KIVU MINERALS SARL</t>
  </si>
  <si>
    <t>A1800312K</t>
  </si>
  <si>
    <t>A1311321W</t>
  </si>
  <si>
    <t>A1711459A</t>
  </si>
  <si>
    <t>A1911865T</t>
  </si>
  <si>
    <t>A2151773Z</t>
  </si>
  <si>
    <t>A0700431C</t>
  </si>
  <si>
    <t>A2297337B</t>
  </si>
  <si>
    <t>A1206818A</t>
  </si>
  <si>
    <t>A1505983W</t>
  </si>
  <si>
    <t>A0905426J</t>
  </si>
  <si>
    <t>A2298118A</t>
  </si>
  <si>
    <t>A1607285M</t>
  </si>
  <si>
    <t>A1111135R</t>
  </si>
  <si>
    <t>A2153705Z</t>
  </si>
  <si>
    <t>A2153708C</t>
  </si>
  <si>
    <t>A2025794K</t>
  </si>
  <si>
    <t>A1217594N</t>
  </si>
  <si>
    <t>A1202401Z</t>
  </si>
  <si>
    <t>A0700256M</t>
  </si>
  <si>
    <t>A1407360R</t>
  </si>
  <si>
    <t>A1808319N</t>
  </si>
  <si>
    <t>MIHIGO KANAGWA Erica "Ets RICA"</t>
  </si>
  <si>
    <t>A1309718D</t>
  </si>
  <si>
    <t>SOCIETE KIN-BETON SARL</t>
  </si>
  <si>
    <t>A1404979D</t>
  </si>
  <si>
    <t>A2298296T</t>
  </si>
  <si>
    <t>A2035153H</t>
  </si>
  <si>
    <t>A0815188T</t>
  </si>
  <si>
    <t>A1822731D</t>
  </si>
  <si>
    <t>A0704273D</t>
  </si>
  <si>
    <t>A1621091T</t>
  </si>
  <si>
    <t>A1622167N</t>
  </si>
  <si>
    <t>A0700161J</t>
  </si>
  <si>
    <t>A0700173X</t>
  </si>
  <si>
    <t>A1826355S</t>
  </si>
  <si>
    <t>INTERMINES SPRL</t>
  </si>
  <si>
    <t>A1300867H</t>
  </si>
  <si>
    <t>A0702694M</t>
  </si>
  <si>
    <t>A1302135L</t>
  </si>
  <si>
    <t>A1601877J</t>
  </si>
  <si>
    <t>A1707494Q</t>
  </si>
  <si>
    <t>H99A2725X</t>
  </si>
  <si>
    <t>A1801198Y</t>
  </si>
  <si>
    <t>A1204674U</t>
  </si>
  <si>
    <t>SABLE ET GRAVIERS DE BAYA SARL</t>
  </si>
  <si>
    <t>A1309159W</t>
  </si>
  <si>
    <t>A2031137S</t>
  </si>
  <si>
    <t>A0708266T</t>
  </si>
  <si>
    <t>A1504660H</t>
  </si>
  <si>
    <t>A1723209X</t>
  </si>
  <si>
    <t>A1805419L</t>
  </si>
  <si>
    <t>A1002904T</t>
  </si>
  <si>
    <t>A2153707B</t>
  </si>
  <si>
    <t>A0700198Z</t>
  </si>
  <si>
    <t>A0713323Q</t>
  </si>
  <si>
    <t>A1518292A</t>
  </si>
  <si>
    <t>AIR MARINE AFRICA Sarl</t>
  </si>
  <si>
    <t>A1716759L</t>
  </si>
  <si>
    <t xml:space="preserve"> A1720763N</t>
  </si>
  <si>
    <t xml:space="preserve"> A1408658C</t>
  </si>
  <si>
    <t>A1301588R</t>
  </si>
  <si>
    <t>A2164661H</t>
  </si>
  <si>
    <t>A0805718C</t>
  </si>
  <si>
    <t>A0908632R</t>
  </si>
  <si>
    <t>A1102786R</t>
  </si>
  <si>
    <t>A1210416L</t>
  </si>
  <si>
    <t>A1302568G</t>
  </si>
  <si>
    <t>Societé Générale De Commerce Sarl</t>
  </si>
  <si>
    <t>A1620027N</t>
  </si>
  <si>
    <t>A1622904P</t>
  </si>
  <si>
    <t>A1702709P</t>
  </si>
  <si>
    <t>A2166544E</t>
  </si>
  <si>
    <t>A2046683Q</t>
  </si>
  <si>
    <t>A1813353C</t>
  </si>
  <si>
    <t>A1907871C</t>
  </si>
  <si>
    <t>Kansilembo  Ngumbi</t>
  </si>
  <si>
    <t>A0909048W</t>
  </si>
  <si>
    <t>A1621134Q</t>
  </si>
  <si>
    <t>A2039544F</t>
  </si>
  <si>
    <t>A1301585N</t>
  </si>
  <si>
    <t>A1620161H</t>
  </si>
  <si>
    <t>A1800797M</t>
  </si>
  <si>
    <t>A0702589Y</t>
  </si>
  <si>
    <t>A1521030B</t>
  </si>
  <si>
    <t>A1702980J</t>
  </si>
  <si>
    <t>A1004457G</t>
  </si>
  <si>
    <t>A1601838R</t>
  </si>
  <si>
    <t>A1409073D</t>
  </si>
  <si>
    <t>A1901088E</t>
  </si>
  <si>
    <t>A1115521J</t>
  </si>
  <si>
    <t>A1512397S</t>
  </si>
  <si>
    <t>A2032855K</t>
  </si>
  <si>
    <t>A1118165H</t>
  </si>
  <si>
    <t>A1809112A</t>
  </si>
  <si>
    <t>Olivier Musafiri Balungu</t>
  </si>
  <si>
    <t>A1827532X</t>
  </si>
  <si>
    <t>A1011425F</t>
  </si>
  <si>
    <t>A2041882X</t>
  </si>
  <si>
    <t>A1509225U</t>
  </si>
  <si>
    <t>A1401580J</t>
  </si>
  <si>
    <t xml:space="preserve"> A2036632Q</t>
  </si>
  <si>
    <t>A1803931T</t>
  </si>
  <si>
    <t>A1911578G</t>
  </si>
  <si>
    <t>A2032059V</t>
  </si>
  <si>
    <t>A1822604Q</t>
  </si>
  <si>
    <t>EXTRA- MADURA SARL</t>
  </si>
  <si>
    <t>A1511110T</t>
  </si>
  <si>
    <t>A2162816C</t>
  </si>
  <si>
    <t>A1807132Y</t>
  </si>
  <si>
    <t>A1311427L</t>
  </si>
  <si>
    <t>A1806039K</t>
  </si>
  <si>
    <t>A19010766Z</t>
  </si>
  <si>
    <t>A1609074G</t>
  </si>
  <si>
    <t>SOCIETE AGRO-PASTORALE LEMERA SARL</t>
  </si>
  <si>
    <t>A1716729D</t>
  </si>
  <si>
    <t>A1800382L</t>
  </si>
  <si>
    <t>A1301156X</t>
  </si>
  <si>
    <t>A2151771X</t>
  </si>
  <si>
    <t>A1923999H</t>
  </si>
  <si>
    <t>A1802779R</t>
  </si>
  <si>
    <t>A1819399G</t>
  </si>
  <si>
    <t>A1827087N</t>
  </si>
  <si>
    <t>A0803918T</t>
  </si>
  <si>
    <t>A1821508Z</t>
  </si>
  <si>
    <t xml:space="preserve"> A0700065E</t>
  </si>
  <si>
    <t>A0707219F</t>
  </si>
  <si>
    <t>A2171841W</t>
  </si>
  <si>
    <t>A0811958H</t>
  </si>
  <si>
    <t>A1809543T</t>
  </si>
  <si>
    <t>A1309307G</t>
  </si>
  <si>
    <t>A1617628C</t>
  </si>
  <si>
    <t>A1900046X</t>
  </si>
  <si>
    <t>A2151400T</t>
  </si>
  <si>
    <t>A0906375Q</t>
  </si>
  <si>
    <t>A1600896S</t>
  </si>
  <si>
    <t>A1803095K</t>
  </si>
  <si>
    <t>A1904441Z</t>
  </si>
  <si>
    <t>A2168898N</t>
  </si>
  <si>
    <t>A1807047E</t>
  </si>
  <si>
    <t>A1300730J</t>
  </si>
  <si>
    <t>Chrispin Bambaga Halimana</t>
  </si>
  <si>
    <t>A1603768P</t>
  </si>
  <si>
    <t>A1807554G</t>
  </si>
  <si>
    <t>A182224C</t>
  </si>
  <si>
    <t>A216777W</t>
  </si>
  <si>
    <t>A2290577D</t>
  </si>
  <si>
    <t>A0702589Y2</t>
  </si>
  <si>
    <t>N5032501E</t>
  </si>
  <si>
    <t>A1816326R</t>
  </si>
  <si>
    <t>A2029617Q</t>
  </si>
  <si>
    <t>A1509719G</t>
  </si>
  <si>
    <t>A1906075A</t>
  </si>
  <si>
    <t>A1810170A</t>
  </si>
  <si>
    <t>A1621472H</t>
  </si>
  <si>
    <t>A2037443X</t>
  </si>
  <si>
    <t>A1911109X</t>
  </si>
  <si>
    <t>A2205825G</t>
  </si>
  <si>
    <t>A0709233N</t>
  </si>
  <si>
    <t>A1203067Y</t>
  </si>
  <si>
    <t>A1804182R</t>
  </si>
  <si>
    <t>A1403904K</t>
  </si>
  <si>
    <t>A2044030G</t>
  </si>
  <si>
    <t>A1404022N</t>
  </si>
  <si>
    <t>A2041111J</t>
  </si>
  <si>
    <t>Lucien Olame Bavurhe</t>
  </si>
  <si>
    <t>A1829266G</t>
  </si>
  <si>
    <t xml:space="preserve"> A2152771J</t>
  </si>
  <si>
    <t>A0900126Y</t>
  </si>
  <si>
    <t>A1708186S</t>
  </si>
  <si>
    <t>A1913929M</t>
  </si>
  <si>
    <t>A2025837G</t>
  </si>
  <si>
    <t>A2176826F</t>
  </si>
  <si>
    <t>A1825301X</t>
  </si>
  <si>
    <t>A1828170Q</t>
  </si>
  <si>
    <t>A1104476D</t>
  </si>
  <si>
    <t>A1210828J</t>
  </si>
  <si>
    <t>A1905343E</t>
  </si>
  <si>
    <t>A1916805N</t>
  </si>
  <si>
    <t>A2152606E</t>
  </si>
  <si>
    <t>A215567P</t>
  </si>
  <si>
    <t>A1715153Q</t>
  </si>
  <si>
    <t>A2031136R</t>
  </si>
  <si>
    <t>Judith Nankafu Kulimushi</t>
  </si>
  <si>
    <t>H99A2893L</t>
  </si>
  <si>
    <t>A1510765T</t>
  </si>
  <si>
    <t>A173580Q</t>
  </si>
  <si>
    <t>A0709724D</t>
  </si>
  <si>
    <t>A1827216D</t>
  </si>
  <si>
    <t>A1901280N</t>
  </si>
  <si>
    <t>A1008293B</t>
  </si>
  <si>
    <t>Societe Apl Sarl</t>
  </si>
  <si>
    <t>A1827881B</t>
  </si>
  <si>
    <t>A0704663K</t>
  </si>
  <si>
    <t>A1510518A</t>
  </si>
  <si>
    <t>A1819807A</t>
  </si>
  <si>
    <t>A1900940T</t>
  </si>
  <si>
    <t>COMBINED MINING COMPANY Sarl</t>
  </si>
  <si>
    <t>A1418143M</t>
  </si>
  <si>
    <t>A1829267H</t>
  </si>
  <si>
    <t>A1809780B</t>
  </si>
  <si>
    <t>Maison Axiom In Africa</t>
  </si>
  <si>
    <t>A1114970K</t>
  </si>
  <si>
    <t>A1410032W</t>
  </si>
  <si>
    <t xml:space="preserve"> A1828400Q</t>
  </si>
  <si>
    <t>A0815795D</t>
  </si>
  <si>
    <t>A1505151R</t>
  </si>
  <si>
    <t>A0901953J</t>
  </si>
  <si>
    <t>A2153932W</t>
  </si>
  <si>
    <t>A1510594H</t>
  </si>
  <si>
    <t>A1808538B</t>
  </si>
  <si>
    <t>A1807510J</t>
  </si>
  <si>
    <t>A1615446H</t>
  </si>
  <si>
    <t>A1918644</t>
  </si>
  <si>
    <t>B9530319U</t>
  </si>
  <si>
    <t>A1826742N</t>
  </si>
  <si>
    <t>A1825220J</t>
  </si>
  <si>
    <t>A1816241Z</t>
  </si>
  <si>
    <t>A0700152Z</t>
  </si>
  <si>
    <t>A1810752H</t>
  </si>
  <si>
    <t>A1304396T</t>
  </si>
  <si>
    <t>A0805716Y</t>
  </si>
  <si>
    <t>A2037222G</t>
  </si>
  <si>
    <t>A007241B</t>
  </si>
  <si>
    <t>A1904730N</t>
  </si>
  <si>
    <t>A1600559B</t>
  </si>
  <si>
    <t>A2164599Q</t>
  </si>
  <si>
    <t>A1803245Y</t>
  </si>
  <si>
    <t>A1202285Y</t>
  </si>
  <si>
    <t>A1300864E</t>
  </si>
  <si>
    <t>A0910356S</t>
  </si>
  <si>
    <t>A1802916Q</t>
  </si>
  <si>
    <t>T62119C</t>
  </si>
  <si>
    <t>A1725817X</t>
  </si>
  <si>
    <t>A0911813B</t>
  </si>
  <si>
    <t>MEDICI MINING SARLU</t>
  </si>
  <si>
    <t>A1804940Q</t>
  </si>
  <si>
    <t>A1204581T</t>
  </si>
  <si>
    <t>GLOBAL TRADING COMMODITIES Sarl</t>
  </si>
  <si>
    <t>A1607398K</t>
  </si>
  <si>
    <t>A1612698N</t>
  </si>
  <si>
    <t>A0811593L</t>
  </si>
  <si>
    <t>A0700327P</t>
  </si>
  <si>
    <t>A1820620J</t>
  </si>
  <si>
    <t>NAVARRO RESOURCES SARL</t>
  </si>
  <si>
    <t>A1606152F</t>
  </si>
  <si>
    <t>A1405389Z</t>
  </si>
  <si>
    <t>A0800967L</t>
  </si>
  <si>
    <t>A1714567G</t>
  </si>
  <si>
    <t>A1816652W</t>
  </si>
  <si>
    <t>ROHIM-MINING SARL</t>
  </si>
  <si>
    <t>A1827361L</t>
  </si>
  <si>
    <t>A1904827T</t>
  </si>
  <si>
    <t>A1407040T</t>
  </si>
  <si>
    <t>A2025385Q</t>
  </si>
  <si>
    <t>A2038630X</t>
  </si>
  <si>
    <t>A1203799T</t>
  </si>
  <si>
    <t>A1904676E</t>
  </si>
  <si>
    <t>A1822549F</t>
  </si>
  <si>
    <t>A2156305A</t>
  </si>
  <si>
    <t>A1513741E</t>
  </si>
  <si>
    <t>A1826751Y</t>
  </si>
  <si>
    <t>A2032109N</t>
  </si>
  <si>
    <t>A1403020Z</t>
  </si>
  <si>
    <t>A1905752Z</t>
  </si>
  <si>
    <t>A1621217F</t>
  </si>
  <si>
    <t>A0702309T</t>
  </si>
  <si>
    <t>A1612698W</t>
  </si>
  <si>
    <t>A1921771L</t>
  </si>
  <si>
    <t>A1302072S</t>
  </si>
  <si>
    <t>A1712779K</t>
  </si>
  <si>
    <t>A2165700M</t>
  </si>
  <si>
    <t>A1720662D</t>
  </si>
  <si>
    <t>GOD MATEBWE AND SONS Sarl</t>
  </si>
  <si>
    <t>A1804715W</t>
  </si>
  <si>
    <t>GROUPE LES LEADERS SERVICE Sarl</t>
  </si>
  <si>
    <t>A1616309W</t>
  </si>
  <si>
    <t>A1807830G</t>
  </si>
  <si>
    <t>A1211608G</t>
  </si>
  <si>
    <t>A1302640K</t>
  </si>
  <si>
    <t>SUPER KATANGA Sarl</t>
  </si>
  <si>
    <t>A1620593C</t>
  </si>
  <si>
    <t>A1825799N</t>
  </si>
  <si>
    <t>A1412965J</t>
  </si>
  <si>
    <t>A1800794J</t>
  </si>
  <si>
    <t>A1902457S</t>
  </si>
  <si>
    <t>A-1703590X</t>
  </si>
  <si>
    <t>A1913288Q</t>
  </si>
  <si>
    <t>A1922825G</t>
  </si>
  <si>
    <t>A1903662C</t>
  </si>
  <si>
    <t>A2029187Y</t>
  </si>
  <si>
    <t>A0705327Z</t>
  </si>
  <si>
    <t>A1304478H</t>
  </si>
  <si>
    <t>A1903013X</t>
  </si>
  <si>
    <t>A0700536R</t>
  </si>
  <si>
    <t>A1303409W</t>
  </si>
  <si>
    <t>A1706658G</t>
  </si>
  <si>
    <t>AITEO MINING CONGO LIMITED SARL</t>
  </si>
  <si>
    <t>A1902062N</t>
  </si>
  <si>
    <t>A1808679E</t>
  </si>
  <si>
    <t>A1603640A</t>
  </si>
  <si>
    <t>A1910488W</t>
  </si>
  <si>
    <t>A1812839C</t>
  </si>
  <si>
    <t>O1708341L</t>
  </si>
  <si>
    <t>A1800031D</t>
  </si>
  <si>
    <t>A1827H</t>
  </si>
  <si>
    <t>A1912147A</t>
  </si>
  <si>
    <t>A1815639U</t>
  </si>
  <si>
    <t>A1617150K</t>
  </si>
  <si>
    <t>A1720555M</t>
  </si>
  <si>
    <t>A1712260W</t>
  </si>
  <si>
    <t>COOPERATIVE MINIERE ET AGRICOLE DU LUALABA</t>
  </si>
  <si>
    <t>A1802501P</t>
  </si>
  <si>
    <t>A1313743D</t>
  </si>
  <si>
    <t>A2040289Q</t>
  </si>
  <si>
    <t>A1701997Q</t>
  </si>
  <si>
    <t>A2029554X</t>
  </si>
  <si>
    <t>A2159138E</t>
  </si>
  <si>
    <t>A1801524S</t>
  </si>
  <si>
    <t>A2151839W</t>
  </si>
  <si>
    <t>A1622142L</t>
  </si>
  <si>
    <t>A1201744K</t>
  </si>
  <si>
    <t>A1804800N</t>
  </si>
  <si>
    <t>A1304245E</t>
  </si>
  <si>
    <t>A1806996A</t>
  </si>
  <si>
    <t>A2026743R</t>
  </si>
  <si>
    <t>A2152330E</t>
  </si>
  <si>
    <t>A1817679M</t>
  </si>
  <si>
    <t>A1211546P</t>
  </si>
  <si>
    <t>A1801520Y</t>
  </si>
  <si>
    <t>A1908673Z</t>
  </si>
  <si>
    <t>A1825155N</t>
  </si>
  <si>
    <t>A2032439A</t>
  </si>
  <si>
    <t>A2042864P</t>
  </si>
  <si>
    <t>A0705305A</t>
  </si>
  <si>
    <t>A192446F</t>
  </si>
  <si>
    <t>A1804530U</t>
  </si>
  <si>
    <t>A1702410P</t>
  </si>
  <si>
    <t>A1208550H</t>
  </si>
  <si>
    <t>A192391T</t>
  </si>
  <si>
    <t>A2039424A</t>
  </si>
  <si>
    <t>A0700861U</t>
  </si>
  <si>
    <t>A2028114G</t>
  </si>
  <si>
    <t>A2154703J</t>
  </si>
  <si>
    <t>A2045170W</t>
  </si>
  <si>
    <t>A2041861Z</t>
  </si>
  <si>
    <t>A2176473X</t>
  </si>
  <si>
    <t>A1919434W</t>
  </si>
  <si>
    <t>A2167259G</t>
  </si>
  <si>
    <t>A1709340X</t>
  </si>
  <si>
    <t>A2044265M</t>
  </si>
  <si>
    <t>A1304707G</t>
  </si>
  <si>
    <t>A1309578B</t>
  </si>
  <si>
    <t>A2034774W</t>
  </si>
  <si>
    <t>A1818636H</t>
  </si>
  <si>
    <t>A1309641U</t>
  </si>
  <si>
    <t>A1902821N</t>
  </si>
  <si>
    <t>A1921859G</t>
  </si>
  <si>
    <t>A203527P</t>
  </si>
  <si>
    <t>A1210124T</t>
  </si>
  <si>
    <t>A1909398B</t>
  </si>
  <si>
    <t>A1402403D</t>
  </si>
  <si>
    <t>A1904565J</t>
  </si>
  <si>
    <t>A2156264F</t>
  </si>
  <si>
    <t>A2160588F</t>
  </si>
  <si>
    <t>1302497E</t>
  </si>
  <si>
    <t>A21567707</t>
  </si>
  <si>
    <t>A1906918R</t>
  </si>
  <si>
    <t>A1813535H</t>
  </si>
  <si>
    <t xml:space="preserve">KIVU  HOLDING </t>
  </si>
  <si>
    <t>A2178334U</t>
  </si>
  <si>
    <t>A2177393X</t>
  </si>
  <si>
    <t>A2028250E</t>
  </si>
  <si>
    <t>A1918449A</t>
  </si>
  <si>
    <t>A2173205U</t>
  </si>
  <si>
    <t>A2036550B</t>
  </si>
  <si>
    <t>Annexe 22 - La liste des sociétés minières retenues pour une déclaration unliatérale</t>
  </si>
  <si>
    <t>Annexe 20 - La liste de toutes les sociétés pétrolières retenues dans la déclaration unilatérale</t>
  </si>
  <si>
    <t>Annexe 21 - La liste des sociétés minières retenues dans le périmètre de conciliation</t>
  </si>
  <si>
    <t>Ordre</t>
  </si>
  <si>
    <t>Désignation du projet</t>
  </si>
  <si>
    <t>Localisation</t>
  </si>
  <si>
    <t>Coût du projet</t>
  </si>
  <si>
    <t>Travaux exécutés (cumul 2022) en USD</t>
  </si>
  <si>
    <t>Travaux exécutés (cumul à ce jour) en USD</t>
  </si>
  <si>
    <t>Travaux restants en USD</t>
  </si>
  <si>
    <t>Unités</t>
  </si>
  <si>
    <t>Prévue</t>
  </si>
  <si>
    <t>Réalisés</t>
  </si>
  <si>
    <t>Etat d'avancement du projet</t>
  </si>
  <si>
    <t>Budget 2015-1018 (305 millions USD)</t>
  </si>
  <si>
    <t>Asphaltage de la route bukavu-Kamanyola (Phase 1)</t>
  </si>
  <si>
    <t>Km</t>
  </si>
  <si>
    <t>Contrat d'études et des travaux du projet de réhabilitation et de modernisation de la route Lwambo-Mitwana-Manono</t>
  </si>
  <si>
    <t>Haut Katanga, Lualaba, Haut Lomami et Tanganyika</t>
  </si>
  <si>
    <t>Contrat d'études et des travaux du projet de la modernisation de la traversée de Butembo</t>
  </si>
  <si>
    <t>Projet d'accompagnement de la SICOMINES à Kolwezi</t>
  </si>
  <si>
    <t>Contrat d'études et des travaux du projet de réhabilitation et de modernisation de la route Kilwit-Idiofa (70km)</t>
  </si>
  <si>
    <t>Contrat d'études et de travaux du projet de renforcement de la route revêtue Mbuji Mayi-Mwene Ditu</t>
  </si>
  <si>
    <t>Kasai Oriental, Lomami</t>
  </si>
  <si>
    <t>Contrat d'études et des travaux du projet de réhabilitation et de modernisation de la voirie de Kalemie (Phase I)</t>
  </si>
  <si>
    <t>Tanganyika</t>
  </si>
  <si>
    <t>Contrat d'études et des travaux du projet de réhabilitation et de modernisation de la voirie de Kalemie (Phase II)</t>
  </si>
  <si>
    <t>Contrat d'études et de travaux du projet de construction d'un nouveau stade à Kalemie</t>
  </si>
  <si>
    <t>Places</t>
  </si>
  <si>
    <t>Contrat d'études et de travaux de réhabilitation et modernisation de la route Bunagan-Rutshuru-Goma (100km)</t>
  </si>
  <si>
    <t>Contrat d'études et de travaux du projet de stade de Goma</t>
  </si>
  <si>
    <t>Contrat d'études et de travaux du projet de stade de Bunia</t>
  </si>
  <si>
    <t>Contrat d'études et des travaux du projet de réhabilitation et de modernisation de la voirie de Manono</t>
  </si>
  <si>
    <t>Contrat d'études et de travaux du projet de construction de l'unité de captage et de traitement de l'eau à Kamina dans la province du Katanga</t>
  </si>
  <si>
    <t>Haut Lomami</t>
  </si>
  <si>
    <t>Production (m3)</t>
  </si>
  <si>
    <t>Contrat d'études et des travaux du projet de réhabilitation et de modernisation de la route Kitanda-Ankoro (70km)</t>
  </si>
  <si>
    <t>Contrat d'études et des travaux du projet de réhabilitation et de modernisation de la route Ankoro-Manono</t>
  </si>
  <si>
    <t>Contrat d'études et des travaux du projet de réhabilitation et de modernisation de la route Kamina-Kabongo</t>
  </si>
  <si>
    <t>Contrat d'études et des travaux du projet de réhabilitation et de modernisation de la route Kabondo-Dienda-Mukwende</t>
  </si>
  <si>
    <t>Contrat d'études et des travaux du projet de réhabilitation et de modernisation de la voirie de Kisangani</t>
  </si>
  <si>
    <t>Contrat d'études et des travaux du projet de réhabilitation et de modernisation de la voirie de Uvira (phase I)</t>
  </si>
  <si>
    <t>Contrat d'études et des travaux du projet de réhabilitation et de modernisation de la voirie de Uvira (phase II)</t>
  </si>
  <si>
    <t>Contrat d'études et de travaux du projey du stade de Bukavu (Phase I)</t>
  </si>
  <si>
    <t>Contrat d'études et de fourniture et d'installation de pouteaux solaires</t>
  </si>
  <si>
    <t>Contrat d'études et de travaux de réhabilitation de l'avenue Nzolana (Phase I)</t>
  </si>
  <si>
    <t>Travaux de renforcement des boulevards triomphal et Sendwe à Kinshasa</t>
  </si>
  <si>
    <t>Projet de construction de la bretelle reliant le boulevard Lumumba au stade de Kalemie</t>
  </si>
  <si>
    <t>Bitumage de 14km de la route entre Kanina-Musunoi-Kapata dans la ville de Kolwezi</t>
  </si>
  <si>
    <t>Projet de sondage et de découverte des zones d'exploitation artisanale dans la province de Lualaba</t>
  </si>
  <si>
    <t>Projet de construction du pont LOMELA et ses composantes sociales d'accompagnement</t>
  </si>
  <si>
    <t>Mètres</t>
  </si>
  <si>
    <t>Budget 2022 (150 millions USD)</t>
  </si>
  <si>
    <t>Réhabilitation de l'Avenue Nzolana phase 2 et indemnisation des riverains</t>
  </si>
  <si>
    <t>Construction du stade de Bakuvu phase 2</t>
  </si>
  <si>
    <t>Construction d'unstade de 8000 places à Katanga</t>
  </si>
  <si>
    <t>Construction du stade de Bunia (voies d'accès + finalisation des travaux)</t>
  </si>
  <si>
    <t>Réhabilitation batiment 4 de l'ESP Bukavu</t>
  </si>
  <si>
    <t>Réhabilitation de l'université de Mbandaka et equipement</t>
  </si>
  <si>
    <t>Equateur</t>
  </si>
  <si>
    <t>Fourniture et installation pouteaux solaires Av,Kitutu</t>
  </si>
  <si>
    <t>Réhabilitation de l'aérodrome de Tshikapa (piste et aérogare) phase I</t>
  </si>
  <si>
    <t>Usine de captage et de traitement d'eau potable de KAMINA phase II</t>
  </si>
  <si>
    <t>Réhabilitation route Kaniama-Kamina RN1</t>
  </si>
  <si>
    <t>Réhabilitation route Kamina-Luena RN 1</t>
  </si>
  <si>
    <t>Réhabilitation de la RN20, trançon allant du croisement de la RN1 et Idiofa phases 2 et 3</t>
  </si>
  <si>
    <t>Réhabilitation de la route Mbuji Mayi- Mwene Ditu phase 1 et 2</t>
  </si>
  <si>
    <t>Kasai oriental et Lomami</t>
  </si>
  <si>
    <t>Réhabilitation de la route Bakuvu-Nyangezi-Kamanyola phase 2</t>
  </si>
  <si>
    <t>Réhabilitation de la route Mwenne Ditu-Kanyama phase 1</t>
  </si>
  <si>
    <t>Réhabilitation RN25 Isiro-Poko et de la route Bafwasende-Bomili-Babeyro</t>
  </si>
  <si>
    <t>Réhabilitation de la route Manterne-Tshela-Singingi</t>
  </si>
  <si>
    <t>Réhabilitation de la route Lusambo-Lac Mukamba</t>
  </si>
  <si>
    <t>Réhabilitation et modernisation de l'hopital general de Kikwit</t>
  </si>
  <si>
    <t>Modernisation de l'aérodrome de Lodja</t>
  </si>
  <si>
    <t>Viabilisation de Lumumba-ville</t>
  </si>
  <si>
    <t>Budget 2024 (324 millions USD)</t>
  </si>
  <si>
    <t>Construction des rocades Sud-est et Sud-ouest de Kinshasa</t>
  </si>
  <si>
    <t>Rocade sud-ouest</t>
  </si>
  <si>
    <t>Construction de la route Kananga-Kalamba Mbuji</t>
  </si>
  <si>
    <t>Kasai central</t>
  </si>
  <si>
    <t>Construction de la route Mbuji Mayi - Nguba</t>
  </si>
  <si>
    <t>Mbuji Mayi- Nguba</t>
  </si>
  <si>
    <t>Construction de la route Bukavu-Kamanyola phase 3</t>
  </si>
  <si>
    <t>Construction de la route Kamanyola-Uvira</t>
  </si>
  <si>
    <t>Construction de la route de la passion (Mbanza Ngungu-Nkamba, Kongo Centrale)</t>
  </si>
  <si>
    <t>Construction de la route Manterne-Tshela-Singingi phase 2</t>
  </si>
  <si>
    <t>Acquisition de satellite</t>
  </si>
  <si>
    <t>Frais de prestations sur consultant pour la réalisation des études hydrauliques de Kalemie et Uvira</t>
  </si>
  <si>
    <t>Frais de gestion du programme (APCSC)</t>
  </si>
  <si>
    <t>Budget 2024 (Tranche de 300 millions USD)</t>
  </si>
  <si>
    <t>Construction de la route Rivière Kakangayi-MbujiMayi</t>
  </si>
  <si>
    <t>Kasai oriental</t>
  </si>
  <si>
    <t>Construction de la route Manterne-Tshela-Singini</t>
  </si>
  <si>
    <t>Construction de la route Buta-Isiro-Poko</t>
  </si>
  <si>
    <t>Haut uele</t>
  </si>
  <si>
    <t>Construction de la route Lac Munkamba-Lusambo</t>
  </si>
  <si>
    <t>Kasai central et Lusambo</t>
  </si>
  <si>
    <t>Construction de la route Ingudi-Idiofa</t>
  </si>
  <si>
    <t>Modernisation de l'hopital général de Kikwit</t>
  </si>
  <si>
    <t>Construction de l'université de Mbandaka et equipement</t>
  </si>
  <si>
    <t>Réhabilitation de l'aérodrome et l'aérogare de tshikapa</t>
  </si>
  <si>
    <t>Construction de l'aérodrome de Lodja</t>
  </si>
  <si>
    <t>Viabilisation et aménagement de Lumumba-ville</t>
  </si>
  <si>
    <t>Construction du stade de Kananga</t>
  </si>
  <si>
    <t>Construction d'un stade à Idiofa</t>
  </si>
  <si>
    <t>Solde pour acquisition d'un satellite</t>
  </si>
  <si>
    <t>Ifrastructures sociales dans la province du Kongo central : Réfection écoles (Mbanza Boma et Kisantu) et hopital de Kimpese</t>
  </si>
  <si>
    <t>Provision pour expropriation des riveriains des rocades de Kinshasa</t>
  </si>
  <si>
    <t>Etudes pour les projets à mettre en œuvre dans les prochaines tranches</t>
  </si>
  <si>
    <t>Désignations</t>
  </si>
  <si>
    <t>Montants facturés</t>
  </si>
  <si>
    <t>Montants investis</t>
  </si>
  <si>
    <t>Intêrets cumulés</t>
  </si>
  <si>
    <t>Observations</t>
  </si>
  <si>
    <t>Travaux de la bretelle de Luntendele à Kinshasa</t>
  </si>
  <si>
    <t>Terminé</t>
  </si>
  <si>
    <t>Travaux de l'Avenue du tourisme à Kinshasa</t>
  </si>
  <si>
    <t>Travaux de bitumage de la RN5 Lubumbashi-Kasomeno-Kasenga</t>
  </si>
  <si>
    <t>Travaux de terrassement de la RN5 Lubumbashi-Kasomeno-Kasenga</t>
  </si>
  <si>
    <t>Travaux du boulevard Triomphal à Kinshasa</t>
  </si>
  <si>
    <t>Travaux sue le boulevard du 30 juin lot 1</t>
  </si>
  <si>
    <t>Travaux sue le boulevard du 30 juin lot 2</t>
  </si>
  <si>
    <t>Contrat d'acquisition des équipements de production des préfabriqués et des groupes électrogènes</t>
  </si>
  <si>
    <t>Travaux de bitumage de la RN4 Niania-Beni</t>
  </si>
  <si>
    <t>Projet de l'hopital centenaire</t>
  </si>
  <si>
    <t>Travauw d'aménagement de l'esplanade du Palais du peuple</t>
  </si>
  <si>
    <t>Contrat de fourniture et de travaux d'installation des poteaux solaires et accessoires</t>
  </si>
  <si>
    <t>Projet d'asphaltage et modernisation de la route Lwambo-Mitwaba-Manono-Kalemie</t>
  </si>
  <si>
    <t>Réhabilitation et modernisation de la voirie de Kolwezi</t>
  </si>
  <si>
    <t>Travaux d'asphaltage de la route Bukavu-Kamanyola</t>
  </si>
  <si>
    <t>Projet de modernisation de la traversée de Butembo</t>
  </si>
  <si>
    <t>Projet de réhabilitation et de modernisation de la route Kikwit-Idiofa (70KM)</t>
  </si>
  <si>
    <t>Projet de renforcement de la route revêtue Mbuji Mayi- Mwene Ditu (135KM)</t>
  </si>
  <si>
    <t>Projet de réhabilitation et de modernisation de la voirie de Kalemie</t>
  </si>
  <si>
    <t>Projet de réhabilitation et de modernisation de la voirie de MANONO</t>
  </si>
  <si>
    <t>Contrat de conception et de travaux du projet d'études de l'unité de captage et de traitement d'eau à Kamina de Haut Lomami</t>
  </si>
  <si>
    <t>Encours</t>
  </si>
  <si>
    <t>Projet de construction d'un nouveau stade à Kalemie</t>
  </si>
  <si>
    <t>Projet de réhabilitation et de modernisation de la route Litanda-Ankoro (70KM)</t>
  </si>
  <si>
    <t>Projet de réhabilitation et de modernisation de la route Ankoro-Manono (115KM)</t>
  </si>
  <si>
    <t>Projet de réhabilitation de la route Kamina-Kabongo (230KM)</t>
  </si>
  <si>
    <t>Projet de réhabilitation de la route Kabondo-Dianda-Mukwende (350KM)</t>
  </si>
  <si>
    <t>Projet de réhabilitation et de modernisation de la route Bungan-Rutushu-Goma (100 KM)</t>
  </si>
  <si>
    <t>Projet du stade de GOMA</t>
  </si>
  <si>
    <t>Projet de construction d'un stade à Bunia</t>
  </si>
  <si>
    <t>Projet de réhabilitation et de modernisation de la voirie de Kisangani</t>
  </si>
  <si>
    <t>Projet de réhabilitation et de modernisation de la voirie Uvira</t>
  </si>
  <si>
    <t>Projet du stade de Bukavu</t>
  </si>
  <si>
    <t>Contrat d'études et de fourniture et d'installation des poteaux solaires et accessoires</t>
  </si>
  <si>
    <t>Contrat d'études et de travaux du projet de réhabilitation et modernisation de l'avenue Nzolana et de lutte anti-érosive sur l'avenue Nzolana</t>
  </si>
  <si>
    <t>Projet de renforcement des boulevards Triomphal et Sendwe à Kinshasa</t>
  </si>
  <si>
    <t>Contrat d'études et travaux du projet de réhabilitation et modernisation de la voirie de Kalemie</t>
  </si>
  <si>
    <t>Contrat d'études et travaux du projet de modernisation de la voirie de Uvira</t>
  </si>
  <si>
    <t>Contrat d'études et travaux du projet de la construction de route devant relier l'aérogare de Kalemie et le nouveau stade de Kalemie au boulevard de Lumumba</t>
  </si>
  <si>
    <t>Contrat d'études et de travaux du projet de construction du pont Lomela et ses composantes sociales d'accompagnement</t>
  </si>
  <si>
    <t>Contrat d'études et de travaux de sondage et de découverture des zones d'exploitation artisanale dans la province du Lualaba</t>
  </si>
  <si>
    <t>Contrat d'études et de travaux du projet de bitumage de 14KM de route entre Kanina-Kapata dans la ville de Kolwezi</t>
  </si>
  <si>
    <t>Contrat d'études et travaux de réhabilitation et modernisation de la voirie de Kalemie phase 2</t>
  </si>
  <si>
    <t>Contrat d'études et travaux du projet de construction d'un nouveau stade à Kalemie phase 2</t>
  </si>
  <si>
    <t>Contrat d'études et travaux du projet de réhabilitation de l'avenue Nzolana phase 2</t>
  </si>
  <si>
    <t>Contrat d'études et travaux du projet de réhabilitation de la route Mbuji Mayi - Mwene Ditu phase 1 et 2</t>
  </si>
  <si>
    <t>Contrat d'étude et travaux du projet de construction du stade Bukavu phase 2</t>
  </si>
  <si>
    <t>Contrat d'études et travaux du projet de réhabilitation de la RN20 tronçon allant du croisement de la RN1 à Idiofa</t>
  </si>
  <si>
    <t>Contrat d'études et travaux du projet de réhabilitation de la route Manterne-Tshela-Singingi</t>
  </si>
  <si>
    <t>Contrat d'études et de travaux du projet de réhabilitation de la route Bukavu-Nyangezi-Kamanyola</t>
  </si>
  <si>
    <t>Contrat d'études et travaux du projet de réhabilitation de la route RN252 Isiro-Poko et de la route Bafwasende-Bomili-Babeyro</t>
  </si>
  <si>
    <t>A réaliser</t>
  </si>
  <si>
    <t>Contrat d'études et travaux du projet de réhabilitation de la route Lsambo-Lac Mukamba</t>
  </si>
  <si>
    <t>Contrat d'études et travaux du réhabilitation de la route Kamina-Luena RN1</t>
  </si>
  <si>
    <t>Contrat d'études et travaux du projet de réhabilitation d'usine de captage et de traitement d'eau potable de Kamina phase 2</t>
  </si>
  <si>
    <t>Contrat d'études et travaux du projet de réhabilitation de la route Kaniama-Kamina</t>
  </si>
  <si>
    <t>Contrat d'études et travaux du projet de réhabilitation batiment 4 de l'ISP Bukavu</t>
  </si>
  <si>
    <t>Contrat d'études et travaux du projet de fourniture et installation des poteaux solaires av Kitutu</t>
  </si>
  <si>
    <t>Contrat d'études et travaux du projet de réhabilitation de la route Mwenditu-Kanyama phase 1</t>
  </si>
  <si>
    <t>Contrat d'études et travaux du projet de construction d'un stade de 8000 places à Kananga phase 1</t>
  </si>
  <si>
    <t>Contrat d'études et travaux du projet de construction du stade de Bunia (les voies d'accès+finalisation des travaux)</t>
  </si>
  <si>
    <t>Contrat d'études et travaux du projet de réhabilitation de l'université de Mbandaka et équipement</t>
  </si>
  <si>
    <t>Contrat d'études et travaux du projet de réhabilitation de l'aérodrome de Tshikapa(piste et aérogare) phase 1</t>
  </si>
  <si>
    <t>Contrat d'études et travaux du projet de modernisation de l'aérodrome de Lodia</t>
  </si>
  <si>
    <t>Contrat d'études et travaux du projet de viabilisation de Lumumba-ville</t>
  </si>
  <si>
    <t>Contrat d'études et des travaux de la premiere phase du projet de construction de la route périphérique Sud-est Sud ouest dans la ville de Kinshasa</t>
  </si>
  <si>
    <t>Contrat d'études et des travaux du projet de construction de la route MBUJIMAYI-NGUBA</t>
  </si>
  <si>
    <t>Contrat d'études et des travaux du projet de construction de la route KANANGA-KALAMBA MBUJI</t>
  </si>
  <si>
    <t>Frais de fonctionnement de BCPSC</t>
  </si>
  <si>
    <t>Frais de fonctionnement de l'APCSC</t>
  </si>
  <si>
    <t>Taxes des concentrés et taxe exigée par le gouvernement du Lualaba</t>
  </si>
  <si>
    <t>Frais transactionnel des poursuites du dossier du rapatriment des recettes d'exportation demandé par l'inspection générale des finances</t>
  </si>
  <si>
    <t>Jetons de présences aux réunions de la négociation de la convention de collaboration du 22 avril 2008 et bonus de signature pour l'avenant V demandés par l'inspection générale des finances</t>
  </si>
  <si>
    <t>Jetons de présence aux réunions de la renégociation de la convention de collaboration du 22 avril 2008 demandés par l'inspection générale des finances</t>
  </si>
  <si>
    <t>Annexe 25 - Etat détaillé des investissements dans le projet des infrastructures de la SICOMINES de 2015 jusqu’au budget de 2024 par l'ACGT</t>
  </si>
  <si>
    <t>Annexe 24 - Décompte des projets d'infrastructures de la SICOMINES jusqu'au 7 septembre 2024 fourni par l'APCSC</t>
  </si>
  <si>
    <t>Projets figurant dans les deux listes</t>
  </si>
  <si>
    <t>* Source rapport ITIE 2020-2021</t>
  </si>
  <si>
    <t>ACGT</t>
  </si>
  <si>
    <t>APCSC</t>
  </si>
  <si>
    <t>SICOMINES SA*</t>
  </si>
  <si>
    <t>Annexe 26 - Rapprochement écart entre les données de l'APCSC et l'ACGT</t>
  </si>
  <si>
    <t>Percepteur</t>
  </si>
  <si>
    <t>COMINIERE</t>
  </si>
  <si>
    <t>SAKIMA</t>
  </si>
  <si>
    <t>SODIMICO</t>
  </si>
  <si>
    <t>MIBA</t>
  </si>
  <si>
    <t>Annexe 27 - Détail des recettes perçues par les EP par entreprise</t>
  </si>
  <si>
    <t>COMMUNE DE SHITURU</t>
  </si>
  <si>
    <t>DRHKAT</t>
  </si>
  <si>
    <t xml:space="preserve">CHEFFERIE DES BASANGA </t>
  </si>
  <si>
    <t>DPRKOR</t>
  </si>
  <si>
    <t>DRLU</t>
  </si>
  <si>
    <t>DPMER</t>
  </si>
  <si>
    <t xml:space="preserve">Annexe 28 - Détail des paiements effectués par les EP par flux </t>
  </si>
  <si>
    <t>DOT MUMI</t>
  </si>
  <si>
    <t>DOT MMG</t>
  </si>
  <si>
    <t>CHEFFERIE DE BAYEKE</t>
  </si>
  <si>
    <t>COMMUNE DE FUNGURUME</t>
  </si>
  <si>
    <t>DOT KCC</t>
  </si>
  <si>
    <t>DOT KAMOA</t>
  </si>
  <si>
    <t>Secteur de LUILU</t>
  </si>
  <si>
    <t>COMMUNE DE RUASHI</t>
  </si>
  <si>
    <t>COMMUNE DE KAMPEMBA</t>
  </si>
  <si>
    <t>COMMUNE DE PANDA</t>
  </si>
  <si>
    <t>SECTEUR DE BALAMBA</t>
  </si>
  <si>
    <t>SECTEUR DE LUFIRA</t>
  </si>
  <si>
    <t>COMMUNE DE LUBUMBASHI</t>
  </si>
  <si>
    <t>SECTEUR BUKANDA</t>
  </si>
  <si>
    <t>SECTEUR DE WANYANGA</t>
  </si>
  <si>
    <t>COMMUNE DE DILALA</t>
  </si>
  <si>
    <t>CHEFFERIE DE MARIMINZA</t>
  </si>
  <si>
    <t>DRTANG</t>
  </si>
  <si>
    <t>SECTEUR DE LUFUPA</t>
  </si>
  <si>
    <t>Annexe 29 - Détail des paiements infranationaux par société et par flux</t>
  </si>
  <si>
    <t>Procédure d'assurance et fiabilité des données</t>
  </si>
  <si>
    <t>FD 2022 signé</t>
  </si>
  <si>
    <t>Pour les Régies Financières nationales</t>
  </si>
  <si>
    <t>Niveau de fiabilité
(Faible/Moyen/Elevé)</t>
  </si>
  <si>
    <t>FD 2022 certifié par l'IGF</t>
  </si>
  <si>
    <t>FD 2022 revêtu du contreseing de la Cour des comptes</t>
  </si>
  <si>
    <t>Entités Etatiques</t>
  </si>
  <si>
    <t>Oui/Non</t>
  </si>
  <si>
    <t>Entité publique Niveau Centrale</t>
  </si>
  <si>
    <t>Régies financiéres</t>
  </si>
  <si>
    <t>Oui</t>
  </si>
  <si>
    <t>N/a</t>
  </si>
  <si>
    <t>Faible</t>
  </si>
  <si>
    <t>Autres Entités Publiques</t>
  </si>
  <si>
    <t>Entité publique Niveau Provincial</t>
  </si>
  <si>
    <t>Direction des Recettes provinciale</t>
  </si>
  <si>
    <t>DGRKOR</t>
  </si>
  <si>
    <t>DGRMA</t>
  </si>
  <si>
    <t>DGRNK</t>
  </si>
  <si>
    <t>DR du Haut Lomami</t>
  </si>
  <si>
    <t>DGRHU</t>
  </si>
  <si>
    <t>DGR/KC</t>
  </si>
  <si>
    <t>CHEFFERIE DE BASANGA</t>
  </si>
  <si>
    <t>SECTEUR DE BUKANDA</t>
  </si>
  <si>
    <t>CHEFFERIE DE KAPONDA</t>
  </si>
  <si>
    <t>CHEFFERIE DE MUSEKA</t>
  </si>
  <si>
    <t>SECTEUR DE KIBALI</t>
  </si>
  <si>
    <t>SECTEUR DE MANBGUTU</t>
  </si>
  <si>
    <t>CHEFFERIE DE LOGO DOKA</t>
  </si>
  <si>
    <t>CHEFFERIE DE DHONGO</t>
  </si>
  <si>
    <t>CHEFFERIE DE LOGO OGAMBI</t>
  </si>
  <si>
    <t>SECTEUR DE KAKANGAYI</t>
  </si>
  <si>
    <t>SECTEUR DE MPEMBA</t>
  </si>
  <si>
    <t>SECTEUR DE MOVO NKATSHIA</t>
  </si>
  <si>
    <t>SECTEUR DE TSHIJIBA</t>
  </si>
  <si>
    <t>COMMUNE DE MIABI</t>
  </si>
  <si>
    <t>SECTEUR DE LUILU</t>
  </si>
  <si>
    <t>MAIRIE DE KOLWEZI</t>
  </si>
  <si>
    <t>COMMUNE MANIKA</t>
  </si>
  <si>
    <t>SECTEUR DE BEIA</t>
  </si>
  <si>
    <t>SECTEUR D'AMBWE</t>
  </si>
  <si>
    <t>SECTEUR DE BABIRA</t>
  </si>
  <si>
    <t>SECTEUR DE BITULE</t>
  </si>
  <si>
    <t>CHEFFERIE DE BAHUNDE</t>
  </si>
  <si>
    <t>SECTEUR DE BAKANO</t>
  </si>
  <si>
    <t>SECTEUR DE BAPERE</t>
  </si>
  <si>
    <t>SECTEUR D'OSSO BANYUNGU</t>
  </si>
  <si>
    <t>CHEFFERIE DE BAFULERU</t>
  </si>
  <si>
    <t>CHEFFERIE DE BAKISI</t>
  </si>
  <si>
    <t>CHEFFERIE DE BASILE</t>
  </si>
  <si>
    <t>CHEFFERIE DE BUHAVU</t>
  </si>
  <si>
    <t>CHEFFERIE DE LUHWHINDJA</t>
  </si>
  <si>
    <t>CHEFFERIE DE NGWESHE</t>
  </si>
  <si>
    <t>SECTEUR DU NORD LUKUGA</t>
  </si>
  <si>
    <t>CHEFFERIE DE BAKONGOLO</t>
  </si>
  <si>
    <t>OS/DOT</t>
  </si>
  <si>
    <t>DOT MMG KINSEVERE (MMG)</t>
  </si>
  <si>
    <t>DOT RUASHI MINING</t>
  </si>
  <si>
    <t>DOT SHITURU MINING CORPORATION SAS</t>
  </si>
  <si>
    <t>DOT COMPAGNIE MINIERE DE KAMBOVE SAS </t>
  </si>
  <si>
    <t>DOT KIBALI GOLD MINE (KGM)</t>
  </si>
  <si>
    <t>DOT SOCIETE ANHUE D'INVESTISSEMENT MINIER (SACIM)</t>
  </si>
  <si>
    <t>DOT MUTANDA MINING (MUMI)</t>
  </si>
  <si>
    <t xml:space="preserve">DOT KAMOA COOPER SA </t>
  </si>
  <si>
    <t>DOT COMPGNIE MINIERE DE MUSONOIE SAS (COMMUS)</t>
  </si>
  <si>
    <t>DOT KAMOTO COOPER COMPAGNY S.A (KCC)</t>
  </si>
  <si>
    <t>DOT SINO CONGOLAISE DES MINES (SICOMINES)</t>
  </si>
  <si>
    <t>DOT TENKE FUNGURUME MINING (TFM)</t>
  </si>
  <si>
    <t>DOT ALPHAMIN BISIE MINING.</t>
  </si>
  <si>
    <t>Annexe 30 - Fiabilisation des déclaration de l'Etat</t>
  </si>
  <si>
    <t>KWINJA MULIR</t>
  </si>
  <si>
    <t>METALKOL</t>
  </si>
  <si>
    <t>CJX</t>
  </si>
  <si>
    <t>DOMAINE SOCIAL (ECOLE/SANTE)</t>
  </si>
  <si>
    <t>COMMUNAUTE DU TERRITOIRE DE MUANDA</t>
  </si>
  <si>
    <t>TERRITOIRE DE MUANDA</t>
  </si>
  <si>
    <t>KONGO-CENTRAL/MUANDA</t>
  </si>
  <si>
    <t>AVENANT 8 / CONVENTION PETROLIERE &lt;=&gt; Budget annuel de 400,000 USD pour toute l’Association JV Offshore et sont financés en raison de 50 % (MIOC), 32.28%(TEIKOKU) et 17.72%(PERENCO ODS)</t>
  </si>
  <si>
    <t>*</t>
  </si>
  <si>
    <t>AVENANT 9 / CONVENTION PETROLIERE &lt;=&gt; Budget annuel de 200,000 USD pour toute l’Association JV Onshore et sont financés en raison de 54,5455 % (PERENCO REP) et 45,4545%(LIREX)</t>
  </si>
  <si>
    <t>Entreprises minières :</t>
  </si>
  <si>
    <t>Audit annuel</t>
  </si>
  <si>
    <t>normes</t>
  </si>
  <si>
    <t>publication en ligne</t>
  </si>
  <si>
    <t>Rapport audit</t>
  </si>
  <si>
    <t>IAS/SYSCOHADA</t>
  </si>
  <si>
    <t>Voir annexe</t>
  </si>
  <si>
    <t>Pas d'annexe</t>
  </si>
  <si>
    <t>SYSCOHAHA</t>
  </si>
  <si>
    <t>ok</t>
  </si>
  <si>
    <t>IFAC</t>
  </si>
  <si>
    <t>Oui, www.gecamines.cd</t>
  </si>
  <si>
    <t>OHADA</t>
  </si>
  <si>
    <t>Non, il sera joint aux declarations par mail</t>
  </si>
  <si>
    <t>SYSCOHADA</t>
  </si>
  <si>
    <t>ISA</t>
  </si>
  <si>
    <t>Audit en cours</t>
  </si>
  <si>
    <t>Normes internationales d'audit</t>
  </si>
  <si>
    <t>normes SA</t>
  </si>
  <si>
    <t xml:space="preserve">certifiés par les commissaires aux Comptes </t>
  </si>
  <si>
    <t>site de ITIE-RDC</t>
  </si>
  <si>
    <t>Normes internationales ISA conformement aux prescription du reglement n°01/2017/CM/OHADA</t>
  </si>
  <si>
    <t>https://frdeloitte-my.sharepoint.com/personal/lbanza_deloitte_fr/Documents/Clients/DATHCOM/4.TRAVAUX/ITIE%202022/RAPPORT%20CAC%20DATHCOM%202022.pdf</t>
  </si>
  <si>
    <t>SO</t>
  </si>
  <si>
    <t>oui, OHADA</t>
  </si>
  <si>
    <t>Pas encore disponible</t>
  </si>
  <si>
    <t>Entreprises pétrolières :</t>
  </si>
  <si>
    <t>ETATS FINANCIERS DEPOSES A LA DGI, AU CPCC, AU MINISTERE DE L'ECONOMIE</t>
  </si>
  <si>
    <t>Annexe 23 - la disponibilité et la qualité des informations fournies par chaque entreprise (Minière et pétrolière)</t>
  </si>
  <si>
    <t>DOT  mises en place en 2022</t>
  </si>
  <si>
    <r>
      <t xml:space="preserve">1° </t>
    </r>
    <r>
      <rPr>
        <sz val="9"/>
        <color theme="1"/>
        <rFont val="Trebuchet MS"/>
        <family val="2"/>
      </rPr>
      <t>RUASHI MINING : Arrêté Interministériel n°00159/CAB.MIN/MINES/01/2022 et n°045/CAB.MIN/ AFF.SOC.A.H.S.N du 04/05/2022 ;</t>
    </r>
  </si>
  <si>
    <r>
      <t xml:space="preserve">2° </t>
    </r>
    <r>
      <rPr>
        <sz val="9"/>
        <color theme="1"/>
        <rFont val="Trebuchet MS"/>
        <family val="2"/>
      </rPr>
      <t>MUTANDA MINING (MUMI) : Arrêté Interministériel n°00160/CAB.MIN/MINES/01/ 2022 et n°042/CAB.MIN/ AFF.SOC.A.H.S.N du 04/05/2022 ;</t>
    </r>
  </si>
  <si>
    <r>
      <t xml:space="preserve">3° </t>
    </r>
    <r>
      <rPr>
        <sz val="9"/>
        <color theme="1"/>
        <rFont val="Trebuchet MS"/>
        <family val="2"/>
      </rPr>
      <t>COMPAGNIE MINIERE DE MUSONOIE SAS (COMMUS) : Arrêté Interministériel n°00161/CAB.MIN/MINES/01/ 2022 et n°039/CAB.MIN/ AFF.SOC.A.H.S.N du 04/05/2022 ;</t>
    </r>
  </si>
  <si>
    <r>
      <t xml:space="preserve">4° </t>
    </r>
    <r>
      <rPr>
        <sz val="9"/>
        <color theme="1"/>
        <rFont val="Trebuchet MS"/>
        <family val="2"/>
      </rPr>
      <t>SHITURU MINING CORPORATION SAS (SHITURU) : Arrêté Interministériel n°00162/CAB.MIN/MINES/01/2022 et n°047/CAB.MIN/ AFF.SOC.A.H.S.N du 04/05/2022 ;</t>
    </r>
  </si>
  <si>
    <r>
      <t xml:space="preserve">5° </t>
    </r>
    <r>
      <rPr>
        <sz val="9"/>
        <color theme="1"/>
        <rFont val="Trebuchet MS"/>
        <family val="2"/>
      </rPr>
      <t>COMPAGNIE MINIERE DE KAMBOVE SAS (COMIKA) : Arrêté Interministériel n°00163/ CAB.MIN/MINES/01/2022 et n°046/CAB.MIN/ AFF.SOC.A.H.S.N du 04/05/2022 ;</t>
    </r>
  </si>
  <si>
    <r>
      <t xml:space="preserve">6° </t>
    </r>
    <r>
      <rPr>
        <sz val="9"/>
        <color theme="1"/>
        <rFont val="Trebuchet MS"/>
        <family val="2"/>
      </rPr>
      <t>KIBALI GOLD MINE : Arrêté Interministériel n°00164/CAB.MIN/MINES/01/2022 et n°044/CAB.MIN/ AFF.SOC.A.H.S.N du 04/05/2022 ;</t>
    </r>
  </si>
  <si>
    <r>
      <t xml:space="preserve">7° </t>
    </r>
    <r>
      <rPr>
        <sz val="9"/>
        <color theme="1"/>
        <rFont val="Trebuchet MS"/>
        <family val="2"/>
      </rPr>
      <t>KAMOA</t>
    </r>
    <r>
      <rPr>
        <i/>
        <sz val="9"/>
        <color theme="1"/>
        <rFont val="Trebuchet MS"/>
        <family val="2"/>
      </rPr>
      <t xml:space="preserve"> </t>
    </r>
    <r>
      <rPr>
        <sz val="9"/>
        <color theme="1"/>
        <rFont val="Trebuchet MS"/>
        <family val="2"/>
      </rPr>
      <t>COPPER SA</t>
    </r>
    <r>
      <rPr>
        <i/>
        <sz val="9"/>
        <color theme="1"/>
        <rFont val="Trebuchet MS"/>
        <family val="2"/>
      </rPr>
      <t xml:space="preserve"> (KAMOA) : Arrêté Interministériel n°00165/CAB.MIN/ MINES/01/2022 et n°043/CAB.MIN/ AFF.SOC.A.H.S.N du 04/05/2022 ;</t>
    </r>
  </si>
  <si>
    <r>
      <t xml:space="preserve">8° </t>
    </r>
    <r>
      <rPr>
        <sz val="9"/>
        <color theme="1"/>
        <rFont val="Trebuchet MS"/>
        <family val="2"/>
      </rPr>
      <t>KAMOTO COPPER COMPAGNY (KCC) : Arrêté Interministériel n°00166/CAB.MIN/ MINES/01/2022 et n°041/CAB.MIN/ AFF.SOC.A.H.S.N du 04/05/2022 ;</t>
    </r>
  </si>
  <si>
    <r>
      <t xml:space="preserve">9° </t>
    </r>
    <r>
      <rPr>
        <sz val="9"/>
        <color theme="1"/>
        <rFont val="Trebuchet MS"/>
        <family val="2"/>
      </rPr>
      <t>MMG KINSEVERE SARL : Arrêté Interministériel n°00167/CAB.MIN/ MINES/01/2022 et n°040/CAB.MIN/ AFF.SOC.A.H.S.N du 04/05/2022 ;</t>
    </r>
  </si>
  <si>
    <r>
      <t xml:space="preserve">10° </t>
    </r>
    <r>
      <rPr>
        <sz val="9"/>
        <color theme="1"/>
        <rFont val="Trebuchet MS"/>
        <family val="2"/>
      </rPr>
      <t>SICOMINES : Arrêté Interministériel n°00168/CAB.MIN/ MINES/01/2022 et n°036/CAB.MIN/ AFF.SOC.A.H.S.N du 04/05/2022 ;</t>
    </r>
  </si>
  <si>
    <r>
      <t xml:space="preserve">11° </t>
    </r>
    <r>
      <rPr>
        <sz val="9"/>
        <color theme="1"/>
        <rFont val="Trebuchet MS"/>
        <family val="2"/>
      </rPr>
      <t>SACIM : Arrêté Interministériel n°00169/CAB.MIN/MINES/01/2022 et n°037/CAB.MIN/ AFF.SOC.A.H.S.N du 04/05/2022 ;</t>
    </r>
  </si>
  <si>
    <r>
      <t xml:space="preserve">12° </t>
    </r>
    <r>
      <rPr>
        <sz val="9"/>
        <color theme="1"/>
        <rFont val="Trebuchet MS"/>
        <family val="2"/>
      </rPr>
      <t>TENKE FUNGURUME (TFM) : Arrêté Interministériel n°00170/CAB.MIN/ MINES/01/2022 et n°038/CAB.MIN/ AFF.SOC.A.H.S.N du 04/05/2022 ;</t>
    </r>
  </si>
  <si>
    <r>
      <t xml:space="preserve">13° </t>
    </r>
    <r>
      <rPr>
        <sz val="9"/>
        <color theme="1"/>
        <rFont val="Trebuchet MS"/>
        <family val="2"/>
      </rPr>
      <t>ALPHAMIN BISIE MINING : Arrêté Interministériel n°0628/CAB.MIN/ MINES/01/2022 et n°132/CAB.MIN/ AFF.SOC.A.H.S.N du 20/09/2022 modifiant l’ Arrêté Interministériel n°00583/CAB.MIN/ MINES/01/2022 et n°120/CAB.MIN/ AFF.SOC.A.H.S.N du 31/08/2022 ;</t>
    </r>
  </si>
  <si>
    <t>DOT mises en place en 2023</t>
  </si>
  <si>
    <r>
      <t>14° OM METAL :</t>
    </r>
    <r>
      <rPr>
        <sz val="9"/>
        <rFont val="Trebuchet MS"/>
        <family val="2"/>
      </rPr>
      <t xml:space="preserve"> Arrêté interministériel N°00223/CAB.MIN/MINES/01/2023 et n°054/CAB.MIN /AFF.SOC.A.H.S.N du 17 juillet 2023 ;</t>
    </r>
  </si>
  <si>
    <t>15° METAL MINES : Arrêté interministériel N°00224/CAB.MIN/MINES/01/2023 et n°055/CAB.MIN /AFF.SOC.A.H.S.N du 17 juillet 2023 ;</t>
  </si>
  <si>
    <t>16° KISANFU MINING : Arrêté interministériel N°00225/CAB.MIN/MINES/01/2023 et n°056/CAB.MIN /AFF.SOC.A.H.S.N du 17 juillet 2023 ;</t>
  </si>
  <si>
    <t>17° COMPANIE MINIERE DE LUISHA : Arrêté interministériel N°00226/CAB.MIN/MINES/01/2023 et n°057/CAB.MIN /AFF.SOC.A.H.S.N du 17 juillet 2023 ;</t>
  </si>
  <si>
    <t>18° HANRUI METAL CONGO : Arrêté interministériel N°00227/CAB.MIN/MINES/01/2023 et n°034/CAB.MIN /AFF.SOC.A.H.S.N du 17 juillet 2023 ;</t>
  </si>
  <si>
    <t>19° CHENG TUNG RESSOURCES : Arrêté interministériel N°00228/CAB.MIN/MINES/01/2023 et n°035/CAB.MIN /AFF.SOC.A.H.S.N du 17 juillet 2023 ;</t>
  </si>
  <si>
    <t>20° THOMAS MINING : Arrêté interministériel N°00229/CAB.MIN/MINES/01/2023 et n°036/CAB.MIN /AFF.SOC.A.H.S.N du 17 juillet 2023 ;</t>
  </si>
  <si>
    <t>21° BOSS MINING : Arrêté interministériel N°00230/CAB.MIN/MINES/01/2023 et n°037/CAB.MIN /AFF.SOC.A.H.S.N du 17 juillet 2023 ;</t>
  </si>
  <si>
    <t>22° TENG YUAN COBALT COPPER RESSOURCES LTD : Arrêté interministériel N°00232/CAB.MIN/MINES/01/2023 et n°039/CAB.MIN /AFF.SOC.A.H.S.N du 17 juillet 2023 ; </t>
  </si>
  <si>
    <t>23° SOCIETE D’EXPLOITATION DE KIPOI : Arrêté interministériel N°00233/CAB.MIN/MINES/01/2023 et n°040/CAB.MIN /AFF.SOC.A.H.S.N du 17 juillet 2023 ; </t>
  </si>
  <si>
    <t>24° GOLDEN AFRICA : Arrêté interministériel N°00234/CAB.MIN/MINES/01/2023 et n°041/CAB.MIN /AFF.SOC.A.H.S.N du 17 juillet 2023 ;</t>
  </si>
  <si>
    <t>25° KISENDA COPPER COMPANY : Arrêté interministériel N°00235/CAB.MIN/MINES/01/2023 et n°042/CAB.MIN /AFF.SOC.A.H.S.N du 17 juillet 2023 ;</t>
  </si>
  <si>
    <t>26° FRONTIER SA : Arrêté interministériel N°00236/CAB.MIN/MINES/01/2023 et n°043/CAB.MIN /AFF.SOC.A.H.S.N du 17 juillet 2023 ;</t>
  </si>
  <si>
    <t>27° CONGO DONGFANG : Arrêté interministériel N°00237/CAB.MIN/MINES/01/2023 et n°032/CAB.MIN /AFF.SOC.A.H.S.N du 17 juillet 2023 ;</t>
  </si>
  <si>
    <t>28° CHEMICALS OF AFRICA : Arrêté interministériel N°00238/CAB.MIN/MINES/01/2023 et n°033/CAB.MIN /AFF.SOC.A.H.S.N du 17 juillet 2023 ;</t>
  </si>
  <si>
    <t>29° DIVINE LAND MINING : Arrêté interministériel N°00239/CAB.MIN/MINES/01/2023 et n°045/CAB.MIN /AFF.SOC.A.H.S.N du 17 juillet 2023 ; Arrêté interministériel N°00256/CAB.MIN/MINES/01/2023 et n°045/CAB.MIN /AFF.SOC.A.H.S.N du 17 juillet 2023 ;</t>
  </si>
  <si>
    <t>30° METALKOL : Arrêté interministériel N°00240/CAB.MIN/MINES/01/2023 et n°047/CAB.MIN /AFF.SOC.A.H.S.N du 17 juillet 2023 ;</t>
  </si>
  <si>
    <t>31° LA MINIERE DE KALMBWE : Arrêté interministériel N°00241/CAB.MIN/MINES/01/2023 et n°048/CAB.MIN /AFF.SOC.A.H.S.N du 17 juillet 2023 ;</t>
  </si>
  <si>
    <t>32° CNMC HUACHIN MABENDE MINING : Arrêté interministériel N°00242/CAB.MIN/MINES/01/2023 et n°049/CAB.MIN /AFF.SOC.A.H.S.N du 17 juillet 2023 ;</t>
  </si>
  <si>
    <t>33° RUBAMIN : Arrêté interministériel N°00243/CAB.MIN/MINES/01/2023 et n°050/CAB.MIN /AFF.SOC.A.H.S.N du 17 juillet 2023 ;</t>
  </si>
  <si>
    <t>34° LA MINIERE DE KALUKUNDI : Arrêté interministériel N°00244/CAB.MIN/MINES/01/2023 et n°051/CAB.MIN /AFF.SOC.A.H.S.N du 17 juillet 2023 ;</t>
  </si>
  <si>
    <t>35° KAI PENG MINING : Arrêté interministériel N°00245/CAB.MIN/MINES/01/2023 et n°052/CAB.MIN /AFF.SOC.A.H.S.N du 17 juillet 2023 ;</t>
  </si>
  <si>
    <t>36° HUACHIN METAL LEACH : Arrêté interministériel N°00246/CAB.MIN/MINES/01/2023 et n°053/CAB.MIN /AFF.SOC.A.H.S.N du 17 juillet 2023 ;</t>
  </si>
  <si>
    <t xml:space="preserve">37° EXCELLEN MINING : Arrêté interministériel N°00247/CAB.MIN/MINES/01/2023 et n°046/CAB.MIN /AFF.SOC.A.H.S.N du 17 juillet 2023 ; </t>
  </si>
  <si>
    <t>38° MJM : Arrêté interministériel N°00248/CAB.MIN/MINES/01/2023 et n°065/CAB.MIN /AFF.SOC.A.H.S.N du 17 juillet 2023 ;</t>
  </si>
  <si>
    <t>39° MINIERE DE DEZIWA : Arrêté interministériel N°00249/CAB.MIN/MINES/01/2023 et n°060/CAB.MIN /AFF.SOC.A.H.S.N du 17 juillet 2023 ;</t>
  </si>
  <si>
    <t>40° STL : Arrêté interministériel N°00250/CAB.MIN/MINES/01/2023 et n°061/CAB.MIN /AFF.SOC.A.H.S.N du 17 juillet 2023 ;</t>
  </si>
  <si>
    <t>41° MINIERE DE KATANGA : Arrêté interministériel N°00252/CAB.MIN/MINES/01/2023 et n°058/CAB.MIN /AFF.SOC.A.H.S.N du 17 juillet 2023 ;</t>
  </si>
  <si>
    <t>42° CONGO COMPAGNIE MINIERE CNMC : Arrêté interministériel N°00254/CAB.MIN/MINES/01/2023 et n°059/CAB.MIN /AFF.SOC.A.H.S.N du 17 juillet 2023 ;</t>
  </si>
  <si>
    <t>43° KAMBOVE MINING : Arrêté interministériel N°00269/CAB.MIN/MINES/01/2023 et n°038/CAB.MIN /AFF.SOC.A.H.S.N du 26 juillet 2023 ;</t>
  </si>
  <si>
    <t>Annexe 1 - Détail DOT mises en place en 2022 et 2023</t>
  </si>
  <si>
    <t>ALPHAMINBISIE MINING SA  (EX MINING PROCESSING AND CONGO)</t>
  </si>
  <si>
    <t>351 224 456 USD</t>
  </si>
  <si>
    <t>ALPHAMIN RESOURCES LTD</t>
  </si>
  <si>
    <t>ALPHAMIN RESOURCES CORP</t>
  </si>
  <si>
    <t>IDC SOUTH AFRICA</t>
  </si>
  <si>
    <t>BRITANNIQUE</t>
  </si>
  <si>
    <t>MAURICE</t>
  </si>
  <si>
    <t>Stuart Porter</t>
  </si>
  <si>
    <t>Carl Tricoli</t>
  </si>
  <si>
    <t>ALLIANCE LOWA</t>
  </si>
  <si>
    <t>WALIKALE</t>
  </si>
  <si>
    <t>Actif-En Renouvellement</t>
  </si>
  <si>
    <t>REGIE DE DISTRIBUTION D'EAU DE LA R.D.C ''REGIDESO''</t>
  </si>
  <si>
    <t>KGL -SOMITURI</t>
  </si>
  <si>
    <t>SOCIETE AFRICAINE DE CONSTRUCTION AU CONGO S.A</t>
  </si>
  <si>
    <t>Actif-En cours de Cession Totale</t>
  </si>
  <si>
    <t>NAKO MINES</t>
  </si>
  <si>
    <t>EXPLOITATION ET PROSPECTION MINIERE SARL</t>
  </si>
  <si>
    <t>COMPAGNIE DE DEVELOPPEMENT RURAL</t>
  </si>
  <si>
    <t>Kwango</t>
  </si>
  <si>
    <t>Actif-Levée de Force Majeure</t>
  </si>
  <si>
    <t>Alphonse Rémy BIBUAYA KAYEMBE</t>
  </si>
  <si>
    <t>Actif-Transformation PEPM en PE</t>
  </si>
  <si>
    <t>MIDAMINES SARL</t>
  </si>
  <si>
    <t>KALUBAMBA</t>
  </si>
  <si>
    <t>SOCIETE MINIERE DE DIAMANT DE LUPATAPATA</t>
  </si>
  <si>
    <t>Actif-En cours de Cession Partielle</t>
  </si>
  <si>
    <t>Gem Diamond Longatshimo Mining Company</t>
  </si>
  <si>
    <t>Actif-En Force Majeure</t>
  </si>
  <si>
    <t>Clauvis KAJAMA SALAMBOTE</t>
  </si>
  <si>
    <t>CHADILA SARL</t>
  </si>
  <si>
    <t>KASAI SUD DIAMANT SARL</t>
  </si>
  <si>
    <t>DIER-YE-MIY</t>
  </si>
  <si>
    <t>KUMPALA DIAMOND RESOURCES DRC SARL</t>
  </si>
  <si>
    <t>YUSUFU MWANA KASONGO</t>
  </si>
  <si>
    <t>SEMCO</t>
  </si>
  <si>
    <t>AFRICA RESOURCES SARL</t>
  </si>
  <si>
    <t>SOCIETE KADUNYI MINE SARL</t>
  </si>
  <si>
    <t>Actif-Transformation PR en PEPM</t>
  </si>
  <si>
    <t>MAGHARIBI MINING SAU</t>
  </si>
  <si>
    <t>SOCIETE CHINOISE POUR LE DEVELOPPEMENT DU CONGO SARL</t>
  </si>
  <si>
    <t>COMPAGNIE MINIERE DE SAKANIA SPRL</t>
  </si>
  <si>
    <t>Nessrallah SAHID MOHAMED</t>
  </si>
  <si>
    <t>ACACIA Sprl</t>
  </si>
  <si>
    <t>KWANGO MINES SPRL</t>
  </si>
  <si>
    <t>CHARLY MINING COMPANY SARL</t>
  </si>
  <si>
    <t>KAMI SERVICE DE RECHERCHE ET D'EXPLOITATION SARL</t>
  </si>
  <si>
    <t>Actif-Transformation en Multiple</t>
  </si>
  <si>
    <t>Mai-Ndombe</t>
  </si>
  <si>
    <t>INVESTORS EQUITY LIMITED SPRL</t>
  </si>
  <si>
    <t>Krismat Financial Corporation</t>
  </si>
  <si>
    <t>CLEARSURF NEW MEDIA</t>
  </si>
  <si>
    <t>ADAMANTES SARL</t>
  </si>
  <si>
    <t>MANIEKE TSHITEMBO</t>
  </si>
  <si>
    <t>Actif-En cours de Renonciation partielle</t>
  </si>
  <si>
    <t>Actif-En cours de Renonciation totale</t>
  </si>
  <si>
    <t>BANRO CONGO MINING Sarl</t>
  </si>
  <si>
    <t>CONGO MINERALS EXPLORATION</t>
  </si>
  <si>
    <t>Demande PE Approuvée</t>
  </si>
  <si>
    <t>Christophe PAPADIMITRIOU</t>
  </si>
  <si>
    <t>EBACOR Sprl</t>
  </si>
  <si>
    <t>KGL ISIRO</t>
  </si>
  <si>
    <t>Mondo Mining</t>
  </si>
  <si>
    <t>GROUPE MINIER KASHALA &amp; CHUGBO Sarl</t>
  </si>
  <si>
    <t>CHEMAF KATANGA MINING SPRL</t>
  </si>
  <si>
    <t>MASTERS</t>
  </si>
  <si>
    <t>SOCIETE MINIERE DE KOLWEZI</t>
  </si>
  <si>
    <t>Steve TULUMUNA TULUMUNA</t>
  </si>
  <si>
    <t>MATSHI MINING SARL</t>
  </si>
  <si>
    <t>KASAI MINING AND EXPLORATION LIMITED</t>
  </si>
  <si>
    <t>BITMAK COMPANY Sprl</t>
  </si>
  <si>
    <t>LIDA AFRIMING</t>
  </si>
  <si>
    <t>Socerdemi</t>
  </si>
  <si>
    <t>GOLDBELTS EXPLORATION AND MINING Sprl</t>
  </si>
  <si>
    <t>KANAA SARL</t>
  </si>
  <si>
    <t>BINGOMWA MINES SARL</t>
  </si>
  <si>
    <t>JRI/BCP SPRL</t>
  </si>
  <si>
    <t>Charlotte Mbuinga Ndongo</t>
  </si>
  <si>
    <t>Clément Vununu Pemba</t>
  </si>
  <si>
    <t>Jean-Pierre PFINGU NSUAMI</t>
  </si>
  <si>
    <t>MANDUNDU ZINGA</t>
  </si>
  <si>
    <t>Actif-En cours de Transformation Partielle</t>
  </si>
  <si>
    <t>Actif-Transformation ARPC en AECP</t>
  </si>
  <si>
    <t>LUNGA MINING SARL</t>
  </si>
  <si>
    <t>LAFARGE CIMENTS CONGO</t>
  </si>
  <si>
    <t>IKULU LAMAJANA</t>
  </si>
  <si>
    <t>Actif-Report de Déchéance</t>
  </si>
  <si>
    <t>Nizar Kibwe Amirally</t>
  </si>
  <si>
    <t>Nenga Luwanda Kasimu</t>
  </si>
  <si>
    <t>LIBERTY DIAMOND GROUP Sprl</t>
  </si>
  <si>
    <t>SOCIETE DE DEVELOPPEMENT INDUSTRIEL ET MINIER DU KATANGA</t>
  </si>
  <si>
    <t>OSHUNG CONGO</t>
  </si>
  <si>
    <t>Demande PEPM Approuvée</t>
  </si>
  <si>
    <t>Remec</t>
  </si>
  <si>
    <t>BELAIR MANIEMA SARL</t>
  </si>
  <si>
    <t>WB KASAI INVESTMENTS SPRL</t>
  </si>
  <si>
    <t>ASSOCIATION MINIERE DU KIVU Sprl</t>
  </si>
  <si>
    <t>Boniface NZAU BUKETE</t>
  </si>
  <si>
    <t>Edmond Selemani Salumu</t>
  </si>
  <si>
    <t>COMPAGNIE D'ENGINEERING ET NEGOCE</t>
  </si>
  <si>
    <t>GOLDEN VALLEY SERVICES Ltd</t>
  </si>
  <si>
    <t>IRON MOUNTAIN ENTERPRISES SPRL</t>
  </si>
  <si>
    <t>KATANGA MEGA MINING</t>
  </si>
  <si>
    <t>SOCIETE MINIERE DE MOKU-BEVERENDI</t>
  </si>
  <si>
    <t>STR MINING SPRL</t>
  </si>
  <si>
    <t>HAI NAN INTERNATIONAL RESOURCES MINING DRC SPRL</t>
  </si>
  <si>
    <t>RESHINE CONGO</t>
  </si>
  <si>
    <t>IMPORTATION - REPRESENTATION - COMMERCIALE Sprl</t>
  </si>
  <si>
    <t>MINIERE DU MANIEMA Sprl</t>
  </si>
  <si>
    <t>INTERNATIONAL CONGO AFRICAN MINING</t>
  </si>
  <si>
    <t>ORKA</t>
  </si>
  <si>
    <t>Sophie TUMALEO MWANGE</t>
  </si>
  <si>
    <t>NEW TIME SPRL</t>
  </si>
  <si>
    <t>CONGO MINING ENTREPRISE SA</t>
  </si>
  <si>
    <t>LA BOISSIERE SPRL</t>
  </si>
  <si>
    <t>NGUVIS CORPORATION</t>
  </si>
  <si>
    <t>INTERMINES Sprl</t>
  </si>
  <si>
    <t>CONGO UNITED MINING</t>
  </si>
  <si>
    <t>Droit Octroyé PR-&gt;PE</t>
  </si>
  <si>
    <t>DRC RESOURCE HOLDINGS INC</t>
  </si>
  <si>
    <t>SOCIETE D'EXPLOITATION MINIERES</t>
  </si>
  <si>
    <t>CONGOLESE EXPLORATION COMPAGNIE</t>
  </si>
  <si>
    <t>MEXPO MINERALS Sprl</t>
  </si>
  <si>
    <t>METAL CHEMICAL SARL</t>
  </si>
  <si>
    <t>CONGO STORE SPRL</t>
  </si>
  <si>
    <t>Abdallah HASSAN ALI MOHAMED</t>
  </si>
  <si>
    <t>THERMO METALS PROCESSER</t>
  </si>
  <si>
    <t>LA TERRE COMPANY</t>
  </si>
  <si>
    <t>PISTIS MINING CORPORATION</t>
  </si>
  <si>
    <t>TECHNO BUILD</t>
  </si>
  <si>
    <t>LEK MINING SPRL</t>
  </si>
  <si>
    <t>Sanzetta Investments</t>
  </si>
  <si>
    <t>Richard Madimba Kalala</t>
  </si>
  <si>
    <t>FURNEIKO FIRE EXTRUTIONS</t>
  </si>
  <si>
    <t>EMENTO MANUFACTURING &amp; TRADING SPRL</t>
  </si>
  <si>
    <t>FOSSIL FUEL &amp; METAL CORPORATION Sprl</t>
  </si>
  <si>
    <t>LA GENERALE DES MINES , D'AGRICULTURE ET DU COMMERCE</t>
  </si>
  <si>
    <t>CONGO MINING COMPANY</t>
  </si>
  <si>
    <t>Cogeta</t>
  </si>
  <si>
    <t>Cécile Diba Kapinga</t>
  </si>
  <si>
    <t>Walter NOCA</t>
  </si>
  <si>
    <t>LIBERTY MINING AND INVESTMENTS Sarl</t>
  </si>
  <si>
    <t>TILU MINING</t>
  </si>
  <si>
    <t>SOCIETE OLIVE</t>
  </si>
  <si>
    <t>BLACKSTONE PETROMINERALS Sprl</t>
  </si>
  <si>
    <t>Joseph ITEJO MALANGA</t>
  </si>
  <si>
    <t>NOVA MINING</t>
  </si>
  <si>
    <t>MUNONGA MIKUBA SARL</t>
  </si>
  <si>
    <t>Delille KIZANGA LUMBALA</t>
  </si>
  <si>
    <t>EXCEL DEVELOPMENT</t>
  </si>
  <si>
    <t>LA GENERALE CONGOLAISE SPRL</t>
  </si>
  <si>
    <t>GOLD DRAGON RESSOURCES RDC</t>
  </si>
  <si>
    <t>FAMETAL MINING ET RESSOURCES DRC SPRL</t>
  </si>
  <si>
    <t>SOCIETE GENERALE INDUSTRIELLE</t>
  </si>
  <si>
    <t>Maoni Mining</t>
  </si>
  <si>
    <t>KOUA ET MI</t>
  </si>
  <si>
    <t>Vincent De Paul Lunda Bululu</t>
  </si>
  <si>
    <t>Théophile NYMI PHENE BALENDA</t>
  </si>
  <si>
    <t>OLGA SARL</t>
  </si>
  <si>
    <t>AR MINERALS AND MINING</t>
  </si>
  <si>
    <t>GROUPE KEPPY MUKESH COORPORATION Sprl</t>
  </si>
  <si>
    <t>SOCIETE MINIERE INTERNATIONALE SPRL</t>
  </si>
  <si>
    <t>SOCIETE DES TRAVAUX DE GENIE CIVIL</t>
  </si>
  <si>
    <t>LIMA SARL</t>
  </si>
  <si>
    <t>SOCIETE CONGOLAISE D'AGREGATS</t>
  </si>
  <si>
    <t>HAULCO HAULING COMPANY</t>
  </si>
  <si>
    <t>Stéphie Mushiya Malengu</t>
  </si>
  <si>
    <t>PATIENCE</t>
  </si>
  <si>
    <t>Adèle NDAYA</t>
  </si>
  <si>
    <t>Edouard KAMBALE</t>
  </si>
  <si>
    <t>SOCIETE D'ELEVAGE ET DE COMMERCE</t>
  </si>
  <si>
    <t>LOMAMI RESOURCES SARL</t>
  </si>
  <si>
    <t>EBENDE RESOURCES LIMITED</t>
  </si>
  <si>
    <t>AMBASE EXPLORATION AFRICA Sprl</t>
  </si>
  <si>
    <t>LUMINGU LENGO</t>
  </si>
  <si>
    <t>MAWIDI KAYEMBE</t>
  </si>
  <si>
    <t>SOCIETE MINIERE DE SANDOA</t>
  </si>
  <si>
    <t>M.D. CONSTRUCTION &amp; HIGHT TECHNOLOGY</t>
  </si>
  <si>
    <t>TIDIANE KONE &amp; FREDERICK SPRL</t>
  </si>
  <si>
    <t>AQUALOGZ SPRL</t>
  </si>
  <si>
    <t>THOMAS MUZITO MAVUJI</t>
  </si>
  <si>
    <t>Raphaël SILUVANGI LUMBA</t>
  </si>
  <si>
    <t>Eddy MUANDA LUAKA</t>
  </si>
  <si>
    <t>Gaston KAHILU MBAKA</t>
  </si>
  <si>
    <t>JONGEA SARL</t>
  </si>
  <si>
    <t>SC NEGRO 2000 SRL</t>
  </si>
  <si>
    <t>KWILU BRIQUES SARL</t>
  </si>
  <si>
    <t>Valence MIKANDJI MENGA</t>
  </si>
  <si>
    <t>Medard MULANGALA LWAKABWANGA</t>
  </si>
  <si>
    <t>MICHROT CONGO COMPANY S.A</t>
  </si>
  <si>
    <t>SOMAF CORPORATION S.A</t>
  </si>
  <si>
    <t>Leon KHONDE MAKUNGA</t>
  </si>
  <si>
    <t>Sylvain PALUKU LOLWAKO</t>
  </si>
  <si>
    <t>TRANSKAT SARL</t>
  </si>
  <si>
    <t>François MBATSHI NLIMBA</t>
  </si>
  <si>
    <t>NYUKI CONSTRUCT SARL</t>
  </si>
  <si>
    <t>Mamie MAYINA NGENTSHI</t>
  </si>
  <si>
    <t>Jean Marie MULATU PUATI</t>
  </si>
  <si>
    <t>CONGO ECO-PROJECT</t>
  </si>
  <si>
    <t>TIRAN MINING SPRL</t>
  </si>
  <si>
    <t>CONGO WORLD INVESTMENT</t>
  </si>
  <si>
    <t>Marceline PALIMAU NAMADE</t>
  </si>
  <si>
    <t>Roger GANZUMBA SOGHI</t>
  </si>
  <si>
    <t>BARNET GROUP SARL</t>
  </si>
  <si>
    <t>NONO MINING SARL</t>
  </si>
  <si>
    <t>Godefroid Mankumbwa Yasupa</t>
  </si>
  <si>
    <t>SOCIETE RENZO</t>
  </si>
  <si>
    <t>UNITED AFRICA TIN AND TANTALUM SAS</t>
  </si>
  <si>
    <t>Nestor MUDERHWA KAMOLA</t>
  </si>
  <si>
    <t>Jean Pierre NDOBO MWAMBY</t>
  </si>
  <si>
    <t>Etienne KISUNKA COLA</t>
  </si>
  <si>
    <t>GERASIMOS EVANGELATOS</t>
  </si>
  <si>
    <t>SOCIETE ROTAX INTERNATIONAL Sarl</t>
  </si>
  <si>
    <t>Demande AECP Approuvée</t>
  </si>
  <si>
    <t>SOCIETE MINIERE DE DEVELOPPEMENT</t>
  </si>
  <si>
    <t>SOCIETE D'APPUI LOGISTIQUE DU KATANGA</t>
  </si>
  <si>
    <t>SOLAIZE DRC</t>
  </si>
  <si>
    <t>DEVON RESOURCES SARL</t>
  </si>
  <si>
    <t>ENTREPRISES MINIERE DE MUSOSHI SA</t>
  </si>
  <si>
    <t>LYSE INTERNATIONAL SARL</t>
  </si>
  <si>
    <t>JONATHAN MIRUHO NAMU SHOMBOZA</t>
  </si>
  <si>
    <t>CIMENTERIE DU KIVU SARL</t>
  </si>
  <si>
    <t>ETABLISSEMENTS MAISON MBIZA</t>
  </si>
  <si>
    <t>SR TANMIN</t>
  </si>
  <si>
    <t>MWANA CHIETA MINING SARL</t>
  </si>
  <si>
    <t>Mamie ILUNGA MBUYI</t>
  </si>
  <si>
    <t>EUGO INVESTMENT SARL</t>
  </si>
  <si>
    <t>MINERAL DEVELOPMENT INVESTMENT</t>
  </si>
  <si>
    <t>ZHONGJIN MINING SARL</t>
  </si>
  <si>
    <t>SOCIETE DIVISHO SARL</t>
  </si>
  <si>
    <t>COOPERATIVE MINIERE ET DE SOUS TRAITANCE</t>
  </si>
  <si>
    <t>SPILL CONGO SARL</t>
  </si>
  <si>
    <t>GROUPE LES LEADERS SERVICE SARL</t>
  </si>
  <si>
    <t>CONSTRUCT SERVICES SECURITY SARL</t>
  </si>
  <si>
    <t>SOCIETE INDUSTRIE MINIERE XINYUAN DE TONGLIAO</t>
  </si>
  <si>
    <t>ZHENGWEI TECHNIQUE COOPERATION SARL</t>
  </si>
  <si>
    <t>GROUPE ABK SARL</t>
  </si>
  <si>
    <t>ETABLISSEMENTS NSB GOLDEN SARL</t>
  </si>
  <si>
    <t>ETABLISSEMENTS TRUST SERVICES GROUP</t>
  </si>
  <si>
    <t>Djems KANYINDA NKUADI</t>
  </si>
  <si>
    <t>KAMOLO MINING RESSOURCES SARLU</t>
  </si>
  <si>
    <t>FUANI MUSOLE SARL</t>
  </si>
  <si>
    <t>INVESTISSEMENTS CONGOLAIS EN AFRIQUE AUSTRALE SARL</t>
  </si>
  <si>
    <t>NICO MUSUBAO MATHE</t>
  </si>
  <si>
    <t>ETANA CONGO SARL</t>
  </si>
  <si>
    <t>SOCIETE MINIERE DE LUEBO</t>
  </si>
  <si>
    <t>SOCIETE MINIERE DE L'OKAPI SARL</t>
  </si>
  <si>
    <t>EDDIE KAMANJI MUTOMBO NSENDA</t>
  </si>
  <si>
    <t>COOPERATIVE MINIERE DES POPOY PANGA</t>
  </si>
  <si>
    <t>ESPACE POLYD'OR</t>
  </si>
  <si>
    <t>SOCIETE DE MINES D'OR RESOURCES</t>
  </si>
  <si>
    <t>CARRIERES REUNIES DU KIVU SARL</t>
  </si>
  <si>
    <t>Ocean Construction</t>
  </si>
  <si>
    <t>LES CARRIERES DU CONGO SARL</t>
  </si>
  <si>
    <t>GLOBAL TRADING COMMODITIES SARL</t>
  </si>
  <si>
    <t>K-MINING SARL</t>
  </si>
  <si>
    <t>SOCIETE LMTD SARL</t>
  </si>
  <si>
    <t>SAFI MINING SARL</t>
  </si>
  <si>
    <t>ROAN MINING DEVELOPMENT SARL</t>
  </si>
  <si>
    <t>SOCIETE MANGO TREE MINING SARL</t>
  </si>
  <si>
    <t>NEW SUBIRA CONFORT SARL</t>
  </si>
  <si>
    <t>Actif-En Déchéance_NonCommencement</t>
  </si>
  <si>
    <t>OLYMPIC EXPLORATION DRC SARL</t>
  </si>
  <si>
    <t>SOCIETE MINIERE DE GRAND LAC SARL</t>
  </si>
  <si>
    <t>NYOTA MINING SARL</t>
  </si>
  <si>
    <t>SOCIETE MINIERE DE GRANDS LACS SARL</t>
  </si>
  <si>
    <t>GROUPE NEUF CONSTRUCTION COMPANY SARL</t>
  </si>
  <si>
    <t>EMPIRE RESSOURCES SARL</t>
  </si>
  <si>
    <t>WORLD MINING COMPANY SARL</t>
  </si>
  <si>
    <t>SOCIETE BIG TOTAL MINING SAS</t>
  </si>
  <si>
    <t>AFRICAN CONGO MINING SARL</t>
  </si>
  <si>
    <t>AL HILAL MINING SARL</t>
  </si>
  <si>
    <t>VAGUE MINES SARLU</t>
  </si>
  <si>
    <t>PENGXIN CONGO COBALT ORE TRADE CENTRE SARLU</t>
  </si>
  <si>
    <t>SOCIETE YOROZU MINING SARL</t>
  </si>
  <si>
    <t>GROUP EMANUEL SARL</t>
  </si>
  <si>
    <t>XIANG JIANG MINING SARL</t>
  </si>
  <si>
    <t>ENTREPRISE GENERALE DE CONSTRUCTION ET MINIERE DE GRAND LAC SARL</t>
  </si>
  <si>
    <t>UKAY MINING SARL</t>
  </si>
  <si>
    <t>YELLOW WATER RESSOURCES SARL</t>
  </si>
  <si>
    <t>WANDO MINING SARL</t>
  </si>
  <si>
    <t>GOLDEN TRIO SARL</t>
  </si>
  <si>
    <t>* VISA DT a.i</t>
  </si>
  <si>
    <t>185 000 000 CDF</t>
  </si>
  <si>
    <t>ENRC CONGO BV</t>
  </si>
  <si>
    <t>*Amodiations 2023</t>
  </si>
  <si>
    <t>NOM DE L'AMODIANT</t>
  </si>
  <si>
    <t>NOM DE L'AMODIATAIRE</t>
  </si>
  <si>
    <t>TYPE D'AMODIATION</t>
  </si>
  <si>
    <t>SIGNATURE DU CONTRAT</t>
  </si>
  <si>
    <t>DATE INSCRIPTION</t>
  </si>
  <si>
    <t>LA GENERALE DES CARRIERES ET DES MINES SA</t>
  </si>
  <si>
    <t>Totale</t>
  </si>
  <si>
    <t xml:space="preserve"> KAMOTO COPPER COMPANY</t>
  </si>
  <si>
    <t>KASONGA MINING SARL</t>
  </si>
  <si>
    <t>STE MINIERE DU KATANGA</t>
  </si>
  <si>
    <t>NEW MINERALS INVESTMENT SARL</t>
  </si>
  <si>
    <t>Partielle</t>
  </si>
  <si>
    <t>SOCIETE K-YENE MULTI SERVICES SARL</t>
  </si>
  <si>
    <t>COMPAGNIE MINIERE DE MUSONOIE GLOBAL SAS</t>
  </si>
  <si>
    <t xml:space="preserve">PE </t>
  </si>
  <si>
    <t xml:space="preserve">SOCIETE MINIERE DU KATANGA </t>
  </si>
  <si>
    <t>MINIERE DE KALUKUNDI</t>
  </si>
  <si>
    <t>*Cessions 2023</t>
  </si>
  <si>
    <t>NOM DU CEDANT</t>
  </si>
  <si>
    <t>NOM DU CESSIONNAIRE</t>
  </si>
  <si>
    <t>TYPE DE CESSION</t>
  </si>
  <si>
    <t>INTERLACS SA</t>
  </si>
  <si>
    <t>GREAT LAKES CIMENT SAS</t>
  </si>
  <si>
    <t>TOTALE</t>
  </si>
  <si>
    <t>GOLDLOCHE COMPANY SARL</t>
  </si>
  <si>
    <t>RENZHEN CONGO SARL</t>
  </si>
  <si>
    <t>PROXMIN SARL</t>
  </si>
  <si>
    <t>SSMMAWN LIMITED SARL</t>
  </si>
  <si>
    <t>IKEKETE COPPER MINING SAS</t>
  </si>
  <si>
    <t xml:space="preserve">PR </t>
  </si>
  <si>
    <t>MULOMBA COPPER SAS</t>
  </si>
  <si>
    <t>MUSOKATANDA METAL SAS</t>
  </si>
  <si>
    <t>KAMPEMBA CORPORATION SAS</t>
  </si>
  <si>
    <t>COMMINIERE SA</t>
  </si>
  <si>
    <t>MANONO LITHIUM SAS</t>
  </si>
  <si>
    <t>PARTIELLE</t>
  </si>
  <si>
    <t>JIN XUN CONGO</t>
  </si>
  <si>
    <t>ZHAN FEI MINING SARL</t>
  </si>
  <si>
    <t>*Contrats d'options 2023</t>
  </si>
  <si>
    <t>SOCIETE MINIERE DE BAKWANGA SA</t>
  </si>
  <si>
    <t>ENERGY 24 SARL</t>
  </si>
  <si>
    <t>SOCIETE LBK CONSTRUCION SARL</t>
  </si>
  <si>
    <t>EXCELLENT MINERALS</t>
  </si>
  <si>
    <t>10 000 USD</t>
  </si>
  <si>
    <t>TSHISANGAMA SIMEON</t>
  </si>
  <si>
    <t>HONGKONG EXCELLEN INVESTEMENT CO.LIMITED</t>
  </si>
  <si>
    <t>LIANG FENG</t>
  </si>
  <si>
    <t>08/05/2018</t>
  </si>
  <si>
    <t>公司为卡比拉村更换抽水泵
L’entreprise a aidé le village de Kabila à remplacer deux pompes</t>
  </si>
  <si>
    <t>Villageois du village de Kabila</t>
  </si>
  <si>
    <t>Province : Haut-Katanga，Territoire : Kambove,  Lusha，Village : kabila</t>
  </si>
  <si>
    <t>village de Kabila</t>
  </si>
  <si>
    <t>公司为社区捐款
L’entreprise a fait des dons à la communauté de Lusha</t>
  </si>
  <si>
    <t>Adjoint du chef du village</t>
  </si>
  <si>
    <t>Province : Haut-Katanga，Territoire : Kambove,  Lusha</t>
  </si>
  <si>
    <t>Communauté de Lusha</t>
  </si>
  <si>
    <t>公司为LUPETO学校的50名学生捐款
L’ENTREPRISE A FAIT UN DON À 50 ÉLÈVES DE L’ÉCOLE LUPETO</t>
  </si>
  <si>
    <t>Élèves</t>
  </si>
  <si>
    <t>École de Lusha</t>
  </si>
  <si>
    <t>公司为BLESSING学校的50名学生捐款
L’ENTREPRISE A FAIT UN DON À 50 ÉLÈVES DE L’ÉCOLE BLESSING</t>
  </si>
  <si>
    <t>公司为村长母亲逝世捐款
L’entreprise a fait un don à la mort de la mère du chef du village</t>
  </si>
  <si>
    <t xml:space="preserve"> KIBIKA,Chef du village</t>
  </si>
  <si>
    <t>公司因独立日为社区捐款
L’entreprise a fait un don à la communauté le jour de l’indépendance</t>
  </si>
  <si>
    <t>公司为农学家受伤捐款
L’entreprise a fait un don à des agronomes blessés</t>
  </si>
  <si>
    <t>ANTOINE,Agronom</t>
  </si>
  <si>
    <t>Lusha,EM</t>
  </si>
  <si>
    <t>公司为老村长逝世捐款
L’entreprise a donné de l’argent pour la mort de l’ancien chef du village</t>
  </si>
  <si>
    <t>公司为社区带动就业-召集社区人员在高压线下除草
L’entreprise stimule l’emploi pour la communauté - en rassemblant les membres de la communauté pour désherber sous la ligne à haute tension</t>
  </si>
  <si>
    <t>Résidents de la communauté de Lusha</t>
  </si>
  <si>
    <t>Lusha</t>
  </si>
  <si>
    <t>公司为加丹加酋长就职捐款
L’entreprise a contribué à l’investiture du chef Katanga</t>
  </si>
  <si>
    <t>Bureau du chef du village</t>
  </si>
  <si>
    <t>公司为LUPETO和BLESSING学校的100名学生捐款（助学金捐赠）
L’ENTREPRISE A FAIT UN DON À 100 ÉLÈVES DES ÉCOLES LUPETO ET BLESSING</t>
  </si>
  <si>
    <t>Province : Haut-Katanga，Territoire : Kambove,  Cité : Lusha</t>
  </si>
  <si>
    <t>公司为大酋长办公室捐款
L’entreprise a fait un don au bureau du chef du village</t>
  </si>
  <si>
    <t>village  KATANGA</t>
  </si>
  <si>
    <t>捐款-大酋长到访我司协商农资物品捐赠
L’entreprise a fait un don au bureau du chef du village</t>
  </si>
  <si>
    <t>公司为社区捐赠65袋化肥和种子
L’entreprise a fait don de 65 sacs d’engrais et de semences à la communauté</t>
  </si>
  <si>
    <t>Villageois du village de Lusha</t>
  </si>
  <si>
    <t>Rempli</t>
  </si>
  <si>
    <t>Réponse</t>
  </si>
  <si>
    <t>Lien vers la politique</t>
  </si>
  <si>
    <t>https://barrickgold.sharepoint.com/sites/policies-en</t>
  </si>
  <si>
    <t xml:space="preserve">https://www.glencore.com/publications </t>
  </si>
  <si>
    <t>https://chemaf.com/sustainability/#governance-and-ethics</t>
  </si>
  <si>
    <t>Elle est piubliée sur le site du Groupe mais l'access est limitée (https://metorexgroup.sharepoint.com/:b:/r/Policies/Policies%20Processes%20%20Procedures/Ruashi/New_Procedures_%26_Policies/Administration/RUA-ADM-PR-004%20Ruashi%20Anti-Money%20Laundering%20Policy.pdf?csf=1&amp;web=1&amp;e=yoRKkH)</t>
  </si>
  <si>
    <t>https://en.cmoc.com/html/SustainableDevelopment/PolicyReports/</t>
  </si>
  <si>
    <t>COOPERATIVE DES ARTISANAUX MINIERS DU CONGO</t>
  </si>
  <si>
    <t>A1808015H</t>
  </si>
  <si>
    <t>Serge MULUMBA KALAMBAY</t>
  </si>
  <si>
    <t>Thyda MBUYI MULUMBA</t>
  </si>
  <si>
    <t>Denis MUKALAY MATEMBO</t>
  </si>
  <si>
    <t>Elysée ANDALA BITANGALO</t>
  </si>
  <si>
    <t>243819640601</t>
  </si>
  <si>
    <t>Masisi, Walikale</t>
  </si>
  <si>
    <t>MINERAL METAL TECHNOLOGY</t>
  </si>
  <si>
    <t>SHI CHONG</t>
  </si>
  <si>
    <t>DFSA MINING COMPAGNY</t>
  </si>
  <si>
    <t>A0815517B</t>
  </si>
  <si>
    <t>HITESH CHAG</t>
  </si>
  <si>
    <t>Antoine RUTERA MUHINDAGIGA</t>
  </si>
  <si>
    <t>MMRM SARL</t>
  </si>
  <si>
    <t>INVESTIMINES SARL</t>
  </si>
  <si>
    <t>JEAN LENGO DIA NDINGA</t>
  </si>
  <si>
    <t>42 222 USD</t>
  </si>
  <si>
    <t>WILLEM MINERALS COMPANY (WORLD MINING COMPANY)</t>
  </si>
  <si>
    <t>MICHEL DEPHAYS</t>
  </si>
  <si>
    <t>KITAMBALA Edouard</t>
  </si>
  <si>
    <t>MALIONA Willem</t>
  </si>
  <si>
    <t>ISE MALIONA</t>
  </si>
  <si>
    <t>MULINDWA MALIONA</t>
  </si>
  <si>
    <t>ADISI Mathe</t>
  </si>
  <si>
    <t>DEFAYS Michel</t>
  </si>
  <si>
    <t>2 250 000 USD</t>
  </si>
  <si>
    <t>SOCIETE MINIERE DE KILO-MOTO SA, SOKIMO SA EN SIGLE</t>
  </si>
  <si>
    <t>111 593 900 000 CDF</t>
  </si>
  <si>
    <t>ITURI</t>
  </si>
  <si>
    <t>Société Minière de Kilo Moto</t>
  </si>
  <si>
    <t>https://www.alphaminresources.com/</t>
  </si>
  <si>
    <t>ADUMBI MINING SA (EX KGL SOMITURI SARL)</t>
  </si>
  <si>
    <t>85 860 USD</t>
  </si>
  <si>
    <t>La Société Kilo Goldmines Inc</t>
  </si>
  <si>
    <t>Canadienne</t>
  </si>
  <si>
    <t>Mr. Charles Albert Thys</t>
  </si>
  <si>
    <t>Mr. Jean-Marie Lokanga</t>
  </si>
  <si>
    <t>Mr. Joseph Ntumba Tshimbila</t>
  </si>
  <si>
    <t>Mr. Jean-Claude Mukengheshayi</t>
  </si>
  <si>
    <t>Mr. Christian Mutoke Tshimbila</t>
  </si>
  <si>
    <t xml:space="preserve">Mr. Abraham Chuma Burhole </t>
  </si>
  <si>
    <t>Mr. Benjamin Muyima Ntumba</t>
  </si>
  <si>
    <t>SOCIETE TWANGIZA MINING S.A.R.L</t>
  </si>
  <si>
    <t>IFRS</t>
  </si>
  <si>
    <t xml:space="preserve"> 1 200 000 000 CDF</t>
  </si>
  <si>
    <t>TWANGIZA BARBADOS</t>
  </si>
  <si>
    <t>BARBADOS</t>
  </si>
  <si>
    <t>29/08/2018</t>
  </si>
  <si>
    <t>REHABILITATION DE L'ENVIRONNMENT</t>
  </si>
  <si>
    <t>ASSOCIATION DE CINJIRA/CHEFFERIE DE LUWHINDJA</t>
  </si>
  <si>
    <t>TERRITOIRE DE MWENGA/CHEFFERIE DE LUWHINDJA/GROUPEMENT DE LUCIGA</t>
  </si>
  <si>
    <t>CINJIRA</t>
  </si>
  <si>
    <t>CONVENTION AVEC LA COMMUNAUTE LOCALE DE LA CHEFFERIE DE LUWHINDJA POUR LA REHABILITATION DE L'ENVIRONNEMENT DANS LA LOCALITE DE CINJIRA</t>
  </si>
  <si>
    <t>3 200 000 000 CDF</t>
  </si>
  <si>
    <t>AFRIMET</t>
  </si>
  <si>
    <t>EMIRATE</t>
  </si>
  <si>
    <t>Joseph KAZIBAZIBA</t>
  </si>
  <si>
    <t>Hadley Jareth Natus</t>
  </si>
  <si>
    <t>Sud africaine</t>
  </si>
  <si>
    <t>+243814097205</t>
  </si>
  <si>
    <t>+41798999879</t>
  </si>
  <si>
    <t>Titres miniers de la MIBA au niveau du registre minier au 30 décembre 2022</t>
  </si>
  <si>
    <t>Titres miniers déclarés par la MIBA au niveau de sa déclaration ITIE 2022</t>
  </si>
  <si>
    <t>Situation au niveau du registre minier</t>
  </si>
  <si>
    <t>Kasaï Oriental</t>
  </si>
  <si>
    <t>Kasaï Occidental</t>
  </si>
  <si>
    <t>Non existant au niveau du registre minier au 30 décembre 2022</t>
  </si>
  <si>
    <t>Ecart ACGT-APCSC</t>
  </si>
  <si>
    <t>Montants des contrats reportés par l'ACGT contre les montants réellement payés par la SICOMINE</t>
  </si>
  <si>
    <t>Montants reportés par l'ACGT non encore payés par la SICOMINES</t>
  </si>
  <si>
    <t>Annexe 31 - Fiabilisation des déclaration des Entreprises</t>
  </si>
  <si>
    <t>Entreprise soumise à l'obligation de désigner un CAC (règles de l’OHADA)</t>
  </si>
  <si>
    <t>Entreprise non soumise à l'obligation de désigner un CAC (règles de l’OHADA)</t>
  </si>
  <si>
    <t>FD 2022 certifié par l'IGF (Pour les EP seulement)</t>
  </si>
  <si>
    <t>FD 2022 certifié</t>
  </si>
  <si>
    <t>EF 2022 certifiés</t>
  </si>
  <si>
    <t>Autres documents signés par le CAC certifiant les EF 2022</t>
  </si>
  <si>
    <t>Pour les EP</t>
  </si>
  <si>
    <t>EF 2022 certifiés publiés</t>
  </si>
  <si>
    <t>Lien vers la publication des EF (Pour les EP)</t>
  </si>
  <si>
    <t>Entreprises Extractives</t>
  </si>
  <si>
    <t>EP/Privée</t>
  </si>
  <si>
    <t>Nature du document</t>
  </si>
  <si>
    <t>Nbr. Ayant soumis FD</t>
  </si>
  <si>
    <t>Privée</t>
  </si>
  <si>
    <t>Nbr</t>
  </si>
  <si>
    <t>Niveau de fiabilité</t>
  </si>
  <si>
    <t>Secteur des hydrocarbures</t>
  </si>
  <si>
    <t>Secteur pétrolier</t>
  </si>
  <si>
    <t>Secteur minier</t>
  </si>
  <si>
    <t>PERENCO ODS LTD</t>
  </si>
  <si>
    <t>Gecamines EF 2022</t>
  </si>
  <si>
    <t>Rapport CAC 2022, Balance des Comptes généraux 2022, Bilan au 31/12/2022</t>
  </si>
  <si>
    <t>Rapport du Commissaire aux Comptes</t>
  </si>
  <si>
    <t xml:space="preserve"> SOCIETE MINIERE DE DEZIWA SAS (SOMIDEZ)</t>
  </si>
  <si>
    <t>Etats financiers CPCC Volets 1 et 2</t>
  </si>
  <si>
    <t>Etats financiers annuels et Etats financiers fiscaux et parafiscaux</t>
  </si>
  <si>
    <t>FD signés</t>
  </si>
  <si>
    <t>FD  contreseing de la Cour des comptes</t>
  </si>
  <si>
    <t>Elevé</t>
  </si>
  <si>
    <t xml:space="preserve">Annexe 32 - Analyse de la répartition de la redevance minières entre les différentes entités bénéficiaires </t>
  </si>
  <si>
    <t>Annexe 33 – Dépenses sociales obligatoires secteur minier</t>
  </si>
  <si>
    <t>Annexe 34  – Dépenses sociales volontaires secteur minier</t>
  </si>
  <si>
    <t>Annexe 35  – Dépenses sociales obligatoires secteur pétrolier</t>
  </si>
  <si>
    <t>Annexe 36  – Dépenses environmentales obligatoires secteur minier</t>
  </si>
  <si>
    <t>Annexe 37 - Politique Environnementale, sociale et genre -secteur minier</t>
  </si>
  <si>
    <t>Annexe 38 - Politique Environnementale, sociale et genre -secteur pétrolier</t>
  </si>
  <si>
    <t>Annexe 39 - Détails des revenus globaux par société (secteur minier)</t>
  </si>
  <si>
    <t>Annexe 40 - Détails des revenus globaux par flux (secteur minier)</t>
  </si>
  <si>
    <t>Annexe 41 - Détails des revenus globaux par flux (secteur pétrolier)</t>
  </si>
  <si>
    <t>Annexe 42 - Détails des revenus budgétaires par société (secteur minier)</t>
  </si>
  <si>
    <t>Annexe 43 - Détails des revenus budgétaires par flux (secteur minier)</t>
  </si>
  <si>
    <t>Annexe 44 - Détails des revenus budgétaires par flux (secteur pétrolier)</t>
  </si>
  <si>
    <t>Annexe 45 - Registre des droits minier au 31 décembre 2022</t>
  </si>
  <si>
    <t>Annexe 46 - Opérations de transferts sur les titres miniers en 2023</t>
  </si>
  <si>
    <t>FD certifiés IGF</t>
  </si>
  <si>
    <t>Régies financières</t>
  </si>
  <si>
    <t>KIBALI GOLD MINE</t>
  </si>
  <si>
    <t>CRM (partenaire sakima) ( CRM )</t>
  </si>
  <si>
    <t>Autres bénéficiaires</t>
  </si>
  <si>
    <t>Frais de dépôt du dossier de la demande</t>
  </si>
  <si>
    <t>DRHL</t>
  </si>
  <si>
    <t>Frais d'analyse et d'expertise &amp; taxe rémunératoire</t>
  </si>
  <si>
    <t>Pas-de-Porte (50%)/Bonus de transfert versé à l'Etat</t>
  </si>
  <si>
    <t>Chefferie de Bahunde</t>
  </si>
  <si>
    <t>Chefferie de Buhavu</t>
  </si>
  <si>
    <t>SECTEUR BITULE</t>
  </si>
  <si>
    <t>SECTEUR KIBALI</t>
  </si>
  <si>
    <t>DOT KGM</t>
  </si>
  <si>
    <t>SECTEUR DE MANGBUTU</t>
  </si>
  <si>
    <t>CHEFFERIE LOGO DOKA</t>
  </si>
  <si>
    <t>CHEFFERIE MARIMINZA</t>
  </si>
  <si>
    <t>CHEFFERIE LOGO OGAMBI</t>
  </si>
  <si>
    <t>DOT ALPHAMIN</t>
  </si>
  <si>
    <t>DGRTANG</t>
  </si>
  <si>
    <t>Sans nom</t>
  </si>
  <si>
    <t>Taxe 1% sur les produits de transaction des matières précieuses  d'exploitation artisanale</t>
  </si>
  <si>
    <t xml:space="preserve"> AUDISHA SARL</t>
  </si>
  <si>
    <t>BAOXING</t>
  </si>
  <si>
    <t>PYT AGST ON A/C</t>
  </si>
  <si>
    <t>ETS OLYMPUS GROUP NYAKURA STANDUD SARS</t>
  </si>
  <si>
    <t>SAGA</t>
  </si>
  <si>
    <t>RATEL METAL</t>
  </si>
  <si>
    <t>SOCIETE DES SERVICES MINIERS</t>
  </si>
  <si>
    <t xml:space="preserve">CONGO ENV </t>
  </si>
  <si>
    <t>METALS MINES SARL</t>
  </si>
  <si>
    <t>GROUPE SIX</t>
  </si>
  <si>
    <t>MINIERE DE L EST DU CONGO SARL</t>
  </si>
  <si>
    <t>SUCCESS THREE MINING SARL</t>
  </si>
  <si>
    <t>MWANGAZA Sarl</t>
  </si>
  <si>
    <t>AMIRAC</t>
  </si>
  <si>
    <t>COAB6143/688</t>
  </si>
  <si>
    <t>BOKONDA BALELA FAUSTIN ETS JEDR</t>
  </si>
  <si>
    <t>SEGMAL SPRL</t>
  </si>
  <si>
    <t>XTRACT</t>
  </si>
  <si>
    <t>CONGO ENVIRONEMENT</t>
  </si>
  <si>
    <t>IDI</t>
  </si>
  <si>
    <t>OVK MNG</t>
  </si>
  <si>
    <t>ETS JEDRA</t>
  </si>
  <si>
    <t>SOCIETE DITHER SARLU</t>
  </si>
  <si>
    <t>COMP MIN ORIEN IND</t>
  </si>
  <si>
    <t>OKL MNG</t>
  </si>
  <si>
    <t>SOCIETE GENERALE DES CARRIERES ET MINES DU CONGO SARL</t>
  </si>
  <si>
    <t>COMP MIN ORIENT IND</t>
  </si>
  <si>
    <t>BM METAL CORPORATION</t>
  </si>
  <si>
    <t>GUIICHON LUIZA</t>
  </si>
  <si>
    <t>ALNA MNG</t>
  </si>
  <si>
    <t>MDI</t>
  </si>
  <si>
    <t>VIHAR MINING SARL</t>
  </si>
  <si>
    <t>EMEURAUDE MINING</t>
  </si>
  <si>
    <t>MUSHIMA MNG</t>
  </si>
  <si>
    <t>GP SIX</t>
  </si>
  <si>
    <t>GOTRAYS</t>
  </si>
  <si>
    <t>LAUCH MEK SARLU</t>
  </si>
  <si>
    <t>MING KTANGA</t>
  </si>
  <si>
    <t>GRIDLOCK CONGO MINING SARLU</t>
  </si>
  <si>
    <t>SANKURU GLOB</t>
  </si>
  <si>
    <t>KILOBELOBE</t>
  </si>
  <si>
    <t>MIMINCO</t>
  </si>
  <si>
    <t>CONGO GREE METAL</t>
  </si>
  <si>
    <t>AFRICA HOLDING MINING SARL</t>
  </si>
  <si>
    <t>KISENDA</t>
  </si>
  <si>
    <t>MIN LUBUTU</t>
  </si>
  <si>
    <t>KUNDELGU MING</t>
  </si>
  <si>
    <t>AFRIQUE ENERGIE MANNING SARL</t>
  </si>
  <si>
    <t>GOTRA TRADE</t>
  </si>
  <si>
    <t>GUANG DA AFRIQUE</t>
  </si>
  <si>
    <t>KABONGO</t>
  </si>
  <si>
    <t>CANADIAN MING</t>
  </si>
  <si>
    <t>CINAT</t>
  </si>
  <si>
    <t>TEMBO MINING AND SERVICES Sarl</t>
  </si>
  <si>
    <t>LUROMIMA MINING Sarl</t>
  </si>
  <si>
    <t>LUAPULA SARL</t>
  </si>
  <si>
    <t>INVESTMENT ET DEV IM</t>
  </si>
  <si>
    <t>IN PUT MING</t>
  </si>
  <si>
    <t>ZK MULTI SERVICES Sarl</t>
  </si>
  <si>
    <t>SOCIETE COOPERATIVE KIZAMINES SINDANI</t>
  </si>
  <si>
    <t>ETS KIVU VICTORY WMC</t>
  </si>
  <si>
    <t>FORTUNE CONSTRUCTION CONGO Sarl</t>
  </si>
  <si>
    <t>MAISON LA VICTOIRE/NYIRANGONGO CIMENT</t>
  </si>
  <si>
    <t>GOLIN RESS</t>
  </si>
  <si>
    <t>SGE</t>
  </si>
  <si>
    <t>ORACLE MING</t>
  </si>
  <si>
    <t>MUYA RSS</t>
  </si>
  <si>
    <t xml:space="preserve">INVEST ET DEV </t>
  </si>
  <si>
    <t>GP NEUF</t>
  </si>
  <si>
    <t xml:space="preserve">CDMC ENTITE </t>
  </si>
  <si>
    <t>KASI RESS</t>
  </si>
  <si>
    <t xml:space="preserve">PILI PILI SHOP </t>
  </si>
  <si>
    <t>MIKUBA MINING Sarl</t>
  </si>
  <si>
    <t>MUSHIMA</t>
  </si>
  <si>
    <t>LUANZO INVESTISSEMENT SARL</t>
  </si>
  <si>
    <t>SADIKI BUSINESS</t>
  </si>
  <si>
    <t>GOLIN RSS</t>
  </si>
  <si>
    <t>CIMENTERIE DU CONGO "CICO" SPRL</t>
  </si>
  <si>
    <t>SALEM MINING SARL</t>
  </si>
  <si>
    <t>BOSWA</t>
  </si>
  <si>
    <t>BENEFONE MINING</t>
  </si>
  <si>
    <t>GROUP SIX COMPY</t>
  </si>
  <si>
    <t>GICC ET DMC</t>
  </si>
  <si>
    <t>YEA HONG</t>
  </si>
  <si>
    <t>ETS JEAN CLAUDE NOVCORP SARLU</t>
  </si>
  <si>
    <t>TALVO SARL</t>
  </si>
  <si>
    <t>BENEDICTION WMC</t>
  </si>
  <si>
    <t>JK MINERALS</t>
  </si>
  <si>
    <t>AMIBOD</t>
  </si>
  <si>
    <t>BUSINEES KAMANDA</t>
  </si>
  <si>
    <t>MUYA RESS</t>
  </si>
  <si>
    <t xml:space="preserve">MINIER DE NDUBA </t>
  </si>
  <si>
    <t>KAMAO COPPER</t>
  </si>
  <si>
    <t>SOMILO</t>
  </si>
  <si>
    <t>MME MASSIYA</t>
  </si>
  <si>
    <t>LONCOR</t>
  </si>
  <si>
    <t>ETS LES CADETS BUSIN BAMBAGA</t>
  </si>
  <si>
    <t>MTC</t>
  </si>
  <si>
    <t>LA GRACE FUJI</t>
  </si>
  <si>
    <t>COMP MINIERE DU KIVU</t>
  </si>
  <si>
    <t>CIMENTERIE DE MAIKO</t>
  </si>
  <si>
    <t>D&amp;W MINING</t>
  </si>
  <si>
    <t>RENZHEN INTERNATIONAL DEV. INSTIT. LTD</t>
  </si>
  <si>
    <t>ETS ROMAINS_CONGO XIAXIN</t>
  </si>
  <si>
    <t>SERVICELOCAL DE CARRIERE SARL</t>
  </si>
  <si>
    <t>AFRICA INFRASTRUCTURES DEVELOPPEMENT SARL</t>
  </si>
  <si>
    <t>SOCIETE D APPUI LOGISTIQUE DU KATANGA Sarl</t>
  </si>
  <si>
    <t>JK MINERAL</t>
  </si>
  <si>
    <t>COOPERATIVE MINIERE BONHEUR POUR TOUS S.A.S</t>
  </si>
  <si>
    <t>PAMOJA</t>
  </si>
  <si>
    <t>NGANDU MNG</t>
  </si>
  <si>
    <t>BOLDROCK</t>
  </si>
  <si>
    <t>CRUSHING 4 CONGO SARL</t>
  </si>
  <si>
    <t>REJIMALIK</t>
  </si>
  <si>
    <t>SOTRAGEC SPRL</t>
  </si>
  <si>
    <t>KBE SPRL</t>
  </si>
  <si>
    <t>SOCIETE DE CIMENTERIE INDUSTRIELLE DU CONGO Sarl</t>
  </si>
  <si>
    <t>KOPPA</t>
  </si>
  <si>
    <t>NUMBI EXPLORATION SARL</t>
  </si>
  <si>
    <t>HOPE CONNECT</t>
  </si>
  <si>
    <t>IDI ET QUANTUM</t>
  </si>
  <si>
    <t>ETS SOLEX CHANGE</t>
  </si>
  <si>
    <t>CONGO CAILLACE</t>
  </si>
  <si>
    <t>IBJ</t>
  </si>
  <si>
    <t>TERRA CONGO MINING SARLU</t>
  </si>
  <si>
    <t>BAZEGA</t>
  </si>
  <si>
    <t>MK</t>
  </si>
  <si>
    <t>AFRICA COOLING SARLU</t>
  </si>
  <si>
    <t>SEKELE NORD KIVU</t>
  </si>
  <si>
    <t>DUNIA BAKARANI FAUSTIN</t>
  </si>
  <si>
    <t>RASHIDI MINANI</t>
  </si>
  <si>
    <t>NANKAFU KULIMUSHI</t>
  </si>
  <si>
    <t>EXPORTATION CCASSI LOT 17/WMC</t>
  </si>
  <si>
    <t>EXPORT CASSITERITE</t>
  </si>
  <si>
    <t>ETS MOBIL PHONE AMUR</t>
  </si>
  <si>
    <t>OXOR CAPITAL SARL</t>
  </si>
  <si>
    <t>MUSHERA AKONKWA</t>
  </si>
  <si>
    <t>SANKURU</t>
  </si>
  <si>
    <t>SAFRICAS</t>
  </si>
  <si>
    <t>WANAINCHI PRECIOUS METAL</t>
  </si>
  <si>
    <t>BMC</t>
  </si>
  <si>
    <t>NEK MING</t>
  </si>
  <si>
    <t>BIHSU RES</t>
  </si>
  <si>
    <t>MANONO MINERALS</t>
  </si>
  <si>
    <t>GP MBAKA</t>
  </si>
  <si>
    <t>YELLOW STONE SARL</t>
  </si>
  <si>
    <t>NACE GOLD BUSINESS SARLU</t>
  </si>
  <si>
    <t>SUNG JEON INTERNATIONAL SARL</t>
  </si>
  <si>
    <t>CONGO MINING BUSINESS AND INVESTMENTS SARL</t>
  </si>
  <si>
    <t>AGE AFRICA HOLDINGS SARL</t>
  </si>
  <si>
    <t>KIMIA GOLD RESSOURCES SARL</t>
  </si>
  <si>
    <t>GENERALE DE CONSULTANCE</t>
  </si>
  <si>
    <t>VICENT MINING Sarlu</t>
  </si>
  <si>
    <t>KIVU TRUST</t>
  </si>
  <si>
    <t xml:space="preserve">HOPE CONNECT </t>
  </si>
  <si>
    <t>AMBA RSS</t>
  </si>
  <si>
    <t>BAXING RDC</t>
  </si>
  <si>
    <t>REGIDESO</t>
  </si>
  <si>
    <t>CARRIERE DE GRES ET DE SABLES Sarl</t>
  </si>
  <si>
    <t>MINIER DE EST</t>
  </si>
  <si>
    <t>GROUPE NEUF</t>
  </si>
  <si>
    <t>CONGO CANADIAN</t>
  </si>
  <si>
    <t>IN PUT MNG</t>
  </si>
  <si>
    <t>ACCN MNG</t>
  </si>
  <si>
    <t>QUALITY CORPORATE MINING SARL</t>
  </si>
  <si>
    <t>POPA MINING</t>
  </si>
  <si>
    <t>SAM ET COMPAGNIE Sarl</t>
  </si>
  <si>
    <t>IMMOBAJE Sarl</t>
  </si>
  <si>
    <t>NTONTO WTA</t>
  </si>
  <si>
    <t>ORACLE</t>
  </si>
  <si>
    <t>D&amp;W MINING SARL</t>
  </si>
  <si>
    <t>GOTRAND</t>
  </si>
  <si>
    <t>DITHER SARLU</t>
  </si>
  <si>
    <t>CONGO MING DEV</t>
  </si>
  <si>
    <t>MINIERE ITURI MINERAL Sarl</t>
  </si>
  <si>
    <t>PEVELE Sarl</t>
  </si>
  <si>
    <t>SOCIETE MINIERE ITURI MINERAL</t>
  </si>
  <si>
    <t>BRAINSTORM MINING SARL</t>
  </si>
  <si>
    <t>CONGO HOPE INVESTMENT SARL</t>
  </si>
  <si>
    <t>SOCIETE TSHILEMB MANUFACTURE SA</t>
  </si>
  <si>
    <t>WALE CARRIERES SARL</t>
  </si>
  <si>
    <t>Taxe sur Autorisation d'exploitation des eaux naturelles de surface ou souteraines</t>
  </si>
  <si>
    <t>Taxe de statistiques (ST)</t>
  </si>
  <si>
    <t>Rapport CAC 2022</t>
  </si>
  <si>
    <t>Rapports général et spécial du Commissaire aux comptes</t>
  </si>
  <si>
    <t>Rapport du CAC sur les états financiers</t>
  </si>
  <si>
    <t>Rapport du CAC</t>
  </si>
  <si>
    <t>Documents DGRAD, DGI &amp; Etats financiers annuels et Etats financiers fiscaux et parafiscaux</t>
  </si>
  <si>
    <t>Moyen</t>
  </si>
  <si>
    <t>% Part dans les recettes globales</t>
  </si>
  <si>
    <t>Evaluation globale</t>
  </si>
  <si>
    <t xml:space="preserve">En % des recettes globales </t>
  </si>
  <si>
    <t>Global</t>
  </si>
  <si>
    <t>Entité</t>
  </si>
  <si>
    <t>Provinces</t>
  </si>
  <si>
    <t>Cahiers de charges approuvés par l'autorité compétente</t>
  </si>
  <si>
    <t>Cahiers des charges approuvés par la CPI non encore approuvés par l'autorité compétente</t>
  </si>
  <si>
    <t>Cahiers des charges en cours d’instruction</t>
  </si>
  <si>
    <t>Cahiers des charges en cours de négociation</t>
  </si>
  <si>
    <t>Cahiers de charges signés avec les communautés non transmis à la CPI pour instruction</t>
  </si>
  <si>
    <t xml:space="preserve">15 : SOMIKA, SOCIETE DE TRAITEMENT DU TERRIL DE LUBUMBASHI, MMG KINSEVERE, EXCELLEN MINING MINERALS, FRONTIER, RUBAMIN, ANVIL MINING CONGO, KISENDA COPPER COMPANY, COMILU, SABWE MINING, KAIPENG MINING, SHAMITUMBA, DIVINE LAND MINING SARL, SOMIKA SARLU/Projet KIMPE-MABAYA, CHEMAF (PE 577) </t>
  </si>
  <si>
    <t>26 : MINIERE DE KASOMBO, COMIKA, NEW MINERALS INVESTMENT(1305), CONGO JIN JU CHENG, EVERBRIGHT MINING, METAL MINES, KAMBOVE MINING, CNMC CONGO COMPAGNIE MINIERE, LUALABA MINING RESSOURCES, SHITURU MINING CORPORATION, MACROLINK JIAYUAN MINING, CONGO DONG FANG INTERNATIONAL MINING, CNMC HUACHIN METAL LEACH(12094), CNMC HUACHIN MABENDE MINING(PE1060), SHAMITUMBA, SMCO, RUBAMIN, ETT MJM, MIKAS (PE13120), CHEMAF 577, RUASHI MINING (PE578), KICC (PE101), SOMIKA LUPOPO, SOMIKA KIMPE, CNMC CONGO COMPAGNIE (PE2356), KAIPENG MINING ETT</t>
  </si>
  <si>
    <t>7 : GRANDE CIMENTERIE DU KATANGA, CONGO INVESTMENT CORPORATION, GOLDEN AFRICA RESSOURCES, SOURYA MINING, SODIMICO, SOMINKO SARLU, BOSS MINING</t>
  </si>
  <si>
    <t>7 : OM METAL RESSOURCES, MINIERE DE KASONTA, FMR DEVELOPEMENT, MINING PROGRESS COMPANY, ENTREPRISE GENERALE MALTA FOREST</t>
  </si>
  <si>
    <t xml:space="preserve">KIPUSHI CORPORATION </t>
  </si>
  <si>
    <t>21 : KAMOA COPPER, METALKOL SA, MKM, COMMUS SAS, SICOMINES S.A, CARRILU, CMOC KINSAFU I, COMIDE, LUILU RESSOURCES, LCS, KCC, SOMIDEZ SAS, MUTANDA MINING, TFM, HMC, CCR, LAMIKAL, KISANFU MINING, KALONGWE MINING, CMOC KINSAFU II et TCC</t>
  </si>
  <si>
    <t xml:space="preserve">2 : KAMOTO COPPER COMPANY ET CJCMC ETT </t>
  </si>
  <si>
    <t>4 : COMIDE ; SURYA MINING, BOSS MINING, MMT, EGMF</t>
  </si>
  <si>
    <t xml:space="preserve">4 : CHEMAF, THOMAS MINING, ENTREPRISE GENERALE MALTA FOREST, MMT </t>
  </si>
  <si>
    <t>Kasai-Oriental</t>
  </si>
  <si>
    <t>SACIM</t>
  </si>
  <si>
    <t>KIBALI GOLDMINE</t>
  </si>
  <si>
    <t>Ville de Kinshasa</t>
  </si>
  <si>
    <t>Kongo-Central</t>
  </si>
  <si>
    <t>ALPHAMIN BISIE</t>
  </si>
  <si>
    <t>III.3.1. CMOC KISANFU SARL (LUALABA)</t>
  </si>
  <si>
    <t>LES PROJETS DONT LE TAUX DE REALISATION EST ESTIME A 100%</t>
  </si>
  <si>
    <t>SOURCE</t>
  </si>
  <si>
    <t>ACTIONS PREVUES</t>
  </si>
  <si>
    <t>Coût ($)</t>
  </si>
  <si>
    <t>ECHEANCIER</t>
  </si>
  <si>
    <t>NIVEAU D’EXECUTION</t>
  </si>
  <si>
    <t>Forage d’un puits équipé d’une pompe solaire</t>
  </si>
  <si>
    <t>78.500</t>
  </si>
  <si>
    <t>Votre rapport N/Réf 378/DG/KFM/20230823</t>
  </si>
  <si>
    <t>Rénovation des puits dans les villages de l’espace géographique identifié</t>
  </si>
  <si>
    <t>1.500</t>
  </si>
  <si>
    <t>Etude de faisabilité d’électrification</t>
  </si>
  <si>
    <t>25.000</t>
  </si>
  <si>
    <t>2019-2020</t>
  </si>
  <si>
    <t>Formation en agriculture</t>
  </si>
  <si>
    <t>75.000</t>
  </si>
  <si>
    <t>2019-2024</t>
  </si>
  <si>
    <t>Electrification de Kisanfu, quartier Kando</t>
  </si>
  <si>
    <t>Alphabétisation et renforcement des capacités des femmes, Hommes et des jeunes</t>
  </si>
  <si>
    <t>2020-2025</t>
  </si>
  <si>
    <t>50.000</t>
  </si>
  <si>
    <r>
      <t>1</t>
    </r>
    <r>
      <rPr>
        <vertAlign val="superscript"/>
        <sz val="10"/>
        <color theme="1"/>
        <rFont val="Verdana"/>
        <family val="2"/>
      </rPr>
      <t xml:space="preserve">ére </t>
    </r>
    <r>
      <rPr>
        <sz val="10"/>
        <color theme="1"/>
        <rFont val="Verdana"/>
        <family val="2"/>
      </rPr>
      <t>Trimestre 2022</t>
    </r>
  </si>
  <si>
    <t>Extension de l’école de Mayeba</t>
  </si>
  <si>
    <t>80.000</t>
  </si>
  <si>
    <t>Eau, Hygiene et Assainissement</t>
  </si>
  <si>
    <r>
      <t>1</t>
    </r>
    <r>
      <rPr>
        <vertAlign val="superscript"/>
        <sz val="10"/>
        <color theme="1"/>
        <rFont val="Verdana"/>
        <family val="2"/>
      </rPr>
      <t xml:space="preserve">ére </t>
    </r>
    <r>
      <rPr>
        <sz val="10"/>
        <color theme="1"/>
        <rFont val="Verdana"/>
        <family val="2"/>
      </rPr>
      <t>Trimestre  2022</t>
    </r>
  </si>
  <si>
    <t>Accès aux services de santé dans les villages ruraux</t>
  </si>
  <si>
    <t>20.000</t>
  </si>
  <si>
    <t>Education à la santé et formation des agents de santé communautaire</t>
  </si>
  <si>
    <t xml:space="preserve">15.000 </t>
  </si>
  <si>
    <t>1OO %</t>
  </si>
  <si>
    <t>LES PROJETS DONT LE TAUX DE REALISATION EST ESTIME A PLUS de 50%</t>
  </si>
  <si>
    <t xml:space="preserve"> LES PROJETS DONT LE TAUX DE REALISATION EST ESTIME A MOINS de 50%</t>
  </si>
  <si>
    <t>LES PROJETS NON REALISES PAR RAPPORT AU CHRONOGRAMME PREVU</t>
  </si>
  <si>
    <t xml:space="preserve">Route d’accès au Mayeba/marché </t>
  </si>
  <si>
    <t>15.000</t>
  </si>
  <si>
    <t>III.3.2. LA SOCIETE MINIERE DE KALUKUNDI SARL (LUALABA)</t>
  </si>
  <si>
    <r>
      <t>N</t>
    </r>
    <r>
      <rPr>
        <vertAlign val="superscript"/>
        <sz val="10"/>
        <color rgb="FF000000"/>
        <rFont val="Verdana"/>
        <family val="2"/>
      </rPr>
      <t>O</t>
    </r>
  </si>
  <si>
    <t>Construction d’une salle polyvalente et équipement à la rive gauche de Pumpi.</t>
  </si>
  <si>
    <t>30.000</t>
  </si>
  <si>
    <t>2ème semestre 2020</t>
  </si>
  <si>
    <t>Rapport d’inspection</t>
  </si>
  <si>
    <t>Formation locale des membres du CLD et des acteurs clés de la communauté à Pumpi</t>
  </si>
  <si>
    <t>10.000</t>
  </si>
  <si>
    <r>
      <t>2</t>
    </r>
    <r>
      <rPr>
        <vertAlign val="superscript"/>
        <sz val="10"/>
        <color theme="1"/>
        <rFont val="Verdana"/>
        <family val="2"/>
      </rPr>
      <t>ème</t>
    </r>
    <r>
      <rPr>
        <sz val="10"/>
        <color theme="1"/>
        <rFont val="Verdana"/>
        <family val="2"/>
      </rPr>
      <t xml:space="preserve"> semestre 2020 et 1</t>
    </r>
    <r>
      <rPr>
        <vertAlign val="superscript"/>
        <sz val="10"/>
        <color theme="1"/>
        <rFont val="Verdana"/>
        <family val="2"/>
      </rPr>
      <t>er</t>
    </r>
    <r>
      <rPr>
        <sz val="10"/>
        <color theme="1"/>
        <rFont val="Verdana"/>
        <family val="2"/>
      </rPr>
      <t xml:space="preserve"> semestre 2021</t>
    </r>
  </si>
  <si>
    <t>Construction d’une école primaire viable et équipement à Pumpi, à la rive gauche RN n°39 (Kolwezi-Lubumbashi).</t>
  </si>
  <si>
    <t>164.000</t>
  </si>
  <si>
    <r>
      <t>1</t>
    </r>
    <r>
      <rPr>
        <vertAlign val="superscript"/>
        <sz val="10"/>
        <color theme="1"/>
        <rFont val="Verdana"/>
        <family val="2"/>
      </rPr>
      <t>er</t>
    </r>
    <r>
      <rPr>
        <sz val="10"/>
        <color theme="1"/>
        <rFont val="Verdana"/>
        <family val="2"/>
      </rPr>
      <t>Trimestre 2021</t>
    </r>
  </si>
  <si>
    <t>LES PROJETS DONT LE TAUX DE REALISATION EST ESTIME A MOINS DE 50%</t>
  </si>
  <si>
    <t>LES PROJETS NON REALISESPAR RAPPORT AU CHRONOGRAMME PREVU</t>
  </si>
  <si>
    <t>Construction d’un Centre de Santé + Equipements</t>
  </si>
  <si>
    <t>255.000</t>
  </si>
  <si>
    <r>
      <t xml:space="preserve">1 </t>
    </r>
    <r>
      <rPr>
        <vertAlign val="superscript"/>
        <sz val="10"/>
        <color theme="1"/>
        <rFont val="Verdana"/>
        <family val="2"/>
      </rPr>
      <t>ére</t>
    </r>
    <r>
      <rPr>
        <sz val="10"/>
        <color theme="1"/>
        <rFont val="Verdana"/>
        <family val="2"/>
      </rPr>
      <t>semestre 2022</t>
    </r>
  </si>
  <si>
    <t>Situation à vérifier sur terrain</t>
  </si>
  <si>
    <t>Constructions des puits de forage (Fontaine)</t>
  </si>
  <si>
    <t>60.000</t>
  </si>
  <si>
    <r>
      <t>4</t>
    </r>
    <r>
      <rPr>
        <vertAlign val="superscript"/>
        <sz val="10"/>
        <color theme="1"/>
        <rFont val="Verdana"/>
        <family val="2"/>
      </rPr>
      <t>ème</t>
    </r>
    <r>
      <rPr>
        <sz val="10"/>
        <color theme="1"/>
        <rFont val="Verdana"/>
        <family val="2"/>
      </rPr>
      <t xml:space="preserve">semestre 2020 </t>
    </r>
  </si>
  <si>
    <r>
      <t xml:space="preserve">III.3.3. SOCIETE MINIERE DE KALUMBWE MYUNGA </t>
    </r>
    <r>
      <rPr>
        <sz val="10"/>
        <color theme="1"/>
        <rFont val="Verdana"/>
        <family val="2"/>
      </rPr>
      <t>(LUALABA)</t>
    </r>
  </si>
  <si>
    <r>
      <t>N</t>
    </r>
    <r>
      <rPr>
        <vertAlign val="superscript"/>
        <sz val="10"/>
        <color rgb="FF000000"/>
        <rFont val="Verdana"/>
        <family val="2"/>
      </rPr>
      <t>°</t>
    </r>
  </si>
  <si>
    <t>Appui aux agriculteurs en intrants, matériels aratoires et tenues de terrain aux villages Kisanfu, Kawama, Mumba, Kawala, Bwasalangana, Mayeba, Dikanda et Mibanze (120 bénéficiaires soit 8 groupes de 15 agriculteurs)</t>
  </si>
  <si>
    <r>
      <t>3</t>
    </r>
    <r>
      <rPr>
        <vertAlign val="superscript"/>
        <sz val="10"/>
        <color theme="1"/>
        <rFont val="Verdana"/>
        <family val="2"/>
      </rPr>
      <t>ème</t>
    </r>
    <r>
      <rPr>
        <sz val="10"/>
        <color theme="1"/>
        <rFont val="Verdana"/>
        <family val="2"/>
      </rPr>
      <t xml:space="preserve"> trimestre 2021  (1</t>
    </r>
    <r>
      <rPr>
        <vertAlign val="superscript"/>
        <sz val="10"/>
        <color theme="1"/>
        <rFont val="Verdana"/>
        <family val="2"/>
      </rPr>
      <t>ère</t>
    </r>
    <r>
      <rPr>
        <sz val="10"/>
        <color theme="1"/>
        <rFont val="Verdana"/>
        <family val="2"/>
      </rPr>
      <t xml:space="preserve"> phase). 3</t>
    </r>
    <r>
      <rPr>
        <vertAlign val="superscript"/>
        <sz val="10"/>
        <color theme="1"/>
        <rFont val="Verdana"/>
        <family val="2"/>
      </rPr>
      <t>ème</t>
    </r>
    <r>
      <rPr>
        <sz val="10"/>
        <color theme="1"/>
        <rFont val="Verdana"/>
        <family val="2"/>
      </rPr>
      <t xml:space="preserve"> trimestre 2022 (2</t>
    </r>
    <r>
      <rPr>
        <vertAlign val="superscript"/>
        <sz val="10"/>
        <color theme="1"/>
        <rFont val="Verdana"/>
        <family val="2"/>
      </rPr>
      <t>ère</t>
    </r>
    <r>
      <rPr>
        <sz val="10"/>
        <color theme="1"/>
        <rFont val="Verdana"/>
        <family val="2"/>
      </rPr>
      <t xml:space="preserve"> phase).</t>
    </r>
  </si>
  <si>
    <t>LES PROJETS DONT LE TAUX DE REALISATION EST ESTIME A MOINS de 50%</t>
  </si>
  <si>
    <t>Accès en eau potable (puits de forage avec borne fontaine, panneaux solaires et forage manuel.</t>
  </si>
  <si>
    <t>118.700</t>
  </si>
  <si>
    <r>
      <t>3</t>
    </r>
    <r>
      <rPr>
        <vertAlign val="superscript"/>
        <sz val="10"/>
        <color theme="1"/>
        <rFont val="Verdana"/>
        <family val="2"/>
      </rPr>
      <t>ème</t>
    </r>
    <r>
      <rPr>
        <sz val="10"/>
        <color theme="1"/>
        <rFont val="Verdana"/>
        <family val="2"/>
      </rPr>
      <t xml:space="preserve"> trimestre 2021 (1</t>
    </r>
    <r>
      <rPr>
        <vertAlign val="superscript"/>
        <sz val="10"/>
        <color theme="1"/>
        <rFont val="Verdana"/>
        <family val="2"/>
      </rPr>
      <t>ère</t>
    </r>
    <r>
      <rPr>
        <sz val="10"/>
        <color theme="1"/>
        <rFont val="Verdana"/>
        <family val="2"/>
      </rPr>
      <t xml:space="preserve"> phase). 3</t>
    </r>
    <r>
      <rPr>
        <vertAlign val="superscript"/>
        <sz val="10"/>
        <color theme="1"/>
        <rFont val="Verdana"/>
        <family val="2"/>
      </rPr>
      <t>ème</t>
    </r>
    <r>
      <rPr>
        <sz val="10"/>
        <color theme="1"/>
        <rFont val="Verdana"/>
        <family val="2"/>
      </rPr>
      <t xml:space="preserve"> trimestre 2022 (2</t>
    </r>
    <r>
      <rPr>
        <vertAlign val="superscript"/>
        <sz val="10"/>
        <color theme="1"/>
        <rFont val="Verdana"/>
        <family val="2"/>
      </rPr>
      <t>ère</t>
    </r>
    <r>
      <rPr>
        <sz val="10"/>
        <color theme="1"/>
        <rFont val="Verdana"/>
        <family val="2"/>
      </rPr>
      <t xml:space="preserve"> phase).</t>
    </r>
  </si>
  <si>
    <t>Réhabilitation et équipement du centre de santé de Koni et d’un puits avec panneau solaire au village Kisanfu.</t>
  </si>
  <si>
    <t>87.263, 825</t>
  </si>
  <si>
    <t>Appui en médicaments essentiels au centre de santé réhabilité</t>
  </si>
  <si>
    <t>28.426,76</t>
  </si>
  <si>
    <r>
      <t>2</t>
    </r>
    <r>
      <rPr>
        <vertAlign val="superscript"/>
        <sz val="10"/>
        <color theme="1"/>
        <rFont val="Verdana"/>
        <family val="2"/>
      </rPr>
      <t>ème</t>
    </r>
    <r>
      <rPr>
        <sz val="10"/>
        <color theme="1"/>
        <rFont val="Verdana"/>
        <family val="2"/>
      </rPr>
      <t xml:space="preserve"> trimestre 2021 (1</t>
    </r>
    <r>
      <rPr>
        <vertAlign val="superscript"/>
        <sz val="10"/>
        <color theme="1"/>
        <rFont val="Verdana"/>
        <family val="2"/>
      </rPr>
      <t>ère</t>
    </r>
    <r>
      <rPr>
        <sz val="10"/>
        <color theme="1"/>
        <rFont val="Verdana"/>
        <family val="2"/>
      </rPr>
      <t xml:space="preserve"> phase). 2</t>
    </r>
    <r>
      <rPr>
        <vertAlign val="superscript"/>
        <sz val="10"/>
        <color theme="1"/>
        <rFont val="Verdana"/>
        <family val="2"/>
      </rPr>
      <t>ème</t>
    </r>
    <r>
      <rPr>
        <sz val="10"/>
        <color theme="1"/>
        <rFont val="Verdana"/>
        <family val="2"/>
      </rPr>
      <t xml:space="preserve"> trimestre 2022 (2</t>
    </r>
    <r>
      <rPr>
        <vertAlign val="superscript"/>
        <sz val="10"/>
        <color theme="1"/>
        <rFont val="Verdana"/>
        <family val="2"/>
      </rPr>
      <t>ère</t>
    </r>
    <r>
      <rPr>
        <sz val="10"/>
        <color theme="1"/>
        <rFont val="Verdana"/>
        <family val="2"/>
      </rPr>
      <t xml:space="preserve"> phase).</t>
    </r>
  </si>
  <si>
    <t>Appui et encadrement des communautés à l’élevage</t>
  </si>
  <si>
    <t>12.880</t>
  </si>
  <si>
    <r>
      <t>2</t>
    </r>
    <r>
      <rPr>
        <vertAlign val="superscript"/>
        <sz val="10"/>
        <color theme="1"/>
        <rFont val="Verdana"/>
        <family val="2"/>
      </rPr>
      <t xml:space="preserve">ème </t>
    </r>
    <r>
      <rPr>
        <sz val="10"/>
        <color theme="1"/>
        <rFont val="Verdana"/>
        <family val="2"/>
      </rPr>
      <t>trimestre 2021</t>
    </r>
  </si>
  <si>
    <t>Réhabilitation et du poste de santé Dikanda + un puits avec pompe manuel</t>
  </si>
  <si>
    <t>44.446,10</t>
  </si>
  <si>
    <r>
      <t>1</t>
    </r>
    <r>
      <rPr>
        <vertAlign val="superscript"/>
        <sz val="10"/>
        <color theme="1"/>
        <rFont val="Verdana"/>
        <family val="2"/>
      </rPr>
      <t>ème</t>
    </r>
    <r>
      <rPr>
        <sz val="10"/>
        <color theme="1"/>
        <rFont val="Verdana"/>
        <family val="2"/>
      </rPr>
      <t>trimestre 2022</t>
    </r>
  </si>
  <si>
    <t>Construction d’un poste de santé+ équipement et un puit avec pompe manuel</t>
  </si>
  <si>
    <t>66.418,165</t>
  </si>
  <si>
    <r>
      <t>4</t>
    </r>
    <r>
      <rPr>
        <vertAlign val="superscript"/>
        <sz val="10"/>
        <color theme="1"/>
        <rFont val="Verdana"/>
        <family val="2"/>
      </rPr>
      <t>ème</t>
    </r>
    <r>
      <rPr>
        <sz val="10"/>
        <color theme="1"/>
        <rFont val="Verdana"/>
        <family val="2"/>
      </rPr>
      <t>trimestre 2022</t>
    </r>
  </si>
  <si>
    <t>III.3.4. HANRUI METAL CONGO SARL(LUALABA)</t>
  </si>
  <si>
    <t>Réhabilitation de la route d’accès aux villages Kamimbi et Samukinda.</t>
  </si>
  <si>
    <t>105.000</t>
  </si>
  <si>
    <t>Alimentation en eau potable dans les villages de Kamimbi et Samukinda</t>
  </si>
  <si>
    <t>Appui aux producteurs de maïs de Samukinda et Kamimbi.</t>
  </si>
  <si>
    <t>70.000</t>
  </si>
  <si>
    <r>
      <t>A partir 2</t>
    </r>
    <r>
      <rPr>
        <vertAlign val="superscript"/>
        <sz val="10"/>
        <color theme="1"/>
        <rFont val="Verdana"/>
        <family val="2"/>
      </rPr>
      <t>ème</t>
    </r>
    <r>
      <rPr>
        <sz val="10"/>
        <color theme="1"/>
        <rFont val="Verdana"/>
        <family val="2"/>
      </rPr>
      <t xml:space="preserve"> semestre 2021 jusqu’au 2</t>
    </r>
    <r>
      <rPr>
        <vertAlign val="superscript"/>
        <sz val="10"/>
        <color theme="1"/>
        <rFont val="Verdana"/>
        <family val="2"/>
      </rPr>
      <t>ème</t>
    </r>
    <r>
      <rPr>
        <sz val="10"/>
        <color theme="1"/>
        <rFont val="Verdana"/>
        <family val="2"/>
      </rPr>
      <t xml:space="preserve"> semestre 2022</t>
    </r>
  </si>
  <si>
    <t>Fourniture et Equipement du Centre de Santé à Kamimbi</t>
  </si>
  <si>
    <t>130.000</t>
  </si>
  <si>
    <r>
      <t>A partir 2</t>
    </r>
    <r>
      <rPr>
        <vertAlign val="superscript"/>
        <sz val="10"/>
        <color theme="1"/>
        <rFont val="Verdana"/>
        <family val="2"/>
      </rPr>
      <t>ème</t>
    </r>
    <r>
      <rPr>
        <sz val="10"/>
        <color theme="1"/>
        <rFont val="Verdana"/>
        <family val="2"/>
      </rPr>
      <t xml:space="preserve"> semestre 2022 Jusqu’au premier semestre 2023</t>
    </r>
  </si>
  <si>
    <t>III.3.5. CHENGTUN CONGO RESSOURCES SARL (LUALABA)</t>
  </si>
  <si>
    <t>120.000</t>
  </si>
  <si>
    <t>Projet de construction d’un centre de santé pour le village de Samukinda et Kamimbi.</t>
  </si>
  <si>
    <t>340.000</t>
  </si>
  <si>
    <r>
      <t>2021-2023 (1</t>
    </r>
    <r>
      <rPr>
        <vertAlign val="superscript"/>
        <sz val="10"/>
        <color theme="1"/>
        <rFont val="Verdana"/>
        <family val="2"/>
      </rPr>
      <t xml:space="preserve">ere </t>
    </r>
    <r>
      <rPr>
        <sz val="10"/>
        <color theme="1"/>
        <rFont val="Verdana"/>
        <family val="2"/>
      </rPr>
      <t>semester)</t>
    </r>
  </si>
  <si>
    <t>LES PROJETS DONT LE TAUX DE REALISATION EST ESTIMENT A MOINS de 50%</t>
  </si>
  <si>
    <t>Construction d’un Centre de Santé entre Village Kamimbi et Village Samukinda</t>
  </si>
  <si>
    <r>
      <t>A partir du 1</t>
    </r>
    <r>
      <rPr>
        <vertAlign val="superscript"/>
        <sz val="10"/>
        <color theme="1"/>
        <rFont val="Verdana"/>
        <family val="2"/>
      </rPr>
      <t>ere</t>
    </r>
    <r>
      <rPr>
        <sz val="10"/>
        <color theme="1"/>
        <rFont val="Verdana"/>
        <family val="2"/>
      </rPr>
      <t>semestre 2021 jusqu’au 1</t>
    </r>
    <r>
      <rPr>
        <vertAlign val="superscript"/>
        <sz val="10"/>
        <color theme="1"/>
        <rFont val="Verdana"/>
        <family val="2"/>
      </rPr>
      <t xml:space="preserve">ere </t>
    </r>
    <r>
      <rPr>
        <sz val="10"/>
        <color theme="1"/>
        <rFont val="Verdana"/>
        <family val="2"/>
      </rPr>
      <t>Semestre 2023</t>
    </r>
  </si>
  <si>
    <t>III.3.6. TENGYUAN COBALT AND COPPER SARL (LUALABA)</t>
  </si>
  <si>
    <t>Réhabilitation de la route d’accès (route N’zilo, tronçon route nationale RN39 et village Kamimbi</t>
  </si>
  <si>
    <t>90.000</t>
  </si>
  <si>
    <r>
      <t>A partir du 2</t>
    </r>
    <r>
      <rPr>
        <vertAlign val="superscript"/>
        <sz val="10"/>
        <color theme="1"/>
        <rFont val="Verdana"/>
        <family val="2"/>
      </rPr>
      <t>ème</t>
    </r>
    <r>
      <rPr>
        <sz val="10"/>
        <color theme="1"/>
        <rFont val="Verdana"/>
        <family val="2"/>
      </rPr>
      <t>semestre 2020.</t>
    </r>
  </si>
  <si>
    <t>L’élevage des porcins, naisseurs-engraisseurs au village Samukinda</t>
  </si>
  <si>
    <t>85.000</t>
  </si>
  <si>
    <t>Construction d’une école secondaire au village Kamimbi.</t>
  </si>
  <si>
    <t>230.000</t>
  </si>
  <si>
    <t>2021-2022</t>
  </si>
  <si>
    <t>La production des poulets de chairs au village Kamimbi</t>
  </si>
  <si>
    <r>
      <t>A partir 4</t>
    </r>
    <r>
      <rPr>
        <vertAlign val="superscript"/>
        <sz val="10"/>
        <color theme="1"/>
        <rFont val="Verdana"/>
        <family val="2"/>
      </rPr>
      <t>ème</t>
    </r>
    <r>
      <rPr>
        <sz val="10"/>
        <color theme="1"/>
        <rFont val="Verdana"/>
        <family val="2"/>
      </rPr>
      <t xml:space="preserve"> trimestre 2020 jusqu’au 1</t>
    </r>
    <r>
      <rPr>
        <vertAlign val="superscript"/>
        <sz val="10"/>
        <color theme="1"/>
        <rFont val="Verdana"/>
        <family val="2"/>
      </rPr>
      <t>ème</t>
    </r>
    <r>
      <rPr>
        <sz val="10"/>
        <color theme="1"/>
        <rFont val="Verdana"/>
        <family val="2"/>
      </rPr>
      <t xml:space="preserve"> trimestre 2021</t>
    </r>
  </si>
  <si>
    <t>Production des poulets de chair</t>
  </si>
  <si>
    <t xml:space="preserve">70.000 </t>
  </si>
  <si>
    <r>
      <t xml:space="preserve">A partir du 4 </t>
    </r>
    <r>
      <rPr>
        <vertAlign val="superscript"/>
        <sz val="10"/>
        <color theme="1"/>
        <rFont val="Verdana"/>
        <family val="2"/>
      </rPr>
      <t>éme</t>
    </r>
    <r>
      <rPr>
        <sz val="10"/>
        <color theme="1"/>
        <rFont val="Verdana"/>
        <family val="2"/>
      </rPr>
      <t xml:space="preserve"> trimestre 2020 Jusqu’au 1 </t>
    </r>
    <r>
      <rPr>
        <vertAlign val="superscript"/>
        <sz val="10"/>
        <color theme="1"/>
        <rFont val="Verdana"/>
        <family val="2"/>
      </rPr>
      <t>ére</t>
    </r>
    <r>
      <rPr>
        <sz val="10"/>
        <color theme="1"/>
        <rFont val="Verdana"/>
        <family val="2"/>
      </rPr>
      <t xml:space="preserve">trimestre 2021  </t>
    </r>
  </si>
  <si>
    <t>III.3.7.TENKE FUNGURUME MINING SA (TFM SA) (LUALABA)</t>
  </si>
  <si>
    <t>Appui à l’organisation et structuration des coopératives agricoles et élevages autour de 4 pools aux villages Shonongo, Tshilongo, Kando et Lukotola</t>
  </si>
  <si>
    <t>2.873.000</t>
  </si>
  <si>
    <t>Appui aux coopératives agricoles en intrants agricoles</t>
  </si>
  <si>
    <t>3.474.000</t>
  </si>
  <si>
    <t>Appui aux initiatives économiques des femmes organisées en coopératives sur toute la concession de TFM</t>
  </si>
  <si>
    <t>280.000</t>
  </si>
  <si>
    <t>Lutte contre le paludisme</t>
  </si>
  <si>
    <t>100.000</t>
  </si>
  <si>
    <t xml:space="preserve">2021-2025  </t>
  </si>
  <si>
    <t>Renforcement des capacités du personnel soignant et des membres des comités de développement et de santé sur toute la concession de TFM</t>
  </si>
  <si>
    <t>150.000</t>
  </si>
  <si>
    <t>Création d’un centre de développement agricole intégré avec 5 composantes (Model centre Songhaï) au village de Shonongo/ Installer des Champs Ecoles Paysans (CEP) sur différents thèmes techniques : (1) Organiser des échanges d’expériences et (2) construire un dépôt</t>
  </si>
  <si>
    <t>818.247</t>
  </si>
  <si>
    <t>Lutte contre les épidémies (cholera, rougeole, Covid-19, infections sexuellement transmissibles, VIH/SIDA, la tuberculose etc.…) sur toute la concession de TFM</t>
  </si>
  <si>
    <t>500.000</t>
  </si>
  <si>
    <t>Construction des trois centres de santé</t>
  </si>
  <si>
    <t>900.000</t>
  </si>
  <si>
    <t>Dotation des camions poubelles et bacs métalliques pour la collecte des ordures</t>
  </si>
  <si>
    <t>570.000</t>
  </si>
  <si>
    <t>Accès à l’eau potable</t>
  </si>
  <si>
    <t>1.781.482</t>
  </si>
  <si>
    <t>Construction des 5 foyers sociaux à Mwanga-Muteba, Kamipungu, Lumbwe, Pumpi gare, MwangaMusonge</t>
  </si>
  <si>
    <t>285.000</t>
  </si>
  <si>
    <t>Construction et équipements de 8 écoles primaires</t>
  </si>
  <si>
    <t>2.400.000</t>
  </si>
  <si>
    <r>
      <t>A partir  2</t>
    </r>
    <r>
      <rPr>
        <vertAlign val="superscript"/>
        <sz val="10"/>
        <color theme="1"/>
        <rFont val="Verdana"/>
        <family val="2"/>
      </rPr>
      <t>ème</t>
    </r>
    <r>
      <rPr>
        <sz val="10"/>
        <color theme="1"/>
        <rFont val="Verdana"/>
        <family val="2"/>
      </rPr>
      <t>semestre 2021</t>
    </r>
  </si>
  <si>
    <t>Construction de 4 marchés moderns</t>
  </si>
  <si>
    <t>478.885</t>
  </si>
  <si>
    <t>Aménagement et équipement de deux espaces de jeu pour enfants</t>
  </si>
  <si>
    <t>Appuis aux colonies des vacances à Fungurume et Tenke</t>
  </si>
  <si>
    <t>325.000</t>
  </si>
  <si>
    <t>Réhabilitation de routes de desserte agricole par la méthode HIMO</t>
  </si>
  <si>
    <t>1.108.500</t>
  </si>
  <si>
    <t>Construction d’un Hôpital Général de Référence</t>
  </si>
  <si>
    <t>2.500.000</t>
  </si>
  <si>
    <t>2021 à 2023</t>
  </si>
  <si>
    <t xml:space="preserve">Installation des bacs métalliques pour la collecte des ordures (commune rural de Fungurume et Tenke) </t>
  </si>
  <si>
    <t>Acquisition de 3 camions poubelles bennes publiques</t>
  </si>
  <si>
    <t>450.000</t>
  </si>
  <si>
    <t xml:space="preserve">Acces à l’eau potable dans les villages Kabwe Dikuku et Kifungo (Aménager deux sources d’eau potable </t>
  </si>
  <si>
    <t>Construction de deux écoles maternelles</t>
  </si>
  <si>
    <t>Projet d’asphaltage de route de Fungurume</t>
  </si>
  <si>
    <t>2.190.000</t>
  </si>
  <si>
    <t>Construction de 2 ponts</t>
  </si>
  <si>
    <t>Installation des Champs Ecoles Paysans (CEP) sur différent thèmes techniques (DEVELLOPEMENT  ECONOMIQUE)</t>
  </si>
  <si>
    <t>480.000</t>
  </si>
  <si>
    <t>Installer une usine de production d’intrants et semences améliorées (DEVELLOPEMENT  ECONOMIQUE)</t>
  </si>
  <si>
    <t>175.000</t>
  </si>
  <si>
    <t>40.000</t>
  </si>
  <si>
    <t>- Produire des géniteurs améliorateurs (poules)</t>
  </si>
  <si>
    <t>- Produire des alevins (Tilapia et Kabambale)</t>
  </si>
  <si>
    <t>- Produire des plantules (Installation de de pépinières de sapins et d’acacia,) et Produire des engrains organiques.</t>
  </si>
  <si>
    <t xml:space="preserve"> (DEVELLOPEMENT ECONOMIQUE)</t>
  </si>
  <si>
    <t>Construction d’un grand marché avec parking</t>
  </si>
  <si>
    <t>Aménagement des espaces des jeux pour enfants</t>
  </si>
  <si>
    <t>Appui aux colonies des vacances</t>
  </si>
  <si>
    <t>III.3.8. SOCIETE MINIERE DU KATANGA « SOMIKA SARL » (HAUT-KATANGA)</t>
  </si>
  <si>
    <t xml:space="preserve"> ACTIONS PREVUES</t>
  </si>
  <si>
    <t>La construction d’une école secondaire Mukoma au village Kwampisha</t>
  </si>
  <si>
    <t>-</t>
  </si>
  <si>
    <t>La construction d’une école secondaire au village Inakiluba</t>
  </si>
  <si>
    <t>La construction d’une école primaire au village Lupoto rail</t>
  </si>
  <si>
    <t>La construction d’une clinique   au village Kitanfia</t>
  </si>
  <si>
    <t>La construction d’une clinique au village Lupoto rail</t>
  </si>
  <si>
    <t>La construction d’une clinique au village Zakeo ;</t>
  </si>
  <si>
    <t>Le forage des puits d’eaux potables aux villages Lupoto Rail Kwampisha, Zakeo, Katanga, Kajama et Kitanfia</t>
  </si>
  <si>
    <t>Construction d’un hôpital de référence au quartier SOMIKA dans la commune annexe</t>
  </si>
  <si>
    <t>La réhabilitation et l’entretien régulier de la route Munwa jusqu’au village lupoto de plus ou moins 25 km</t>
  </si>
  <si>
    <t>La construction d’une école au village Seley</t>
  </si>
  <si>
    <t>L’octroi de 10 transformateurs aux quartiers Somika 2 triangle 1 MunkutoKisanga.</t>
  </si>
  <si>
    <t>III.3.9. SOCIETE DE TRAITEMENT DE TERRIL DE LUBUMBASHI STL (HAUT-KATANGA)</t>
  </si>
  <si>
    <r>
      <t>N</t>
    </r>
    <r>
      <rPr>
        <b/>
        <vertAlign val="superscript"/>
        <sz val="10"/>
        <color rgb="FF000000"/>
        <rFont val="Verdana"/>
        <family val="2"/>
      </rPr>
      <t>°</t>
    </r>
  </si>
  <si>
    <t>La construction d’un pont sur la rivière Lubumbashi pour relier l’avenue Kilwa à la chaussée Laurent Désiré Kabila</t>
  </si>
  <si>
    <t>La construction de 4 bureaux de quartier comprenant des sous ciat dans les quartiers Lido, MampalaII, Salama et Mumbunda</t>
  </si>
  <si>
    <t>La réhabilitation du bureau du quartier Mampala I</t>
  </si>
  <si>
    <t>La réinsertion socioéconomique des jeunes et des familles désœuvrées par un accompagnement en entreprenariat pour la création de l’auto emploi des jeunes</t>
  </si>
  <si>
    <t>Aménagement de l’avenue du marché sur 1,140 Km en terre battue stabilisée pour relier les quartiers Mumbunda, Mampala 2 Salama et la commune de Kenya</t>
  </si>
  <si>
    <t>La construction d’une clinique   au village Kitanfia </t>
  </si>
  <si>
    <t>Aménagement de 800 m de l’avenue des poteaux au quartier Mampala II.</t>
  </si>
  <si>
    <t>III.3.10. MMG KINSEVERE SARL(HAUT-KATANGA)</t>
  </si>
  <si>
    <t>-Identification des bénéficiaires de champs et visite des dits champs. </t>
  </si>
  <si>
    <t>-Signature du protocole d’accord entre MMG et les bénéficiaires en présence du CLDs</t>
  </si>
  <si>
    <t> -Préparation des terrains par les cultivateurs acquisition des intrants agricoles herbicides labour hersage et semis distribution des intrants ;</t>
  </si>
  <si>
    <t>-Séances d’encadrement techniques sur terrains des planteurs par les agronomes MMG ;</t>
  </si>
  <si>
    <t>Récolte et remboursements</t>
  </si>
  <si>
    <t>Acquisition du terrain pour la construction de 3 dépôts de stockage.</t>
  </si>
  <si>
    <t>Amorcé un programme d’alphabétisation.</t>
  </si>
  <si>
    <t>Réhabiliter et renforcer la ligne électrique KilongoKalilanda.</t>
  </si>
  <si>
    <t>Mettre en place un programme de Déforestation.</t>
  </si>
  <si>
    <t>La construction et l’équipement du centre de santé de Kifita</t>
  </si>
  <si>
    <t>Construction du pont reliant les villages Kilongo et Lutenge</t>
  </si>
  <si>
    <t>-Le paiement des enseignants de toutes les écoles de la contrée par la société pour un nombre global de 68 enseignants qui enseignent 3.300 élèves ;</t>
  </si>
  <si>
    <t>-Octroi des bourses scolaires</t>
  </si>
  <si>
    <t>-Promotion des cultures maraichères</t>
  </si>
  <si>
    <t>-Aménagements des sites des forages ;</t>
  </si>
  <si>
    <t>-la sensibilisation de formation des Comités de gestion d’eaux artisans.</t>
  </si>
  <si>
    <t>-Acquisition des terrains ;</t>
  </si>
  <si>
    <t>-Sélection des entrepreneurs par appel d’offres.</t>
  </si>
  <si>
    <t xml:space="preserve">-Suivie et renforcement des capacités des éleveurs, vaccination et soins des animaux. </t>
  </si>
  <si>
    <t xml:space="preserve">55 .950 </t>
  </si>
  <si>
    <r>
      <t xml:space="preserve">Forage des puits à pompes immergées à Ntetema et Kikwesa et 89 </t>
    </r>
    <r>
      <rPr>
        <vertAlign val="superscript"/>
        <sz val="10"/>
        <rFont val="Verdana"/>
        <family val="2"/>
      </rPr>
      <t>EME</t>
    </r>
    <r>
      <rPr>
        <sz val="10"/>
        <rFont val="Verdana"/>
        <family val="2"/>
      </rPr>
      <t xml:space="preserve"> poteau à Kifita</t>
    </r>
  </si>
  <si>
    <t>2021 et 2022</t>
  </si>
  <si>
    <t>Construction de l’école Secondaire à Kifita.</t>
  </si>
  <si>
    <t>291.218</t>
  </si>
  <si>
    <t>Réhabilitation de l’école MuembaMwewa</t>
  </si>
  <si>
    <t>13.186</t>
  </si>
  <si>
    <t>Equipement école Secondaire Kifita</t>
  </si>
  <si>
    <t>49.250</t>
  </si>
  <si>
    <t>Réaménagement des axes des routes  suivants pour les communautés de Kifumanshi (Kilongo-Poteau 93)</t>
  </si>
  <si>
    <t>76 .800</t>
  </si>
  <si>
    <t>Construire et Equiper les bâtiments administratifs au village Kifita</t>
  </si>
  <si>
    <t>67.665</t>
  </si>
  <si>
    <t>Suivie et renforcement des capacités des piscultures</t>
  </si>
  <si>
    <t>III.3.11. SOMIDEZ SAS (LUALABA)</t>
  </si>
  <si>
    <r>
      <t>N</t>
    </r>
    <r>
      <rPr>
        <b/>
        <vertAlign val="superscript"/>
        <sz val="10"/>
        <color rgb="FF000000"/>
        <rFont val="Verdana"/>
        <family val="2"/>
      </rPr>
      <t>O</t>
    </r>
  </si>
  <si>
    <t>Construction d’une école Maternelle</t>
  </si>
  <si>
    <t>Encoursde réalisation</t>
  </si>
  <si>
    <t>Rapport d’Audit N°EMIS/DG/102/034/22 du 17/10/2022</t>
  </si>
  <si>
    <t>Construction de 4 écoles primaries</t>
  </si>
  <si>
    <t xml:space="preserve">Construction deux écoles secondaires </t>
  </si>
  <si>
    <t xml:space="preserve">Aménagement de la route reliant le village Kapaso à la route à la route Nationale N° 39   </t>
  </si>
  <si>
    <t xml:space="preserve">Construction de 2 marchés publics avec accessoires  </t>
  </si>
  <si>
    <t xml:space="preserve">Approvisionnement en eau potables par 7 forages d’eau </t>
  </si>
  <si>
    <t>Construction de deux postes de Santé avec Maternité</t>
  </si>
  <si>
    <t>III.3.12. KALONGWE MINING (LUALABA)</t>
  </si>
  <si>
    <t xml:space="preserve">        LES PROJETS DONT LE TAUX DE REALISATION EST ESTIME A MOINS de 50%</t>
  </si>
  <si>
    <t>Construction d’une école primaire couplée d’un centre de formation pour filles mères et femmes  adultes,</t>
  </si>
  <si>
    <t>219. 332</t>
  </si>
  <si>
    <t xml:space="preserve">Alphabétisation des filles mères et encadrement des femmes chefs de ménage en coupe et couture </t>
  </si>
  <si>
    <t>2020-2023</t>
  </si>
  <si>
    <t>Construction d’un Centre de Santé équipé avec Forage (panneaux solaires et structures métalliques)</t>
  </si>
  <si>
    <t>2020-2021</t>
  </si>
  <si>
    <t xml:space="preserve"> Appui aux ONG locales </t>
  </si>
  <si>
    <t>2020-2024</t>
  </si>
  <si>
    <t>Construction de 3Km de route en latérine</t>
  </si>
  <si>
    <t>2020-2022</t>
  </si>
  <si>
    <t xml:space="preserve"> Encadrement des agriculteurs de Kalongo par Agripel pendant 2 ans</t>
  </si>
  <si>
    <t>2021-2023</t>
  </si>
  <si>
    <t>Forage d’un puits d’eau (Mulomba)</t>
  </si>
  <si>
    <t>Forage d’un puits d’eau (Kawama)</t>
  </si>
  <si>
    <t>Forage d’un puits d’eau (Kalongo)</t>
  </si>
  <si>
    <t>Forage d’un puits d’eau (Milumbe)</t>
  </si>
  <si>
    <t>III.3.14. MUTANDA MINING (LUALABA)</t>
  </si>
  <si>
    <t>Projet de l’amelioration de l’acces en eau potable</t>
  </si>
  <si>
    <t>Phase 1 :de juin àdécembre 2022[kisenda et mushitu] ; phase 2:de juin à novembre 2023[8 points de forage] ; phase 3 :de juin à novembre 2024[8 point de forage]</t>
  </si>
  <si>
    <t>Projet de mécanisation agricole durable</t>
  </si>
  <si>
    <t>Phase 1 : aout 2022 ; phase 2 ; juin 2023</t>
  </si>
  <si>
    <t>Projet de fourniture des transformateurs, disjoncteurs et câble électriques</t>
  </si>
  <si>
    <t>Projet d’appui aux activités de culture maraichère.</t>
  </si>
  <si>
    <t>Phase 1 : mars à mai 2022[2 kits] ; phase 2 : mars à mai 2023[2 kits]</t>
  </si>
  <si>
    <t>Projet de production des poulets de chair.</t>
  </si>
  <si>
    <t>Phase 1 : juin à décembre 2022 [kapaso] phase 2 : janvier à juillet 2023[kawama]</t>
  </si>
  <si>
    <t>Projet d’appui aux producteurs de mais</t>
  </si>
  <si>
    <t>Phase 1 : septembre 2022 ; phase 2 : septembre 2023 ; phase 3 : septembre 2024 ; phase 4 : septembre 2025 ; phase 6 : septembre 2026</t>
  </si>
  <si>
    <t>Projet de construction de 3 écoles secondaires générales</t>
  </si>
  <si>
    <t>Phase 1 : juillet 2022 à février 2023 à kahindu ; phase 2 : janvier à aout 2023 à kapaso ; phase 3 : janvier à aout 2024 à kabatanda.</t>
  </si>
  <si>
    <t>Projet de réhabilitation et extension de deux centres de sante</t>
  </si>
  <si>
    <t>Phase 1 : juillet 2022 à juin 2023(Kinsenda et une partie de kawama)</t>
  </si>
  <si>
    <t>Projet d’élevage des porcs</t>
  </si>
  <si>
    <t>Mai à décembre 2022.</t>
  </si>
  <si>
    <t>Projet de construction des toilettes publiques et d’assainissement de Kawama</t>
  </si>
  <si>
    <t>Juin à décembre 2022</t>
  </si>
  <si>
    <t>III.3.15. KIBALI GOLD MINES (HAUT-UELE)</t>
  </si>
  <si>
    <t>Projet de construction et modernisation du marché de moku.</t>
  </si>
  <si>
    <t>De juin à décembre 2022</t>
  </si>
  <si>
    <t>Données non encore recueillies</t>
  </si>
  <si>
    <t>Projet de construction du pont Kibali sur la rivièreKibali</t>
  </si>
  <si>
    <t>De juillet 2022 à decembre2023</t>
  </si>
  <si>
    <t>Projet de réhabilitation de la route kokoroawilaba</t>
  </si>
  <si>
    <t>De septembre 2022 à juin 2024</t>
  </si>
  <si>
    <t>Projet de construction d’un pont sur la rivière ture</t>
  </si>
  <si>
    <t>Septembre 2022 à juin 2023</t>
  </si>
  <si>
    <t>Projet de réhabilitation des routes de desserte agricole</t>
  </si>
  <si>
    <t>Projet de construction du pont Lowa</t>
  </si>
  <si>
    <t>D’octobre 2022 à Aout 2023</t>
  </si>
  <si>
    <t>Projet de construction du centre de formation de makoro</t>
  </si>
  <si>
    <t>Projet re relance de la production de cacaoyère</t>
  </si>
  <si>
    <t>De  octobre 2022 à février 2026</t>
  </si>
  <si>
    <t>Projet de finalisation des travaux de construction de l’hopitalgénéral de référence de faradje</t>
  </si>
  <si>
    <t>De juillet 2022 à janvier 2023</t>
  </si>
  <si>
    <t>Projet de construction de la marche de nzopi a nzopi</t>
  </si>
  <si>
    <t>139616.40</t>
  </si>
  <si>
    <t>De septembre 2022 à avril 2023</t>
  </si>
  <si>
    <t>Projet de construction du pont Lanza</t>
  </si>
  <si>
    <t>De juillet 2022 à décembre 2024</t>
  </si>
  <si>
    <t>III.3.16. KISANFU MINING (LUALABA)</t>
  </si>
  <si>
    <t>Appui et encadrement des communautés locales en agriculture</t>
  </si>
  <si>
    <t>199 395,00</t>
  </si>
  <si>
    <r>
      <t>Troisième trimestre2020 (1</t>
    </r>
    <r>
      <rPr>
        <vertAlign val="superscript"/>
        <sz val="10"/>
        <color theme="1"/>
        <rFont val="Verdana"/>
        <family val="2"/>
      </rPr>
      <t xml:space="preserve">ere </t>
    </r>
    <r>
      <rPr>
        <sz val="10"/>
        <color theme="1"/>
        <rFont val="Verdana"/>
        <family val="2"/>
      </rPr>
      <t>phase) ;3ième trimestre 2021(2</t>
    </r>
    <r>
      <rPr>
        <vertAlign val="superscript"/>
        <sz val="10"/>
        <color theme="1"/>
        <rFont val="Verdana"/>
        <family val="2"/>
      </rPr>
      <t>e</t>
    </r>
    <r>
      <rPr>
        <sz val="10"/>
        <color theme="1"/>
        <rFont val="Verdana"/>
        <family val="2"/>
      </rPr>
      <t xml:space="preserve"> phase) ; 3</t>
    </r>
    <r>
      <rPr>
        <vertAlign val="superscript"/>
        <sz val="10"/>
        <color theme="1"/>
        <rFont val="Verdana"/>
        <family val="2"/>
      </rPr>
      <t>e</t>
    </r>
    <r>
      <rPr>
        <sz val="10"/>
        <color theme="1"/>
        <rFont val="Verdana"/>
        <family val="2"/>
      </rPr>
      <t xml:space="preserve"> trimestre 2022(3</t>
    </r>
    <r>
      <rPr>
        <vertAlign val="superscript"/>
        <sz val="10"/>
        <color theme="1"/>
        <rFont val="Verdana"/>
        <family val="2"/>
      </rPr>
      <t>e</t>
    </r>
    <r>
      <rPr>
        <sz val="10"/>
        <color theme="1"/>
        <rFont val="Verdana"/>
        <family val="2"/>
      </rPr>
      <t>phase) ; 3</t>
    </r>
    <r>
      <rPr>
        <vertAlign val="superscript"/>
        <sz val="10"/>
        <color theme="1"/>
        <rFont val="Verdana"/>
        <family val="2"/>
      </rPr>
      <t>e</t>
    </r>
    <r>
      <rPr>
        <sz val="10"/>
        <color theme="1"/>
        <rFont val="Verdana"/>
        <family val="2"/>
      </rPr>
      <t xml:space="preserve"> trimestre 2023(4</t>
    </r>
    <r>
      <rPr>
        <vertAlign val="superscript"/>
        <sz val="10"/>
        <color theme="1"/>
        <rFont val="Verdana"/>
        <family val="2"/>
      </rPr>
      <t>e</t>
    </r>
    <r>
      <rPr>
        <sz val="10"/>
        <color theme="1"/>
        <rFont val="Verdana"/>
        <family val="2"/>
      </rPr>
      <t xml:space="preserve"> phase)</t>
    </r>
  </si>
  <si>
    <t>Forage des puits d’eau potable</t>
  </si>
  <si>
    <t>114.800,00</t>
  </si>
  <si>
    <r>
      <t>3</t>
    </r>
    <r>
      <rPr>
        <vertAlign val="superscript"/>
        <sz val="10"/>
        <color theme="1"/>
        <rFont val="Verdana"/>
        <family val="2"/>
      </rPr>
      <t>e</t>
    </r>
    <r>
      <rPr>
        <sz val="10"/>
        <color theme="1"/>
        <rFont val="Verdana"/>
        <family val="2"/>
      </rPr>
      <t xml:space="preserve"> trimestre 2020(1</t>
    </r>
    <r>
      <rPr>
        <vertAlign val="superscript"/>
        <sz val="10"/>
        <color theme="1"/>
        <rFont val="Verdana"/>
        <family val="2"/>
      </rPr>
      <t>er</t>
    </r>
    <r>
      <rPr>
        <sz val="10"/>
        <color theme="1"/>
        <rFont val="Verdana"/>
        <family val="2"/>
      </rPr>
      <t xml:space="preserve"> phase) ;1</t>
    </r>
    <r>
      <rPr>
        <vertAlign val="superscript"/>
        <sz val="10"/>
        <color theme="1"/>
        <rFont val="Verdana"/>
        <family val="2"/>
      </rPr>
      <t>er</t>
    </r>
    <r>
      <rPr>
        <sz val="10"/>
        <color theme="1"/>
        <rFont val="Verdana"/>
        <family val="2"/>
      </rPr>
      <t xml:space="preserve"> trimestre 2022(2</t>
    </r>
    <r>
      <rPr>
        <vertAlign val="superscript"/>
        <sz val="10"/>
        <color theme="1"/>
        <rFont val="Verdana"/>
        <family val="2"/>
      </rPr>
      <t>ième</t>
    </r>
    <r>
      <rPr>
        <sz val="10"/>
        <color theme="1"/>
        <rFont val="Verdana"/>
        <family val="2"/>
      </rPr>
      <t xml:space="preserve"> phase)</t>
    </r>
  </si>
  <si>
    <t>Construction d’une écoleprimaire pluséquipements</t>
  </si>
  <si>
    <t>160.000,00</t>
  </si>
  <si>
    <t>Troisième trimestre 2022</t>
  </si>
  <si>
    <t>III.3.17. KAMOA COPPER (LUALABA)</t>
  </si>
  <si>
    <t>Organiser les paysans en de coopératives</t>
  </si>
  <si>
    <t>5.000</t>
  </si>
  <si>
    <t>Construire et équiper un poulailler mécanisé</t>
  </si>
  <si>
    <t>170.000</t>
  </si>
  <si>
    <t>Construire et appuyer la construction des étangs à partir des bas-fonds (avec toute la chaine d’activités y relatives : alevins, produits vétérinaires, vétérinaires, commercialisation)</t>
  </si>
  <si>
    <t>14.247</t>
  </si>
  <si>
    <t>Appuyer en intrants agricoles (semences améliorées, insecticides…), sous forme de crédits agricoles</t>
  </si>
  <si>
    <t>160.500</t>
  </si>
  <si>
    <t>Grouper les agriculteurs en fonction des cultures/spéculations porteuses/rentables (manioc, mais,…)</t>
  </si>
  <si>
    <t>Mettre en place un centre piscicole pour la production des alevins, les aliments et produits vétérinaires</t>
  </si>
  <si>
    <t>Organiser des sessions de formation sur les différentes techniques de production (protection/recyclage du sol, sélection des semences, fertilisation, agroforesterie, reboisement, le contrôle des ennemis :maladies, gardiennage)</t>
  </si>
  <si>
    <t>Appuyer les ateliers agricoles/champs écoles</t>
  </si>
  <si>
    <t>3.000</t>
  </si>
  <si>
    <t>Construire deux marchés modernes</t>
  </si>
  <si>
    <t>250.000</t>
  </si>
  <si>
    <t>2022-2022</t>
  </si>
  <si>
    <t>Aménager les points d’eau potables (un plan d’aménagement entre autres produits : cartographie de villages desservis et plan d’aménagement)</t>
  </si>
  <si>
    <t>630.000</t>
  </si>
  <si>
    <t>Mettre en place les structures communautaires de gestion de puits d’eau et leurs renforcer en capacité sur les techniques d’entretien</t>
  </si>
  <si>
    <t>1.350</t>
  </si>
  <si>
    <t>Accorder les bourses d’études aux meilleures élèves, aux filles et aux élèves vulnérables ; accorder au minimum une bourse par an aux étudiants finalistes pour études à LaurentianUniversity (Canada)</t>
  </si>
  <si>
    <t>135.000</t>
  </si>
  <si>
    <t>Appuyer la formation et l’équipement des instituteurs en matériels didactiques dans les écoles primaires et secondaires</t>
  </si>
  <si>
    <t>32.000</t>
  </si>
  <si>
    <t>Equiper le centre d’Eveil communautaire (CEC) en matériel didactique</t>
  </si>
  <si>
    <t>9.100</t>
  </si>
  <si>
    <t xml:space="preserve">Mettre les cantines dans tous les centres d’Eveil communautaire(CEC)  </t>
  </si>
  <si>
    <t>97.500</t>
  </si>
  <si>
    <t>Former les moniteurs des centres d’Eveil communautaire</t>
  </si>
  <si>
    <t>4.000</t>
  </si>
  <si>
    <t>Construire les infrastructures scolaires remplissant les normes exigées et les équiper (6 classes, direction, bloc sanitaire à 6 boxes)</t>
  </si>
  <si>
    <t xml:space="preserve">Construire deux centres d’Eveil communautaires(CEC) à Musokantanda et Kaponda, et réhabiliter un centre d’Eveil communautaire(CEC) à Muvundapour les enfants dont l’âge varie entre 3 et 5 ans </t>
  </si>
  <si>
    <t>96.000</t>
  </si>
  <si>
    <t>Mettre en place un centre piscicole pour la production des alevins, aliments et produits vétérinaires</t>
  </si>
  <si>
    <t>3.166</t>
  </si>
  <si>
    <t>Organiser les centres d’alphabétisation fonctionnelle</t>
  </si>
  <si>
    <t>Organiser la formation professionnelle : couture, menuiserie, mécanique, opérateur</t>
  </si>
  <si>
    <t>145.271</t>
  </si>
  <si>
    <t>Organiser des formations pour la promotion du leadership féminin et appuyer les initiatives féminines pour le développement communautaire</t>
  </si>
  <si>
    <t>1.800</t>
  </si>
  <si>
    <t>Appuyer la construction des camps pour les enseignants</t>
  </si>
  <si>
    <t>Former des équipes locales (leaders communautaires et autres personnes présentant les pré requis) sur les techniques d’entretien et de maintenance des infrastructures y compris les puits d’eau potable</t>
  </si>
  <si>
    <t>6.500</t>
  </si>
  <si>
    <t>Organiser des sessions de formation sur l’organisation et la gestion des associations, gestion financière et projet et en PME(CLD, formateurs, entrepreneurs…)</t>
  </si>
  <si>
    <t>Appuyer la campagne de sensibilisation des jeunes et adultes sur le VIH/SIDA, Paludisme, Covid-19, SARS, grippe H1M1, choléra</t>
  </si>
  <si>
    <t>Appuyer les campagnes de vaccination et de vulgarisation des mesures de lutte contre et/ou de prévention du VIH/SIDA, Paludisme, Covid-19, SARS, grippe H1M1, choléra</t>
  </si>
  <si>
    <t>6.000</t>
  </si>
  <si>
    <t>Appuyer les formations sanitaires en moyen de locomotion (Moto pour le poste de santé et (une moto par poste de santé de centre de santé et une ambulance pour le CSR)</t>
  </si>
  <si>
    <t>71.000</t>
  </si>
  <si>
    <t>Construire et équiper les infrastructures sanitaires (centre de santé et poste de santé) et leur appuyer en produits pharmaceutiques, officine pharmaceutique</t>
  </si>
  <si>
    <t>335.000</t>
  </si>
  <si>
    <t>Appuyer la facilitation des dialogues périodiques autour de questions clés entre les leaders communautaires de la communauté et Kamoa Copper SA (via le bureau de développement durable)</t>
  </si>
  <si>
    <t>51.354</t>
  </si>
  <si>
    <t>Organiser les paysans en coopératives</t>
  </si>
  <si>
    <t>3.750</t>
  </si>
  <si>
    <t>Construire et appuyer la construction des étangs à partir des bas-fonds (avec toute la chaine d’activités y relatives : alevins, produits vétérinaires, commercialisation)</t>
  </si>
  <si>
    <t>23.745</t>
  </si>
  <si>
    <t>Appuyer en intrants agricoles (semences améliorées, insecticides…), sous forme de crédits agricoles et système d’irrigation à goute avec réservoir, pompe)</t>
  </si>
  <si>
    <t>Grouper les agriculteurs en fonction des cultures/ spéculations porteuses/ rentables(manioc, mais…)</t>
  </si>
  <si>
    <t xml:space="preserve">Organiser les sessions de formation sur les différentes techniques de production(protection/recyclage du sol, sélection des semences, fertilisation, agroforesterie, reboisement, le contrôle des ennemis : maladies, gardiennages </t>
  </si>
  <si>
    <t>III.3.18. SICOMINES SA (LUALABA)</t>
  </si>
  <si>
    <t>Alimentation eneau potable (2021-2024)</t>
  </si>
  <si>
    <t>115%.</t>
  </si>
  <si>
    <t>Rapport d’audit</t>
  </si>
  <si>
    <t>Mécanisation agricole</t>
  </si>
  <si>
    <t>Appui aux producteurs de maïs</t>
  </si>
  <si>
    <t>Réhabilitation de la digue Mutaka</t>
  </si>
  <si>
    <t>Réhabilitation de la digue B-6 de Kapata</t>
  </si>
  <si>
    <t>Construction 1 école primaire</t>
  </si>
  <si>
    <t>En  coursréalisation.</t>
  </si>
  <si>
    <t>Réhabilitation routes en terre battue</t>
  </si>
  <si>
    <t>Construction  1 école technique</t>
  </si>
  <si>
    <t>Construction 1 hôpital</t>
  </si>
  <si>
    <t>Le bâtiment principal réalisé, les travaux supplémentaires en exécution</t>
  </si>
  <si>
    <t>Alimentation  en eau potable</t>
  </si>
  <si>
    <t>En cours de réalisation.</t>
  </si>
  <si>
    <t>Réhabilitation 1 école et équipement en bancs</t>
  </si>
  <si>
    <t>Réhabilitation bureau du quartier Kapata</t>
  </si>
  <si>
    <t>III.3.19. RUASHI MINING</t>
  </si>
  <si>
    <t>DATE DEBUT</t>
  </si>
  <si>
    <t>PROJECT</t>
  </si>
  <si>
    <t xml:space="preserve">Contract ant </t>
  </si>
  <si>
    <t>BUDGET</t>
  </si>
  <si>
    <t>STATUS</t>
  </si>
  <si>
    <t>December 21</t>
  </si>
  <si>
    <t>Etude    Geophysique</t>
  </si>
  <si>
    <t>PMS</t>
  </si>
  <si>
    <t>31.000$</t>
  </si>
  <si>
    <t>Deja execute</t>
  </si>
  <si>
    <t>Electrification Luano</t>
  </si>
  <si>
    <t>FRAMAK</t>
  </si>
  <si>
    <t>$390.000</t>
  </si>
  <si>
    <t>Exécuter (  déjà  remise  à la  communauté)</t>
  </si>
  <si>
    <t>Centre   de Sante  luano2</t>
  </si>
  <si>
    <t>Lualaba  Construction</t>
  </si>
  <si>
    <t>$200.00</t>
  </si>
  <si>
    <t>Execute  a 85%</t>
  </si>
  <si>
    <t xml:space="preserve">Mars </t>
  </si>
  <si>
    <t>Equipements centre de santé ( Hakika)</t>
  </si>
  <si>
    <t>CRISJO</t>
  </si>
  <si>
    <t>$155.800</t>
  </si>
  <si>
    <t>Déjà faites  a 100%</t>
  </si>
  <si>
    <t xml:space="preserve">Aménagement   des routes </t>
  </si>
  <si>
    <t xml:space="preserve">Renforcement  de l’ eau </t>
  </si>
  <si>
    <t>$1000.000</t>
  </si>
  <si>
    <t>Non exécuter ( a exécuté en 2024</t>
  </si>
  <si>
    <t xml:space="preserve">Novembre </t>
  </si>
  <si>
    <t xml:space="preserve">Programme agriculture </t>
  </si>
  <si>
    <t xml:space="preserve">Sainte    amant </t>
  </si>
  <si>
    <t>$149.400</t>
  </si>
  <si>
    <t>Déjà   exécute a 100%</t>
  </si>
  <si>
    <t>CHRONOGRAMME 2023</t>
  </si>
  <si>
    <t>DATE DE  DEBUT</t>
  </si>
  <si>
    <t xml:space="preserve">Contractent </t>
  </si>
  <si>
    <t xml:space="preserve">PROJECTS </t>
  </si>
  <si>
    <t>Construction d’ une école  kananbe</t>
  </si>
  <si>
    <t>$204.695</t>
  </si>
  <si>
    <t>Exécute 100%</t>
  </si>
  <si>
    <t>Construction  d’ une clinic</t>
  </si>
  <si>
    <t xml:space="preserve">Lwalaba   Construction </t>
  </si>
  <si>
    <t>$200.000</t>
  </si>
  <si>
    <t>En  cours  d’exécution 85%</t>
  </si>
  <si>
    <t>Programme  agriculture</t>
  </si>
  <si>
    <t xml:space="preserve">Saint   amant </t>
  </si>
  <si>
    <t>Déjà exécute 100%</t>
  </si>
  <si>
    <t>$500.000</t>
  </si>
  <si>
    <t>Déjà exécuté 100%</t>
  </si>
  <si>
    <t>Construction d’ une Ecole / (kanamba, Shidaika, kawama3, kawama</t>
  </si>
  <si>
    <t xml:space="preserve">Débute   en Novembre </t>
  </si>
  <si>
    <t xml:space="preserve">Juillet </t>
  </si>
  <si>
    <t xml:space="preserve">Ramassage  des   immondices </t>
  </si>
  <si>
    <t xml:space="preserve">NEHEMI  </t>
  </si>
  <si>
    <t>$690.000</t>
  </si>
  <si>
    <t xml:space="preserve">Déjà  débuter  45% </t>
  </si>
  <si>
    <t>III.3.20. SOMIKA (amodiataire des titres de la SODIMICO)</t>
  </si>
  <si>
    <t>Projet de réhabilitation de la route  en terre battue  du village Whysky au village (Kimpe  25 KM)</t>
  </si>
  <si>
    <t>1.250.000 USD</t>
  </si>
  <si>
    <t>A partir de fin mai 2022</t>
  </si>
  <si>
    <t xml:space="preserve">Projet d’alimentation en eau potable </t>
  </si>
  <si>
    <t>126.000 USD</t>
  </si>
  <si>
    <t>A partir de fin juillet 2021</t>
  </si>
  <si>
    <t xml:space="preserve">Projet de Construction de deux écoles primaires  </t>
  </si>
  <si>
    <t>350.000 USD</t>
  </si>
  <si>
    <t>Juin 2022 pour Mabaya et 2024 pour Musoya</t>
  </si>
  <si>
    <t>Projet de Construction de 3 postes de Santé</t>
  </si>
  <si>
    <t>375.000 USD</t>
  </si>
  <si>
    <t>Appui à l’agriculture de Mais</t>
  </si>
  <si>
    <t>150.000 USD</t>
  </si>
  <si>
    <t>Depuis  Juin 2021</t>
  </si>
  <si>
    <t>Appui à l’agriculture de maraichère</t>
  </si>
  <si>
    <t>50.000 UDS</t>
  </si>
  <si>
    <t xml:space="preserve">A partir de  Juillet 2022 </t>
  </si>
  <si>
    <t>NIVEAU D’EX   ECUTION</t>
  </si>
  <si>
    <t>Projet de construction de deux centres de santé</t>
  </si>
  <si>
    <t>900.000 USD</t>
  </si>
  <si>
    <t xml:space="preserve">Projet de construction de trois écoles primaires  </t>
  </si>
  <si>
    <t>982516,026USD</t>
  </si>
  <si>
    <t xml:space="preserve">De Janvier à  Juillet 2024 </t>
  </si>
  <si>
    <t xml:space="preserve">Projet de Construction de deux écoles primaires   </t>
  </si>
  <si>
    <t>676778,361USD</t>
  </si>
  <si>
    <t>Janvier à Aout  2024</t>
  </si>
  <si>
    <t>Projet d’appui aux producteurs de Mais et mécanisation Agricole au secteur Luilu</t>
  </si>
  <si>
    <t>1537460    USD</t>
  </si>
  <si>
    <t>G  ,5</t>
  </si>
  <si>
    <t xml:space="preserve">Projet d’appui aux activités de culture maraichère  </t>
  </si>
  <si>
    <t>299907USD</t>
  </si>
  <si>
    <t>De Mars à 0ctobre 2023</t>
  </si>
  <si>
    <t xml:space="preserve">Projet de production des poulets de chair   </t>
  </si>
  <si>
    <t>522720 USD</t>
  </si>
  <si>
    <t>Avril à Décembre 2025</t>
  </si>
  <si>
    <t xml:space="preserve">Projet d’élevage des porcs  </t>
  </si>
  <si>
    <t>646932 USD</t>
  </si>
  <si>
    <t xml:space="preserve">Projet d’installation d’un site piscicole  </t>
  </si>
  <si>
    <t>160265,15 USD</t>
  </si>
  <si>
    <t xml:space="preserve">Avril à Octobre 2025 </t>
  </si>
  <si>
    <t>Projet de l’amélioration de l’accès à l’eau Potable au secteur de LUILA</t>
  </si>
  <si>
    <t xml:space="preserve">102300 USD </t>
  </si>
  <si>
    <t xml:space="preserve">De Février à Novembre 2023 </t>
  </si>
  <si>
    <t xml:space="preserve">Projet de fourniture des matériels  éléctriques </t>
  </si>
  <si>
    <t>263164UDS</t>
  </si>
  <si>
    <t xml:space="preserve">Projet d’installation de l’éclairage public par des lampadaires scolaires dans le secteur de LUILA </t>
  </si>
  <si>
    <t>300300 USD</t>
  </si>
  <si>
    <t xml:space="preserve">De Juin à Décembre 2027 </t>
  </si>
  <si>
    <t>Projet construction et modernisation de 2 marchés</t>
  </si>
  <si>
    <t>338805 USD</t>
  </si>
  <si>
    <t>De Février à Novembre 2025</t>
  </si>
  <si>
    <t xml:space="preserve">Projet de construction de 2 écoles secondaires techniques </t>
  </si>
  <si>
    <t>1935929 ,78 USD</t>
  </si>
  <si>
    <t xml:space="preserve">Projet de construction de 2 écoles Secondaires  générales </t>
  </si>
  <si>
    <t>De Janvier à Aout 2025</t>
  </si>
  <si>
    <t xml:space="preserve">Projet de construction de 2 centres de formations professionnelles </t>
  </si>
  <si>
    <t xml:space="preserve">411000 USD </t>
  </si>
  <si>
    <t xml:space="preserve">Janvier à Juillet  2026 </t>
  </si>
  <si>
    <t xml:space="preserve">Projet de construction d’un hangard au cimetière de Kamilembe à Noah </t>
  </si>
  <si>
    <t xml:space="preserve">80336 USD </t>
  </si>
  <si>
    <t>Mai à octobre 2024</t>
  </si>
  <si>
    <t xml:space="preserve">Projet de réhabilitation des routes </t>
  </si>
  <si>
    <t xml:space="preserve">1226807.25 </t>
  </si>
  <si>
    <t xml:space="preserve">Janvier à Décembre </t>
  </si>
  <si>
    <t>Projet de construction de deux ponts au secteur Luilu</t>
  </si>
  <si>
    <t>D’avril à Novembre 2026</t>
  </si>
  <si>
    <t xml:space="preserve">Projet de construction de 2 centres communautaires </t>
  </si>
  <si>
    <t>300000,92 USD</t>
  </si>
  <si>
    <t>De janvier à Décembre</t>
  </si>
  <si>
    <t xml:space="preserve">Projet de création d’une radio communautaire à sapatelo </t>
  </si>
  <si>
    <t>275018 ,9153</t>
  </si>
  <si>
    <t xml:space="preserve">De Mars à Septembre 2025 </t>
  </si>
  <si>
    <t xml:space="preserve">Projet de création de deux ateliers de menuiserie associatifs  </t>
  </si>
  <si>
    <t xml:space="preserve">498133 USD </t>
  </si>
  <si>
    <t>De Janvier à Décembre  2027</t>
  </si>
  <si>
    <t xml:space="preserve">Projet de dotation en équipement et appareillage de l’hôpital général de référence Mupanja </t>
  </si>
  <si>
    <t xml:space="preserve">249755 USD </t>
  </si>
  <si>
    <t>Centres de Santé</t>
  </si>
  <si>
    <t xml:space="preserve">De Janvier à December </t>
  </si>
  <si>
    <t xml:space="preserve">Projet d’équipement dune radio communautaire </t>
  </si>
  <si>
    <t>155580 USD</t>
  </si>
  <si>
    <t xml:space="preserve">Projet de création d’un atelier de soudure </t>
  </si>
  <si>
    <t>229332 USD</t>
  </si>
  <si>
    <t>De Janvier à Décembre 2027</t>
  </si>
  <si>
    <t xml:space="preserve">Projet de création d’une boulangerie </t>
  </si>
  <si>
    <t>318932 USD</t>
  </si>
  <si>
    <t>De Janvier à décembre</t>
  </si>
  <si>
    <t xml:space="preserve">Projet  de réhabilitation des routes </t>
  </si>
  <si>
    <t>4 265881 ,48  USD</t>
  </si>
  <si>
    <t xml:space="preserve">De Mars 2026 Novembre 2027 </t>
  </si>
  <si>
    <t>Projet d’appui aux producteurs de Mais</t>
  </si>
  <si>
    <t xml:space="preserve">182100 USD </t>
  </si>
  <si>
    <t>Aout 2023</t>
  </si>
  <si>
    <t xml:space="preserve">Projet de fourniture des matériels électriques </t>
  </si>
  <si>
    <t>2 203950 USD</t>
  </si>
  <si>
    <t>De Juin à Décembre 2024</t>
  </si>
  <si>
    <t xml:space="preserve"> Projet d’équipement de la radio communautaire émergence de MUSONOIE</t>
  </si>
  <si>
    <t>Projet d’installation de l’éclairage public par des lampadaires solaires dans la commune de DILALA</t>
  </si>
  <si>
    <t>1287000 USD</t>
  </si>
  <si>
    <t>Aout 2026 à Décembre 2027</t>
  </si>
  <si>
    <t xml:space="preserve">Projet de l’amélioration de l’accès à l’eau potable  </t>
  </si>
  <si>
    <t>1033418 USD</t>
  </si>
  <si>
    <t xml:space="preserve">Janvier à Novembre 2023 </t>
  </si>
  <si>
    <t>Projet d’appui aux activités de culture  maraichère  a KAPATA</t>
  </si>
  <si>
    <t>99969 USD</t>
  </si>
  <si>
    <t xml:space="preserve">Projet de création d’un abattoir moderne à KAPATA </t>
  </si>
  <si>
    <t>378 347,88 USD</t>
  </si>
  <si>
    <t>Février à Juillet 2025</t>
  </si>
  <si>
    <t xml:space="preserve">Projet de construction d’un stade à KAPATA  </t>
  </si>
  <si>
    <t xml:space="preserve">Février à Décembre 2025 </t>
  </si>
  <si>
    <t xml:space="preserve">443630 ? </t>
  </si>
  <si>
    <t>Projet d’appui aux activités de culture vivrière à KAPATA</t>
  </si>
  <si>
    <t>115000 USD</t>
  </si>
  <si>
    <t>Chaque Aout de 2023 à 2027</t>
  </si>
  <si>
    <t xml:space="preserve">Projet de création d’un atelier de menuiserie associatif </t>
  </si>
  <si>
    <t xml:space="preserve">De février à Septembre 2O25 </t>
  </si>
  <si>
    <t>Projet de création de deux ateliers de soudure associatifs  dans la dans la commune de DILALA</t>
  </si>
  <si>
    <t xml:space="preserve">Avril à Septembre 2025 </t>
  </si>
  <si>
    <t>Projet d’un atelier de couture associatif à KAPATA</t>
  </si>
  <si>
    <t>172146,89 USD</t>
  </si>
  <si>
    <t xml:space="preserve">Mars à Octobre 2024 </t>
  </si>
  <si>
    <t xml:space="preserve">Projet de création d’une boulangerie associative à KAPATA </t>
  </si>
  <si>
    <t>318937,5 USD</t>
  </si>
  <si>
    <t>Janvier à Décembre  2025</t>
  </si>
  <si>
    <t>Projet d’appui au reboisement  du quartier  KAPATA</t>
  </si>
  <si>
    <t>285000 USD</t>
  </si>
  <si>
    <t>Aout à Décembre 2025</t>
  </si>
  <si>
    <t xml:space="preserve">Projet de production  des poulets de chair  </t>
  </si>
  <si>
    <t>Janvier à Juin 20240</t>
  </si>
  <si>
    <t xml:space="preserve">Projet de construction d’un centre de formation professionnelle </t>
  </si>
  <si>
    <t>Janvier à Aout 2024</t>
  </si>
  <si>
    <t>Projet de construction d’un pont au quartier BIASHARA</t>
  </si>
  <si>
    <t>Janvier à Septembre 2023</t>
  </si>
  <si>
    <t>Projet de construction d’un Centre de santé</t>
  </si>
  <si>
    <t>Mars à Décembre 2023</t>
  </si>
  <si>
    <t xml:space="preserve">Projet de construction de deux écoles primaires  </t>
  </si>
  <si>
    <t>Janvier à Juillet 2023</t>
  </si>
  <si>
    <t xml:space="preserve">Projet de construction et modernisation du marché du quartier  LUILU </t>
  </si>
  <si>
    <t>Janvier à Décembre</t>
  </si>
  <si>
    <t xml:space="preserve">Projet de construction de trois centres de santé </t>
  </si>
  <si>
    <t>1430000 USD</t>
  </si>
  <si>
    <t>De janvier à Aout 2024</t>
  </si>
  <si>
    <t>Projet de construction d’une école primaire</t>
  </si>
  <si>
    <t>327505 USD</t>
  </si>
  <si>
    <t>Juin à Juillet  2024</t>
  </si>
  <si>
    <t>Projet de construction de 2 complexes</t>
  </si>
  <si>
    <t>2928461 USD</t>
  </si>
  <si>
    <t xml:space="preserve">De Janvier à Mars  2024 </t>
  </si>
  <si>
    <t xml:space="preserve">Projet d’appui  aux producteurs de Mais </t>
  </si>
  <si>
    <t>279400 USD</t>
  </si>
  <si>
    <t>Projet d’élevages des porcs</t>
  </si>
  <si>
    <t>215644 USD</t>
  </si>
  <si>
    <t>Janvier à Juin 2024</t>
  </si>
  <si>
    <t>Projet de l’amélioration de l’accès à l’eau potable</t>
  </si>
  <si>
    <t>1526000 USD</t>
  </si>
  <si>
    <t xml:space="preserve">Mars à Décembre </t>
  </si>
  <si>
    <t xml:space="preserve">Projet de fourniture des matériels éléctriques </t>
  </si>
  <si>
    <t>582855 USD</t>
  </si>
  <si>
    <t>Juin à Octobre 2024</t>
  </si>
  <si>
    <t xml:space="preserve">Projet d’installation de l’éclairage public par des lampadaires solaires </t>
  </si>
  <si>
    <t>196344 USD</t>
  </si>
  <si>
    <t>Avril à Octobre 2027</t>
  </si>
  <si>
    <t xml:space="preserve">Projet de construction et modernisation de 3 marches </t>
  </si>
  <si>
    <t>587000 USD</t>
  </si>
  <si>
    <t xml:space="preserve">Janvier à Aout 2024 </t>
  </si>
  <si>
    <t>Janvier à Juillet 2024</t>
  </si>
  <si>
    <t>Projet de réhabilitation des routes</t>
  </si>
  <si>
    <t>669500 USD</t>
  </si>
  <si>
    <t>Avril à Aout 2027</t>
  </si>
  <si>
    <t xml:space="preserve">Projet de construction d’un pont </t>
  </si>
  <si>
    <t>205500 USD</t>
  </si>
  <si>
    <t>Avril à Aout 2024</t>
  </si>
  <si>
    <t xml:space="preserve">Projet de construction d’un stade  </t>
  </si>
  <si>
    <t>618630 USD</t>
  </si>
  <si>
    <t>Février à Décembre 2027</t>
  </si>
  <si>
    <t xml:space="preserve">Projet de création d’un site de décharge et des infrastructures de traitements des déchets ménagers dans la province du LUALABA </t>
  </si>
  <si>
    <t>1550000 USD</t>
  </si>
  <si>
    <t xml:space="preserve">De 2023 à 2027 </t>
  </si>
  <si>
    <t>Renseigner les noms des fournisseurs (personne physique ou personne morale) par ordre décroissant des paiements annuels cumulés</t>
  </si>
  <si>
    <t>Nationalité 
(Local ou étranger)</t>
  </si>
  <si>
    <t>NIF du fournisseur</t>
  </si>
  <si>
    <t>Adresse physique du fournisseur</t>
  </si>
  <si>
    <t>Nombre de marchés exécutés</t>
  </si>
  <si>
    <t>Cumul annuel des Paiements en USD</t>
  </si>
  <si>
    <t>Bénéficiaires effectifs de la personne morale ou lien vers la place bousière où l'entreprise est cotée</t>
  </si>
  <si>
    <t>BRILLIANT LEGEND INT’L LIMITED</t>
  </si>
  <si>
    <t>Etranger</t>
  </si>
  <si>
    <t>Unit 2 , LG 1, Mirror Tower, 61 Mody Road, Tsim Sha Tsui, Hong Kong, Hong Kong Island</t>
  </si>
  <si>
    <t>GANAFRIQUE CONSULTANT MINIER</t>
  </si>
  <si>
    <t>Local</t>
  </si>
  <si>
    <t>A1914460P</t>
  </si>
  <si>
    <t>Av Lukenge Commune de Ngaliema No2, KINSHASA, DR CONGO</t>
  </si>
  <si>
    <t>LUALABA PROSPERE SARL</t>
  </si>
  <si>
    <t>A2151410E</t>
  </si>
  <si>
    <t>Av,Bota/Q,Mutoshi,C/Manika, No412, KOLWEZI DR CONGO</t>
  </si>
  <si>
    <t>BARTRAC EQUIPMENT MAURITIUS</t>
  </si>
  <si>
    <t>9th Floor Raffles Tower 19 Cyberc, Ebene, Mauritius</t>
  </si>
  <si>
    <t>PANDA INTERNATIONAL CONGO ENGINEERI</t>
  </si>
  <si>
    <t>A2046262H</t>
  </si>
  <si>
    <t>Av Jerusalem, C/Annexe, No2100, LUBUMBASHI, DR CONGO</t>
  </si>
  <si>
    <t>WUHUANG CONSTRUCTION ET COMMERCE RD</t>
  </si>
  <si>
    <t>A1907439H</t>
  </si>
  <si>
    <t>Av Nyota, Quartier Golf, No91, LUBUMBASHI, DR CONGO</t>
  </si>
  <si>
    <t>NENDA MBELE SAS</t>
  </si>
  <si>
    <t>A2025841L</t>
  </si>
  <si>
    <t>Av Kasai Q/Makomeno,V/Lubumbashi, No98, LUBUMBASHI, DR CONGO</t>
  </si>
  <si>
    <t>MD SERVICES SARL</t>
  </si>
  <si>
    <t>A1203901E</t>
  </si>
  <si>
    <t xml:space="preserve"> Bld du 30 Juin, No3642, KINSHASA, DR CONGO</t>
  </si>
  <si>
    <t>AMAZON HOLDING AFRICA SARL</t>
  </si>
  <si>
    <t>A2290570W</t>
  </si>
  <si>
    <t>ANSHENG CONSTUCTION SARL</t>
  </si>
  <si>
    <t>A2178565W</t>
  </si>
  <si>
    <t xml:space="preserve">BOLLORE TRANSPORT &amp; LOGISTICS RDC </t>
  </si>
  <si>
    <t>A2040360S</t>
  </si>
  <si>
    <t>CARGO CONGO</t>
  </si>
  <si>
    <t>A1304152D</t>
  </si>
  <si>
    <t>CENTRE MEDICAL AKSANTI</t>
  </si>
  <si>
    <t>A1913643B</t>
  </si>
  <si>
    <t>CMCK</t>
  </si>
  <si>
    <t>A1201249X</t>
  </si>
  <si>
    <t>DA TANG INTERNATIONAL TRADING</t>
  </si>
  <si>
    <t>A2165932P</t>
  </si>
  <si>
    <t>FK CONSULTING</t>
  </si>
  <si>
    <t>A2212327N</t>
  </si>
  <si>
    <t>GERMAIN PUNGWE  MABWE  SARL</t>
  </si>
  <si>
    <t>A1417575U</t>
  </si>
  <si>
    <t>GLOBAL MINING SERVICES</t>
  </si>
  <si>
    <t>05-H5300-N99815E</t>
  </si>
  <si>
    <t>JIA RUI INVESTISSEMENTS SARLU</t>
  </si>
  <si>
    <t>A2179922W</t>
  </si>
  <si>
    <t>KELKAM SA RADIOPROTECTION</t>
  </si>
  <si>
    <t>A1207909L</t>
  </si>
  <si>
    <t>MILT INTERNATIONAL SARL</t>
  </si>
  <si>
    <t>A2178257L</t>
  </si>
  <si>
    <t>POLYCLINIQUE MANASSE</t>
  </si>
  <si>
    <t>A1780449D</t>
  </si>
  <si>
    <t>SI TONG INTERNATIONAL SARLU</t>
  </si>
  <si>
    <t>A2293504K</t>
  </si>
  <si>
    <t>SINOMINE INTERNATIONAL RDC ENGINEERING SARL</t>
  </si>
  <si>
    <t>A1912673X</t>
  </si>
  <si>
    <t>SOGRACE SARL</t>
  </si>
  <si>
    <t>A0801983Q</t>
  </si>
  <si>
    <t>RULVIS CONGO SAS - T/A RULCO SAS</t>
  </si>
  <si>
    <t>EURASIAN MACHINERY LLP</t>
  </si>
  <si>
    <t>SOCIETE COMMERCIALE DES MINES SAS - T/A SOCOM</t>
  </si>
  <si>
    <t>UNITED PETROLEUM SARL</t>
  </si>
  <si>
    <t>SUPPORT PLUS SAS</t>
  </si>
  <si>
    <t>TECHNOLOGIE GLOBALE SAS</t>
  </si>
  <si>
    <t>CHEKINA SPRL</t>
  </si>
  <si>
    <t>ORICA DRC SARL</t>
  </si>
  <si>
    <t>SURTEK TRADING SAS</t>
  </si>
  <si>
    <t>COPPERLINE SAS</t>
  </si>
  <si>
    <t>KANU EQUIPMENT DRC</t>
  </si>
  <si>
    <t>SOCIETE DES SERVICES ET LOGISTIQUE SARL</t>
  </si>
  <si>
    <t>DOUANE EXPRESS CUSTOMS SARL</t>
  </si>
  <si>
    <t>ETS PSAUMES 113</t>
  </si>
  <si>
    <t>DUPLICATE - CHRISTINA TRADING SARL</t>
  </si>
  <si>
    <t>BUSH CAMP SA</t>
  </si>
  <si>
    <t>EQUIPEMENTS &amp; SERVICES BIA</t>
  </si>
  <si>
    <t>CONGO EQUIPMENT SARL</t>
  </si>
  <si>
    <t>CRUSHER EQUIPMENT AFRICA SARL - CE AFRICA</t>
  </si>
  <si>
    <t>VISION SAS</t>
  </si>
  <si>
    <t>BLU ROCK SARL</t>
  </si>
  <si>
    <t>SANDVIK MINING &amp; CONSTRUCTION DRC SARL</t>
  </si>
  <si>
    <t>MUSHANGAO SARL</t>
  </si>
  <si>
    <t>KANU SUPPORT SAS</t>
  </si>
  <si>
    <t>LIQUID ROCK SARL</t>
  </si>
  <si>
    <t>GROUP 4 SECURICOR DRC SARL - G4S DRC SARL</t>
  </si>
  <si>
    <t>HITACHI CONSTRUCTION MACHINERY ZAMBIA CO. LTD</t>
  </si>
  <si>
    <t>BEARING MAN GROUP CONGO SARL</t>
  </si>
  <si>
    <t>PAN AFRICAN COMPANY - T/A - PANACO SARL</t>
  </si>
  <si>
    <t>BERENICE TRADING SARL</t>
  </si>
  <si>
    <t>LEXAP DRC SARL</t>
  </si>
  <si>
    <t>JOHN TSHIKULU TSHILOMBO SARL - T/A JTT SARL</t>
  </si>
  <si>
    <t>COPPERBELT ENERGY CORPORATION PLC</t>
  </si>
  <si>
    <t>PROXIMITY BUSINESS EXPERTISE SARL - T/A PROXIBEX SARL</t>
  </si>
  <si>
    <t>TRI-PUMP DRC SARLU</t>
  </si>
  <si>
    <t>T3 PROJECTS DRC SAS</t>
  </si>
  <si>
    <t>SERVICES MACHINERY TRUCKS RDC SARL - T/A SMT</t>
  </si>
  <si>
    <t>STANDART FIABLE SAS</t>
  </si>
  <si>
    <t>TECHNICAL MECHANICAL SERVICES SPARE PARTS CONGO SARL - TMS</t>
  </si>
  <si>
    <t>BILIAM WORKS LTD</t>
  </si>
  <si>
    <t>CONGO SERVICES ENGINEERING SARL - T/A - CSE SARL</t>
  </si>
  <si>
    <t>NEW BUSINESS LIGHT SARL</t>
  </si>
  <si>
    <t>HM ENERGING</t>
  </si>
  <si>
    <t>ETS GHAZI AUTO LUBUMBASHI</t>
  </si>
  <si>
    <t>BTS PROJECTS</t>
  </si>
  <si>
    <t>KETNEY VISION SARL</t>
  </si>
  <si>
    <t>AFRITECH BUSINESS SOLUTIONS SARL - T/A ABS SARL</t>
  </si>
  <si>
    <t>AFRICAN ENGINEERING SERVICES SARL</t>
  </si>
  <si>
    <t>MALABAR BUSINESS TRAVEL SARL</t>
  </si>
  <si>
    <t>DUPLICATE - KKS ENTERPRISE SARL</t>
  </si>
  <si>
    <t>TRADE SERVICE ETUDES FISCALITE &amp; FACILITATION SARL - IMPORT</t>
  </si>
  <si>
    <t>MILTRAC DRC SARL</t>
  </si>
  <si>
    <t>ELECTRIC SYSTEMS SARL</t>
  </si>
  <si>
    <t>CENTRE MEDICAL DU CENTRE VILLE - CMDC</t>
  </si>
  <si>
    <t>VIRUNGA GROUP AFRICA SARL</t>
  </si>
  <si>
    <t>MAISON DES CONSTRUCTIONS CIVILE ET INDUSTRIELLE MULTISERVICES - T/A - MCI MULTISERVICES</t>
  </si>
  <si>
    <t>PRO STEEL SARL</t>
  </si>
  <si>
    <t>SOCIETE DE SURVEILLANCE MINIERE  SARL - T/A SSM SARL</t>
  </si>
  <si>
    <t>EPIROC DRC SARLU</t>
  </si>
  <si>
    <t>RIGHT SERVICE SARL</t>
  </si>
  <si>
    <t>ALFRED H KNIGHT DRC SARL</t>
  </si>
  <si>
    <t>ETUDE KABINDA AVOCATS DRC SARL</t>
  </si>
  <si>
    <t>ANSULTECH FIRE SYSTEMS SARL</t>
  </si>
  <si>
    <t>MINES D'AFRIQUE SARL - MINAF</t>
  </si>
  <si>
    <t>STEEL LUBUMBASHI SARL</t>
  </si>
  <si>
    <t>T-THREE DRILLING DRC SARL</t>
  </si>
  <si>
    <t>BABA DRILLING DRC SARL</t>
  </si>
  <si>
    <t>OGIE TRADING &amp; PROJECTS</t>
  </si>
  <si>
    <t>HIMALAYA BRICK CONSTRUCTION - HBC</t>
  </si>
  <si>
    <t>AMAZON MINING SERVICES SARL</t>
  </si>
  <si>
    <t>CFAO MOTORS RDC SARL</t>
  </si>
  <si>
    <t>RUBATEK SARL</t>
  </si>
  <si>
    <t>SMART MOVE DRC</t>
  </si>
  <si>
    <t>GUY SWANA CATHERINE KASONGO SARL - T/A - GSCK SARL</t>
  </si>
  <si>
    <t>KIPELO MASHIND MULTISERVICES SARL - EKMM</t>
  </si>
  <si>
    <t>MUTENDE MINING SUPPLY SARL</t>
  </si>
  <si>
    <t>WARDELL ARMSTRONG INTERNATIONAL LTD</t>
  </si>
  <si>
    <t>DRILL AFRICA CONGO SARL</t>
  </si>
  <si>
    <t>SEAFOOD BASKET CONGO SARL</t>
  </si>
  <si>
    <t>ETS AUTO TIMA</t>
  </si>
  <si>
    <t>ALASKA SARL</t>
  </si>
  <si>
    <t>ELECTRO DRIVES SL</t>
  </si>
  <si>
    <t>METC ENGINEERING (PTY) LTD</t>
  </si>
  <si>
    <t>ALS CHEMEX SA (PTY) LTD</t>
  </si>
  <si>
    <t>CHRISTINA TRADING SARL</t>
  </si>
  <si>
    <t>FAILA PROJECTS &amp; INDUSTRIAL SUPPLIES SARL - T/A FAILA PIS</t>
  </si>
  <si>
    <t>VBKOM CONSULTING ENGINEERS (PTY) LTD</t>
  </si>
  <si>
    <t>NUPHAZE PROJECT SOLUTIONS SARL</t>
  </si>
  <si>
    <t>VIVIDLINE SARL</t>
  </si>
  <si>
    <t>SPECTRA OIL CORPORATION LTD</t>
  </si>
  <si>
    <t>AGRIMAX SARL</t>
  </si>
  <si>
    <t>WEIR MINERALS DRC SAS</t>
  </si>
  <si>
    <t>CONGO CONSULTING &amp; SERVICES SARL</t>
  </si>
  <si>
    <t>THASILUM TECHNOLOGIES LTD</t>
  </si>
  <si>
    <t>CUPROLABO SARL</t>
  </si>
  <si>
    <t>RAPIDO ENGINEERING SARL</t>
  </si>
  <si>
    <t>DREYER RISK SOLUTIONS SARL</t>
  </si>
  <si>
    <t>MEASURED INTERNATIONAL PTE LTD</t>
  </si>
  <si>
    <t>SRK CONSULTING SA (PTY) LTD</t>
  </si>
  <si>
    <t>ASTEC-MET LTD</t>
  </si>
  <si>
    <t>MARGUERITE LUBUNGA MUKOKA SARL</t>
  </si>
  <si>
    <t>KAPAMBWE NGOIE BIN LENGE PAUL - T/A ETS BIN CONSULTING</t>
  </si>
  <si>
    <t>ROBINSON INTERNATIONAL AFRIQUE SARL - T/A RIA SARL</t>
  </si>
  <si>
    <t>MOBRIN SOLUTIONS LTD</t>
  </si>
  <si>
    <t>CEVA LOGISTICS ZAMBIA LTD</t>
  </si>
  <si>
    <t>EJKK LOGISTICS &amp; SERVICES</t>
  </si>
  <si>
    <t>UNIVERSAL MINING SERVICES SARL</t>
  </si>
  <si>
    <t>MULTIQUIP INDUSTRIAL SOLUTIONS LTD</t>
  </si>
  <si>
    <t>INTERNATIONAL COLLECTIVE VENTURE - T/A ICV</t>
  </si>
  <si>
    <t>KAFC INVESTMENTS SARL</t>
  </si>
  <si>
    <t>ETS LA PROVIDENCE</t>
  </si>
  <si>
    <t>PETROTECH SERVICES (PTY) LTD</t>
  </si>
  <si>
    <t>GAMMY INVESTMENTS SARL</t>
  </si>
  <si>
    <t>CENTRE DE SANTE 'MARIE AUXILIATRICE'</t>
  </si>
  <si>
    <t>C&amp;J CONSULTANTS SARL</t>
  </si>
  <si>
    <t>ATLAS COPCO INDUSTRIAL ZAMBIA LTD</t>
  </si>
  <si>
    <t>IGIT SALOHCIN LTD</t>
  </si>
  <si>
    <t>BEN MOTORS SARL</t>
  </si>
  <si>
    <t>DUPLICATE - BEARING MAN GROUP LTD - ZAMBIA</t>
  </si>
  <si>
    <t>ORYX OIL ZAMBIA LTD</t>
  </si>
  <si>
    <t>AFROX ZAMBIA</t>
  </si>
  <si>
    <t>CARCI MINING CONSULTANTS LTD</t>
  </si>
  <si>
    <t>GENERAL INDUSTRIAL SUPPLIES &amp; SERVICES SARL - T/A GISS SARL</t>
  </si>
  <si>
    <t>ARROW BEARINGS DRC SARL</t>
  </si>
  <si>
    <t>ETS UNITED SCIENTIFICS</t>
  </si>
  <si>
    <t>ENTENTE TAYLOR</t>
  </si>
  <si>
    <t>PITEAU ASSOCIATES SOUTH AFRICA (PTY) LTD</t>
  </si>
  <si>
    <t>SITA SARL</t>
  </si>
  <si>
    <t>ENVIRONMENTAL &amp; MINING SERVICES - T/A EMIS SARL</t>
  </si>
  <si>
    <t>LEXAP DISTRIBUTORS LTD</t>
  </si>
  <si>
    <t>LIBERTY SARL</t>
  </si>
  <si>
    <t>SRK CONSULTING (UK) LIMITED</t>
  </si>
  <si>
    <t>SHAKTI ENGINEERING LIMITED</t>
  </si>
  <si>
    <t>JC BOUSFIELD LTD</t>
  </si>
  <si>
    <t>CIC GLOBAL SARL - T/A MOTEX SARL</t>
  </si>
  <si>
    <t>DUNETON (PTY) LTD</t>
  </si>
  <si>
    <t>GWR CONSULTING LTD</t>
  </si>
  <si>
    <t>CONNEXAFRICA RDC SARL</t>
  </si>
  <si>
    <t>LOVEZONE INVESTMENTS LIMITED</t>
  </si>
  <si>
    <t>A &amp; B MYLEC (PTY) LTD</t>
  </si>
  <si>
    <t>PRECISION POINT CONSULTING (PTY) LTD</t>
  </si>
  <si>
    <t>SPRUCELAND TECHNOLOGIES GROUP LIMITED</t>
  </si>
  <si>
    <t>ALFRED H KNIGHT ZAMBIA LTD</t>
  </si>
  <si>
    <t>ELEMENT MATERIALS TECHNOLOGY</t>
  </si>
  <si>
    <t>DONEL COMPANY SARL</t>
  </si>
  <si>
    <t>SCAW LTD - ZAMBIA</t>
  </si>
  <si>
    <t>CONTEMPO LTD</t>
  </si>
  <si>
    <t>TRACKCOR (PTY) LTD</t>
  </si>
  <si>
    <t>STESON GLOBAL DRC</t>
  </si>
  <si>
    <t>DR N CHRISTODOULOU - T/A DOVER SYSTEMS</t>
  </si>
  <si>
    <t>EPOCH RESOURCES (PTY) LTD</t>
  </si>
  <si>
    <t>SCANMIN AFRICA (PTY) LTD</t>
  </si>
  <si>
    <t>DASSAULT SYSTEMES SA (PTY) LTD</t>
  </si>
  <si>
    <t>SOCIETE SOLUTION ADDRESS SARL</t>
  </si>
  <si>
    <t>RIAAN HERMAN CONSULTING CC</t>
  </si>
  <si>
    <t>JEFFERY TRAVELS SARL</t>
  </si>
  <si>
    <t>TERRE BLANCHE</t>
  </si>
  <si>
    <t>AUDREY NELLY COMPANY SERVICES - ETS ANCS</t>
  </si>
  <si>
    <t>PARATUS TELECOMMUNICATIONS LTD</t>
  </si>
  <si>
    <t>DEM DRC SARL</t>
  </si>
  <si>
    <t>OPEN HOUSE MANAGEMENT SOLUTIONS (PTY) LTD</t>
  </si>
  <si>
    <t>BOSS K INC SARL</t>
  </si>
  <si>
    <t>IN SITU  iNC EUROPE LTD</t>
  </si>
  <si>
    <t>JAPAN MOTORS AFRICA SARL</t>
  </si>
  <si>
    <t>REMA TIP TOP SERVICES ZAMBIA (LTD)</t>
  </si>
  <si>
    <t>EC MINING LTD</t>
  </si>
  <si>
    <t>EKM LABO BUSINESS SARL</t>
  </si>
  <si>
    <t>TRUE MECH LTD</t>
  </si>
  <si>
    <t>NITROX ENTERPRISES</t>
  </si>
  <si>
    <t>BLC PARTS (PTY) LTD</t>
  </si>
  <si>
    <t>BRONIX INSTRUMENTS LTD</t>
  </si>
  <si>
    <t>CUSTOMIZED CLEARING &amp; FORWARDING LTD</t>
  </si>
  <si>
    <t>CHEMTECH LABORATORY SERVICES CC</t>
  </si>
  <si>
    <t>KSB ZAMBIA LTD</t>
  </si>
  <si>
    <t>Tradecorp Logistics FZE</t>
  </si>
  <si>
    <t>ETRANGER</t>
  </si>
  <si>
    <t>xxxxxxxxx</t>
  </si>
  <si>
    <t>DUBAI</t>
  </si>
  <si>
    <t>Tradecorp Freight Forwarders SPRL</t>
  </si>
  <si>
    <t>LOCAL</t>
  </si>
  <si>
    <t>A1200714Q</t>
  </si>
  <si>
    <t>KINSHASA</t>
  </si>
  <si>
    <t>KIBALI MINING SERVICES (KMS)  USD</t>
  </si>
  <si>
    <t>A1205197N</t>
  </si>
  <si>
    <t>EUROPE FONDATIONS SA</t>
  </si>
  <si>
    <t>ST QUENTIN YVELINES CEDEX</t>
  </si>
  <si>
    <t>KAS 1 LIMITED</t>
  </si>
  <si>
    <t>LUXEMBOURG CITY</t>
  </si>
  <si>
    <t>Inter Oriental Builders</t>
  </si>
  <si>
    <t>A1210107A</t>
  </si>
  <si>
    <t>UELE</t>
  </si>
  <si>
    <t>ORICA TANZANIA LIMITED</t>
  </si>
  <si>
    <t>DAR ES SALAAM</t>
  </si>
  <si>
    <t>Boart Longyear DRC SPRL</t>
  </si>
  <si>
    <t>A0812659U</t>
  </si>
  <si>
    <t>LUBUMBASHI</t>
  </si>
  <si>
    <t>Kongo River SAS</t>
  </si>
  <si>
    <t>A1704253S</t>
  </si>
  <si>
    <t>OREZONE DRILLING SARL</t>
  </si>
  <si>
    <t>Golden Camp Solutions</t>
  </si>
  <si>
    <t>A1505722M</t>
  </si>
  <si>
    <t>Universal Security</t>
  </si>
  <si>
    <t>A0703768E</t>
  </si>
  <si>
    <t>Amazone Services SARL</t>
  </si>
  <si>
    <t>A2042854D</t>
  </si>
  <si>
    <t>DURBA</t>
  </si>
  <si>
    <t>BTC Minings and Services SARL</t>
  </si>
  <si>
    <t>ETS MD SOUS-TRAITANCE DU PERSONNEL</t>
  </si>
  <si>
    <t>GECOTRANS SARL</t>
  </si>
  <si>
    <t>A0700854M</t>
  </si>
  <si>
    <t>Orica Zambia Limited</t>
  </si>
  <si>
    <t>KITWE</t>
  </si>
  <si>
    <t>RAWSUR Assurances</t>
  </si>
  <si>
    <t>A1603093F</t>
  </si>
  <si>
    <t>SGS MINERALS RDC SPRL</t>
  </si>
  <si>
    <t>MSALABS DRC SAS</t>
  </si>
  <si>
    <t>A2200526X</t>
  </si>
  <si>
    <t>UELE MOTORS CORPORATION SARL</t>
  </si>
  <si>
    <t>A1307325C</t>
  </si>
  <si>
    <t>WATSA</t>
  </si>
  <si>
    <t>Centre Hospitalier Kibali</t>
  </si>
  <si>
    <t>ISIRO</t>
  </si>
  <si>
    <t>DCMS Global SARL</t>
  </si>
  <si>
    <t>A1808294L</t>
  </si>
  <si>
    <t>ORICA BMK SASU</t>
  </si>
  <si>
    <t>Master Drilling RDC SARL</t>
  </si>
  <si>
    <t>xxxx</t>
  </si>
  <si>
    <t>KOLWEZI</t>
  </si>
  <si>
    <t>Air Liquide RDC SA</t>
  </si>
  <si>
    <t>A1314522A</t>
  </si>
  <si>
    <t>Compagnie Multimodale d'Ingenierie</t>
  </si>
  <si>
    <t>Tractafric Equipment RDC Sprl</t>
  </si>
  <si>
    <t>A1112978U</t>
  </si>
  <si>
    <t>Maelgwyn Mineral Services Africa</t>
  </si>
  <si>
    <t>ROODEPOORT</t>
  </si>
  <si>
    <t>Eagle Engineering Services</t>
  </si>
  <si>
    <t>A1915181Y</t>
  </si>
  <si>
    <t>Contract Mining &amp; Construction SARL</t>
  </si>
  <si>
    <t>A2172284T</t>
  </si>
  <si>
    <t>GOMA</t>
  </si>
  <si>
    <t>Autoredo</t>
  </si>
  <si>
    <t>BRUXELLES</t>
  </si>
  <si>
    <t>CARGOTRANS SARL FREIGHT</t>
  </si>
  <si>
    <t>A1505727S</t>
  </si>
  <si>
    <t>Locked Tradecorp Freight Forwards S</t>
  </si>
  <si>
    <t>Societe Modernite SARLU</t>
  </si>
  <si>
    <t>KJME SARL</t>
  </si>
  <si>
    <t>A2031668E</t>
  </si>
  <si>
    <t>Star Building Company</t>
  </si>
  <si>
    <t>M14364A</t>
  </si>
  <si>
    <t>Bridgestone South Africa (Pty) Ltd</t>
  </si>
  <si>
    <t>MIDRAND</t>
  </si>
  <si>
    <t>Paragon Tailings DRC SARL</t>
  </si>
  <si>
    <t>A1708256T</t>
  </si>
  <si>
    <t>CONGO EXPRESS AIRLINES  USD</t>
  </si>
  <si>
    <t>A1002036A</t>
  </si>
  <si>
    <t>ORFAP World Wide</t>
  </si>
  <si>
    <t>AXESS Networks Solutions Germany Gm</t>
  </si>
  <si>
    <t>RUPPICHTEROTH</t>
  </si>
  <si>
    <t>Star Tradings SARL</t>
  </si>
  <si>
    <t>A1808768B</t>
  </si>
  <si>
    <t>MGMM &amp; ASSOCIES</t>
  </si>
  <si>
    <t>A1619090T</t>
  </si>
  <si>
    <t>New OGS Expertise SARLU</t>
  </si>
  <si>
    <t>A1913372G</t>
  </si>
  <si>
    <t>Societe Financiere d'Assurance</t>
  </si>
  <si>
    <t>A1714515X</t>
  </si>
  <si>
    <t>I-Services Consulting SARL</t>
  </si>
  <si>
    <t>A1601935X</t>
  </si>
  <si>
    <t>TRACTAFRIC EQUIPMENT INTERNATIONAL</t>
  </si>
  <si>
    <t>EBENE</t>
  </si>
  <si>
    <t>Office Congolais de Controle</t>
  </si>
  <si>
    <t>A0700325M</t>
  </si>
  <si>
    <t>Groupe Ututu &amp; Basele Services</t>
  </si>
  <si>
    <t>A1911980T</t>
  </si>
  <si>
    <t>Lutula Trading Company</t>
  </si>
  <si>
    <t>A1622455B</t>
  </si>
  <si>
    <t>Centre d'Expertise, d'Evaluation</t>
  </si>
  <si>
    <t>xx</t>
  </si>
  <si>
    <t>Dilcom IT Solutions (U) Ltd</t>
  </si>
  <si>
    <t>KAMPALA</t>
  </si>
  <si>
    <t>ML Services</t>
  </si>
  <si>
    <t>A1905754B</t>
  </si>
  <si>
    <t>SOCIETE IMMOBILIERE ET DE PRESTATIO</t>
  </si>
  <si>
    <t>A1510150A</t>
  </si>
  <si>
    <t>OGK Constructions SARLU</t>
  </si>
  <si>
    <t>A2156976E</t>
  </si>
  <si>
    <t>ARIWARA</t>
  </si>
  <si>
    <t>Ore Resource Consultants Ltd</t>
  </si>
  <si>
    <t>FORBACH</t>
  </si>
  <si>
    <t>PAN AFRICAN COMPANY SARL</t>
  </si>
  <si>
    <t>A0704885T</t>
  </si>
  <si>
    <t>Vodacom Congo SA</t>
  </si>
  <si>
    <t>xxx</t>
  </si>
  <si>
    <t>SANDVIK MIDDLE EAST FZE</t>
  </si>
  <si>
    <t>ASSOCITION DES MAMANS MALEWA</t>
  </si>
  <si>
    <t>xxxxx</t>
  </si>
  <si>
    <t>Global Truck Logistics SARL</t>
  </si>
  <si>
    <t>M14388B</t>
  </si>
  <si>
    <t>Industrial Services (DRC) SARL</t>
  </si>
  <si>
    <t>Bright Future Business Company</t>
  </si>
  <si>
    <t>A1907202A</t>
  </si>
  <si>
    <t>Venter Consulting Engineers (Pty) L</t>
  </si>
  <si>
    <t>CENTURION</t>
  </si>
  <si>
    <t>Jozi Gensets Limited</t>
  </si>
  <si>
    <t>TAMARIN</t>
  </si>
  <si>
    <t>Hyspec Mining Services Congo SARL</t>
  </si>
  <si>
    <t>A1403365Z</t>
  </si>
  <si>
    <t>CENTRE MÉDICAL DE KINSHASA</t>
  </si>
  <si>
    <t>WINDER CONTROLS (PTY) LTD</t>
  </si>
  <si>
    <t>BEDFORDVIEW</t>
  </si>
  <si>
    <t>WD POWER (PTY) LTD</t>
  </si>
  <si>
    <t>BOKSBURG</t>
  </si>
  <si>
    <t>Digby Wells Environmental (Jersey)</t>
  </si>
  <si>
    <t>ST HELIER</t>
  </si>
  <si>
    <t>ABB South Africa (Pty) Ltd</t>
  </si>
  <si>
    <t>MODDERFONTEIN</t>
  </si>
  <si>
    <t>Cargo Trans SARL</t>
  </si>
  <si>
    <t>SAVE MINING ENVIRONMENT SARL</t>
  </si>
  <si>
    <t>A1701811N</t>
  </si>
  <si>
    <t>Imdex Global B.V. (DMCC Branch)</t>
  </si>
  <si>
    <t>TRANSCOM SERVICES (PTY) LTD</t>
  </si>
  <si>
    <t>GERMISTON</t>
  </si>
  <si>
    <t>SIMAX ENGINEERING LIMITED</t>
  </si>
  <si>
    <t>NAIROBI</t>
  </si>
  <si>
    <t>Resultant Consulting Engineers (Pty</t>
  </si>
  <si>
    <t>ROSEBANK</t>
  </si>
  <si>
    <t>SYBYL Limited</t>
  </si>
  <si>
    <t>GLOBAL SERVICES CONGO SARL</t>
  </si>
  <si>
    <t>A1902753P</t>
  </si>
  <si>
    <t>MAJALIWA MWANJALOLO</t>
  </si>
  <si>
    <t>BluESP (Pty) Ltd</t>
  </si>
  <si>
    <t>FOURWAYS</t>
  </si>
  <si>
    <t>SURUR ACCEIL TOUTS</t>
  </si>
  <si>
    <t>M14350K</t>
  </si>
  <si>
    <t>ADN DRILLING SOLUTIONS RDC</t>
  </si>
  <si>
    <t>A1917398H</t>
  </si>
  <si>
    <t>LABORATOIRE RODOLPHE MERIEUX INRB G</t>
  </si>
  <si>
    <t>Dignet IT Services (U) Limited</t>
  </si>
  <si>
    <t>Pearl Logistics &amp; Engineering Servi</t>
  </si>
  <si>
    <t>A2033680G</t>
  </si>
  <si>
    <t>Daniel Mukeba Services SARL</t>
  </si>
  <si>
    <t>A140230S</t>
  </si>
  <si>
    <t>ALS CHEMEX SOUTH AFRICA (PTY) LTD</t>
  </si>
  <si>
    <t>EDENVALE</t>
  </si>
  <si>
    <t>Epoch Resources (Pty) Ltd</t>
  </si>
  <si>
    <t>ORIENTAL ROAD AND CONSTRUCTION SARL</t>
  </si>
  <si>
    <t>A1912530R</t>
  </si>
  <si>
    <t>Energold Driling (EMEA) Limited</t>
  </si>
  <si>
    <t>WARWICK</t>
  </si>
  <si>
    <t>Primefuels Lubricants Ltd</t>
  </si>
  <si>
    <t>xxxxxxxx</t>
  </si>
  <si>
    <t>HOTEL MEMLING</t>
  </si>
  <si>
    <t>A0700312Y</t>
  </si>
  <si>
    <t>THYSSENKRUPP INDUSTRIAL SOLUTIONS</t>
  </si>
  <si>
    <t>SUNNINGHILL</t>
  </si>
  <si>
    <t>MABADILIKO SOCIAL PERFORMANCE</t>
  </si>
  <si>
    <t>PARKHURST</t>
  </si>
  <si>
    <t>African Parks Network</t>
  </si>
  <si>
    <t>xxxxxx</t>
  </si>
  <si>
    <t>LONEHILL</t>
  </si>
  <si>
    <t>Safari Group Services Sarlu</t>
  </si>
  <si>
    <t>A1712606X</t>
  </si>
  <si>
    <t>Top Engineering Services</t>
  </si>
  <si>
    <t>A151903A</t>
  </si>
  <si>
    <t>Locked Maptek Southern Africa (Pty)</t>
  </si>
  <si>
    <t>GROUPE NORBERT SERVICE</t>
  </si>
  <si>
    <t>A2042275Z</t>
  </si>
  <si>
    <t>EKA INVESTMENT SARL</t>
  </si>
  <si>
    <t>A1918419S</t>
  </si>
  <si>
    <t>DURBA/WATSA</t>
  </si>
  <si>
    <t>Map Logistics SARL</t>
  </si>
  <si>
    <t>M053105</t>
  </si>
  <si>
    <t>Spinelli &amp; Blake, LLC</t>
  </si>
  <si>
    <t>VANCOUVER</t>
  </si>
  <si>
    <t>BARI KIBALI CONSTRUCTION</t>
  </si>
  <si>
    <t>M14356R</t>
  </si>
  <si>
    <t>Mutupe Ngefu Tambwe</t>
  </si>
  <si>
    <t>A1703937Z</t>
  </si>
  <si>
    <t>EMIAFRICA SARL</t>
  </si>
  <si>
    <t>A1801315A</t>
  </si>
  <si>
    <t>Kangazam SARL</t>
  </si>
  <si>
    <t>A1912759Q</t>
  </si>
  <si>
    <t>Datamine Africa (Pty) Ltd</t>
  </si>
  <si>
    <t>ILLOVO</t>
  </si>
  <si>
    <t>Yem Congo Logistics SARL</t>
  </si>
  <si>
    <t>A2165139C</t>
  </si>
  <si>
    <t>BUKAVU</t>
  </si>
  <si>
    <t>SINAI GROUPE SERVICE</t>
  </si>
  <si>
    <t>A1621137T</t>
  </si>
  <si>
    <t>Tout est Grace SARLU</t>
  </si>
  <si>
    <t>xxxxxxx</t>
  </si>
  <si>
    <t>Hope Trading Business</t>
  </si>
  <si>
    <t>A2154770G</t>
  </si>
  <si>
    <t>Magic Solution Global</t>
  </si>
  <si>
    <t>A1920349Q</t>
  </si>
  <si>
    <t>BONGISA MBOKA SARL</t>
  </si>
  <si>
    <t>M14566U</t>
  </si>
  <si>
    <t>DAV Trading Consulting SARLU</t>
  </si>
  <si>
    <t>A1710248J</t>
  </si>
  <si>
    <t>ENGINEERS TEAM</t>
  </si>
  <si>
    <t>A1724134C</t>
  </si>
  <si>
    <t>Shekinah Business Services SARL</t>
  </si>
  <si>
    <t>A18105959M</t>
  </si>
  <si>
    <t>SOCIETE MUNGU IKO</t>
  </si>
  <si>
    <t>A1901660B</t>
  </si>
  <si>
    <t>Deswik Mining Consultants (Pty) Ltd</t>
  </si>
  <si>
    <t>M&amp;M PARTNERS CONGO SARL</t>
  </si>
  <si>
    <t>Rockwell Automation (Pty) Ltd</t>
  </si>
  <si>
    <t>FERNDALE</t>
  </si>
  <si>
    <t>Mwana Uele Full Services</t>
  </si>
  <si>
    <t>A1701152X</t>
  </si>
  <si>
    <t>Groupe Engineering Logistic SARL</t>
  </si>
  <si>
    <t>A1807854H</t>
  </si>
  <si>
    <t>CAMS INVEST SARL</t>
  </si>
  <si>
    <t>A1804977C</t>
  </si>
  <si>
    <t>Sociate Nationale D'assurance</t>
  </si>
  <si>
    <t>MSE de Clercq t/a</t>
  </si>
  <si>
    <t>BUSHMAN'S RIVER MOUTH</t>
  </si>
  <si>
    <t>Maptek Southern Africa (Pty) Ltd</t>
  </si>
  <si>
    <t>GENECOM SARL</t>
  </si>
  <si>
    <t>A11821147G</t>
  </si>
  <si>
    <t>Dassault Systemes South Africa (Pty</t>
  </si>
  <si>
    <t>DYNAMIQUE POUR UN CONGO MEILLEUR</t>
  </si>
  <si>
    <t>A1616241K</t>
  </si>
  <si>
    <t>African Assay Laboratories (T) Ltd</t>
  </si>
  <si>
    <t>Jena Trading SARL</t>
  </si>
  <si>
    <t>A1804950B</t>
  </si>
  <si>
    <t>Business Negoce and Partners SARL</t>
  </si>
  <si>
    <t>A1704412Q</t>
  </si>
  <si>
    <t>Dwyka Mining Services (Pty) Ltd</t>
  </si>
  <si>
    <t>JOHANNESBURG</t>
  </si>
  <si>
    <t>Shammah SARL</t>
  </si>
  <si>
    <t>SAYO COMPANY LTD</t>
  </si>
  <si>
    <t>M05451M</t>
  </si>
  <si>
    <t>PAL Solutions International</t>
  </si>
  <si>
    <t>Advanced Mineral Technology Laborat</t>
  </si>
  <si>
    <t>LONDON</t>
  </si>
  <si>
    <t>Hope Logistic Company</t>
  </si>
  <si>
    <t>A1614467T</t>
  </si>
  <si>
    <t>Ndidi Services SARLU</t>
  </si>
  <si>
    <t>A2164969S</t>
  </si>
  <si>
    <t>MODERN COMFORT SERVICE</t>
  </si>
  <si>
    <t>Stame SARL</t>
  </si>
  <si>
    <t>A1702572Q</t>
  </si>
  <si>
    <t>Global Laboratories (Pty) Ltd</t>
  </si>
  <si>
    <t>NELSPRUIT</t>
  </si>
  <si>
    <t>Group Five Services SARL</t>
  </si>
  <si>
    <t>A2026434F</t>
  </si>
  <si>
    <t>Aluza Services SARL</t>
  </si>
  <si>
    <t>A1703866X</t>
  </si>
  <si>
    <t>Rockshield International Ltd</t>
  </si>
  <si>
    <t>ENTEBBE</t>
  </si>
  <si>
    <t>Alpha Business Consulting</t>
  </si>
  <si>
    <t>BUNIA</t>
  </si>
  <si>
    <t>Jeunesse pour le Developement du ha</t>
  </si>
  <si>
    <t>A1804084K</t>
  </si>
  <si>
    <t>ETS Mungu ni Mwema</t>
  </si>
  <si>
    <t>A1714421U</t>
  </si>
  <si>
    <t>NATHO BUSINESS SERVICE</t>
  </si>
  <si>
    <t>A1920519A</t>
  </si>
  <si>
    <t>Avenir Congo Meilleur SARL</t>
  </si>
  <si>
    <t>A1715507A</t>
  </si>
  <si>
    <t>SOFT SERVICES AND ENGINEERING SARLU</t>
  </si>
  <si>
    <t>A2033774J</t>
  </si>
  <si>
    <t>Delta Services RDC</t>
  </si>
  <si>
    <t>A2025354G</t>
  </si>
  <si>
    <t>ETS TRECIA PRIMEUR</t>
  </si>
  <si>
    <t>A1709538M</t>
  </si>
  <si>
    <t>MORIAH LOGISTICS SARL</t>
  </si>
  <si>
    <t>A1914244E</t>
  </si>
  <si>
    <t>Groupe TBO Services SARL</t>
  </si>
  <si>
    <t>A1914844G</t>
  </si>
  <si>
    <t>Congo Power Services SARL</t>
  </si>
  <si>
    <t>A1702116U</t>
  </si>
  <si>
    <t>Locked Doherty Associates</t>
  </si>
  <si>
    <t>ATTOW (PTY) LTD</t>
  </si>
  <si>
    <t>wvxdd</t>
  </si>
  <si>
    <t>HARTBEESPOORT</t>
  </si>
  <si>
    <t>GROUPE COMMUNAUTAIRE KALIVA</t>
  </si>
  <si>
    <t>M05339Q</t>
  </si>
  <si>
    <t>Jura Logistics Services</t>
  </si>
  <si>
    <t>A2034936X</t>
  </si>
  <si>
    <t>CONGO SERVICES ENGINEERING</t>
  </si>
  <si>
    <t>A1600012G</t>
  </si>
  <si>
    <t>Groupe Multi Service SARLU</t>
  </si>
  <si>
    <t>A1915586N</t>
  </si>
  <si>
    <t>Eyano Services SARL</t>
  </si>
  <si>
    <t>A2040384T</t>
  </si>
  <si>
    <t>Akili Consulting SARL</t>
  </si>
  <si>
    <t>A1815958R</t>
  </si>
  <si>
    <t>Umoja Ni Nguvu</t>
  </si>
  <si>
    <t>A2042401L</t>
  </si>
  <si>
    <t>Gambali Business Company SARL</t>
  </si>
  <si>
    <t>M05337N</t>
  </si>
  <si>
    <t>Societe Wasomi Ulinzi Services SARL</t>
  </si>
  <si>
    <t>vsdvsdv</t>
  </si>
  <si>
    <t>BBOXX CAPITAL RDC SARL</t>
  </si>
  <si>
    <t>A1714758L</t>
  </si>
  <si>
    <t>STRONG SERVICES SARLU</t>
  </si>
  <si>
    <t>A2026956Y</t>
  </si>
  <si>
    <t>Garamba Group SARL</t>
  </si>
  <si>
    <t>svsdvsdff</t>
  </si>
  <si>
    <t>Rehoboth Trading SARL</t>
  </si>
  <si>
    <t>A1919800T</t>
  </si>
  <si>
    <t>KPM</t>
  </si>
  <si>
    <t>M14303J</t>
  </si>
  <si>
    <t>Seswike Personnel Outsourcing &amp;</t>
  </si>
  <si>
    <t>dfvdcxx</t>
  </si>
  <si>
    <t>HAGA HAGA</t>
  </si>
  <si>
    <t>ETS Kabamba et Fils</t>
  </si>
  <si>
    <t>M14496T</t>
  </si>
  <si>
    <t>DEVELOPPEMENT IMMOBILIER AU CONGO (</t>
  </si>
  <si>
    <t>A1004204G</t>
  </si>
  <si>
    <t>AERONAUTIC CONSULTING AND SERVICES</t>
  </si>
  <si>
    <t>A161927BY</t>
  </si>
  <si>
    <t>BRADY PROTECTION INCENDIE</t>
  </si>
  <si>
    <t>TRE Altamira SRL</t>
  </si>
  <si>
    <t>MILANO</t>
  </si>
  <si>
    <t>Barak Allah Construction</t>
  </si>
  <si>
    <t>M05467E</t>
  </si>
  <si>
    <t>KIND GROUP SARL</t>
  </si>
  <si>
    <t>A2159526B</t>
  </si>
  <si>
    <t>MANTRAC UGANDA LTD</t>
  </si>
  <si>
    <t>FLSmidth (Pty) Ltd</t>
  </si>
  <si>
    <t>xxxxs</t>
  </si>
  <si>
    <t>Tetra Tech, Inc.</t>
  </si>
  <si>
    <t>xxqsd</t>
  </si>
  <si>
    <t>PASADENA</t>
  </si>
  <si>
    <t>NAMAF CONSULTING SARL</t>
  </si>
  <si>
    <t>A1202400Y</t>
  </si>
  <si>
    <t>VISION GREEN ENGINEERING SARL</t>
  </si>
  <si>
    <t>A1716116M</t>
  </si>
  <si>
    <t>RENZI MPE MBOKA</t>
  </si>
  <si>
    <t>A2026068H</t>
  </si>
  <si>
    <t>Murray &amp; Roberts Cementation</t>
  </si>
  <si>
    <t>edxsd</t>
  </si>
  <si>
    <t>Condra (Pty) Ltd</t>
  </si>
  <si>
    <t>xsdfe</t>
  </si>
  <si>
    <t>GOSFORTH PARK</t>
  </si>
  <si>
    <t>STE COOPERATIVE JOLIE JOLIE POUR</t>
  </si>
  <si>
    <t>A2026362C</t>
  </si>
  <si>
    <t>Power Quality Commercial (Pty) Ltd</t>
  </si>
  <si>
    <t>MINREP DATA SYSTEMS</t>
  </si>
  <si>
    <t>WEST LEEDERVILLE</t>
  </si>
  <si>
    <t>Afia Sante</t>
  </si>
  <si>
    <t>Electronic Solution SARLU</t>
  </si>
  <si>
    <t>A21697388</t>
  </si>
  <si>
    <t>PROFplus Automated Systems CC</t>
  </si>
  <si>
    <t>MOOINOOI</t>
  </si>
  <si>
    <t>Compagnie Ikamva Rangbarangba SARL</t>
  </si>
  <si>
    <t>Maxwell Geological Services (Pty) L</t>
  </si>
  <si>
    <t>SOCIETE OLADA INNOVATIONS SARL</t>
  </si>
  <si>
    <t>A2033857Z</t>
  </si>
  <si>
    <t>Locked Birchman Solutions Limited</t>
  </si>
  <si>
    <t>HARE HATCH</t>
  </si>
  <si>
    <t>REVOTECH CONSULTING SARL</t>
  </si>
  <si>
    <t>A1604788Y</t>
  </si>
  <si>
    <t>Al-Jaariyat General Services SARL</t>
  </si>
  <si>
    <t>CONGO CONSTRUCTION &amp; TRANSPORT</t>
  </si>
  <si>
    <t>M05468F</t>
  </si>
  <si>
    <t>ETS Bozogo et Fils</t>
  </si>
  <si>
    <t>A1715349D</t>
  </si>
  <si>
    <t>Groupe Kanze Services</t>
  </si>
  <si>
    <t>M14300D</t>
  </si>
  <si>
    <t>Altek Solutions</t>
  </si>
  <si>
    <t>MEYERSDAL</t>
  </si>
  <si>
    <t>AUTORITE DE L'AVIATION CIVILE</t>
  </si>
  <si>
    <t>A1503905M</t>
  </si>
  <si>
    <t>Rocklab</t>
  </si>
  <si>
    <t>PRETORIA</t>
  </si>
  <si>
    <t>BOPETO ENVIRONMENT</t>
  </si>
  <si>
    <t>M13086L</t>
  </si>
  <si>
    <t>ETS E-Solution</t>
  </si>
  <si>
    <t>M12613X</t>
  </si>
  <si>
    <t>Locked Advanced Mineral Technology</t>
  </si>
  <si>
    <t>National Quality Assurance (Pty) Lt</t>
  </si>
  <si>
    <t>COOPERATIVES AGRICOLES DE KIBALI</t>
  </si>
  <si>
    <t>BUSINESS INTELLIGENCE AND</t>
  </si>
  <si>
    <t>PILOT CRUSHTEC INT (PTY) LTD</t>
  </si>
  <si>
    <t>JET PARK</t>
  </si>
  <si>
    <t>Maptek Ltd</t>
  </si>
  <si>
    <t>EDINBURGH</t>
  </si>
  <si>
    <t>GROUPE D'APPUIE A LA RECONSTRUCTION</t>
  </si>
  <si>
    <t>M05318S</t>
  </si>
  <si>
    <t>KSCA Geomechanics Pty Ltd</t>
  </si>
  <si>
    <t>PERTH</t>
  </si>
  <si>
    <t>Dempers &amp; Seymour Pty Ltd</t>
  </si>
  <si>
    <t>BALCATTA</t>
  </si>
  <si>
    <t>Groupe Kaloma &amp; Associes Services</t>
  </si>
  <si>
    <t>A1616279N</t>
  </si>
  <si>
    <t>EPIROC TANZANIA LIMITED</t>
  </si>
  <si>
    <t>MWANZA</t>
  </si>
  <si>
    <t>Mercy Trading Africa SARLU</t>
  </si>
  <si>
    <t>A2039096T</t>
  </si>
  <si>
    <t>RAYON SERVICE SARL</t>
  </si>
  <si>
    <t>A18068975</t>
  </si>
  <si>
    <t>COMMISSARIAT GENERAL A L'ENERGIE AT</t>
  </si>
  <si>
    <t>Alimics SPRL</t>
  </si>
  <si>
    <t>M14297C</t>
  </si>
  <si>
    <t>CrEng (Pty) Ltd</t>
  </si>
  <si>
    <t>BOOTH FIRE SERVICES LIMITED   USD</t>
  </si>
  <si>
    <t>Mayumbu Trading</t>
  </si>
  <si>
    <t>A17167966B</t>
  </si>
  <si>
    <t>Nouvelle Alliance du Congo</t>
  </si>
  <si>
    <t>A1720251G</t>
  </si>
  <si>
    <t>Esolm Company SARL</t>
  </si>
  <si>
    <t>Orion Lab</t>
  </si>
  <si>
    <t>A1710663K</t>
  </si>
  <si>
    <t>Strategic Environmental Consulting</t>
  </si>
  <si>
    <t>A1902164Z</t>
  </si>
  <si>
    <t>Institute of Mine Seismology (Pty)</t>
  </si>
  <si>
    <t>SOMERSET WEST</t>
  </si>
  <si>
    <t>ETS BOKANGA MULTISERVICE</t>
  </si>
  <si>
    <t>M05314N</t>
  </si>
  <si>
    <t>FORTES SOLI TRADING SARL</t>
  </si>
  <si>
    <t>A1520703W</t>
  </si>
  <si>
    <t>Intergraph System Southern Africa (</t>
  </si>
  <si>
    <t>LADIES FOR BUILDING AND CLEANING SE</t>
  </si>
  <si>
    <t>A1801238R</t>
  </si>
  <si>
    <t>EQUITY LOGISTICS SARL</t>
  </si>
  <si>
    <t>UELE BUILDERS COMPANY</t>
  </si>
  <si>
    <t>A2035026U</t>
  </si>
  <si>
    <t>Procet Mining Support Logistics SAR</t>
  </si>
  <si>
    <t>A1801297F</t>
  </si>
  <si>
    <t>Nzela Construction Genie Civil SARL</t>
  </si>
  <si>
    <t>A1600862F</t>
  </si>
  <si>
    <t>STE Tesla Civil Solutions SARL</t>
  </si>
  <si>
    <t>A1913783D</t>
  </si>
  <si>
    <t>Group Amuta Adrole Mayuyu</t>
  </si>
  <si>
    <t>A1702518G</t>
  </si>
  <si>
    <t>TOP TECHNOLOGIE CONSTRUCTION MODERN</t>
  </si>
  <si>
    <t>A17181447U</t>
  </si>
  <si>
    <t>Surur Business Service</t>
  </si>
  <si>
    <t>Alube Business Trading SARL</t>
  </si>
  <si>
    <t>A1819811E</t>
  </si>
  <si>
    <t>Spruceland Technologies Group Ltd</t>
  </si>
  <si>
    <t>NDOLA</t>
  </si>
  <si>
    <t>Step Up Skills</t>
  </si>
  <si>
    <t>GROUPE MASINA SERVICES SARL</t>
  </si>
  <si>
    <t>A1923306E</t>
  </si>
  <si>
    <t>VILLE DE BUNIA</t>
  </si>
  <si>
    <t>FAS! CONNECT &amp; TRANSLATION</t>
  </si>
  <si>
    <t>STAR CONSTRUCTION &amp; LOGISTIC</t>
  </si>
  <si>
    <t>A1903381X</t>
  </si>
  <si>
    <t>FEXTON VENTURES PRIVATE LIMITED</t>
  </si>
  <si>
    <t>TRIVANDRUM</t>
  </si>
  <si>
    <t>Saphir Uele SARL</t>
  </si>
  <si>
    <t>NANOTECH WATER SOLUTIONS CC</t>
  </si>
  <si>
    <t>RANDBURG</t>
  </si>
  <si>
    <t>EXODE CONSTRUCTION SARL</t>
  </si>
  <si>
    <t>M05315P</t>
  </si>
  <si>
    <t>Avec dieu Salomon Building</t>
  </si>
  <si>
    <t>A1722308S</t>
  </si>
  <si>
    <t>UNIVERSAL TOP SERVICES</t>
  </si>
  <si>
    <t>CANAL+ RDC</t>
  </si>
  <si>
    <t>A1205381N</t>
  </si>
  <si>
    <t>COMPAGNIE DE NZORO ET DE KIBALI</t>
  </si>
  <si>
    <t>M12599G</t>
  </si>
  <si>
    <t>NEW VISION OF LIFE SARL</t>
  </si>
  <si>
    <t>A17707865T</t>
  </si>
  <si>
    <t>Thomas Gallaway Corp dba Technologe</t>
  </si>
  <si>
    <t>IRVINE</t>
  </si>
  <si>
    <t>RIEN N'EST TARD DAND LA VIE</t>
  </si>
  <si>
    <t>M14571A</t>
  </si>
  <si>
    <t>ETSOKU-AVOSSEA</t>
  </si>
  <si>
    <t>A1901146S</t>
  </si>
  <si>
    <t>Safety Wise Solutions Pty Ltd</t>
  </si>
  <si>
    <t>GREYTHORN</t>
  </si>
  <si>
    <t>Crane Load Technology CC</t>
  </si>
  <si>
    <t>Galaxy Services SARL</t>
  </si>
  <si>
    <t>A20269557Z</t>
  </si>
  <si>
    <t>Maelgwyn South Africa (Pty) Ltd</t>
  </si>
  <si>
    <t>NORTHRIDING</t>
  </si>
  <si>
    <t>SIMPLILEARN Singapore PTE LTD</t>
  </si>
  <si>
    <t>SINGAPORE</t>
  </si>
  <si>
    <t>GROUPE RUBYE</t>
  </si>
  <si>
    <t>BEGECOM SARL</t>
  </si>
  <si>
    <t>M09706</t>
  </si>
  <si>
    <t>Dwyka Project Management Services P</t>
  </si>
  <si>
    <t>CAPE TOWN</t>
  </si>
  <si>
    <t>Rocscience Inc.</t>
  </si>
  <si>
    <t>TORONTO</t>
  </si>
  <si>
    <t>WJ Conveyances (Pty) Ltd</t>
  </si>
  <si>
    <t>POTCHEFSTROOM</t>
  </si>
  <si>
    <t>Air Liquide Mali</t>
  </si>
  <si>
    <t>BAMAKO</t>
  </si>
  <si>
    <t>Leica Geosystems (Pty) Ltd</t>
  </si>
  <si>
    <t>RANDJIESPARK</t>
  </si>
  <si>
    <t>High Logistics SARL</t>
  </si>
  <si>
    <t>A1609220Q</t>
  </si>
  <si>
    <t>Kaldorei Africa CC</t>
  </si>
  <si>
    <t>ROODEKRANS</t>
  </si>
  <si>
    <t>DRA Projects (Pty) Ltd</t>
  </si>
  <si>
    <t>SUNNIGHILL</t>
  </si>
  <si>
    <t>Open House Management Solutions (Pt</t>
  </si>
  <si>
    <t>OKAPI SERVICE SARL</t>
  </si>
  <si>
    <t>A1705667E</t>
  </si>
  <si>
    <t>Gurungba Village Company Ltd</t>
  </si>
  <si>
    <t>M05441B</t>
  </si>
  <si>
    <t>REHABILITY RDC</t>
  </si>
  <si>
    <t>A2032792R</t>
  </si>
  <si>
    <t>Solini Engineering</t>
  </si>
  <si>
    <t>M16294Y</t>
  </si>
  <si>
    <t>MARANATHA COMPANY SARLU</t>
  </si>
  <si>
    <t>A1716844D</t>
  </si>
  <si>
    <t>Geotechnica Pty Ltd</t>
  </si>
  <si>
    <t>MELBOURNE</t>
  </si>
  <si>
    <t>ETS Le Fanazi DR Congo</t>
  </si>
  <si>
    <t>M87503Z</t>
  </si>
  <si>
    <t>Spiro Survey Services</t>
  </si>
  <si>
    <t>KLERKSDORP</t>
  </si>
  <si>
    <t>Agence des Batisseurs du Congo</t>
  </si>
  <si>
    <t>A2040626G</t>
  </si>
  <si>
    <t>SOCIETE LIGUES DES JEUNES UNIS POUR</t>
  </si>
  <si>
    <t>A1715746K</t>
  </si>
  <si>
    <t>APPLIED VEHICLES ANALYSIS (PTY) LTD</t>
  </si>
  <si>
    <t>ETS Bazambe &amp; Fils</t>
  </si>
  <si>
    <t>Impala Glass Industries Ltd</t>
  </si>
  <si>
    <t>Amigos Trading Company</t>
  </si>
  <si>
    <t>UELE BUSINESS SARL</t>
  </si>
  <si>
    <t>A1709704S</t>
  </si>
  <si>
    <t>WISDOM LOGISTIC SARL</t>
  </si>
  <si>
    <t>A1804012G</t>
  </si>
  <si>
    <t>LA CONSTRUCTION ET SES INNOVATIONS</t>
  </si>
  <si>
    <t>A1804675C</t>
  </si>
  <si>
    <t>Lloyds British Uganda</t>
  </si>
  <si>
    <t>Uele Genie Construction SARL</t>
  </si>
  <si>
    <t>GOD GREAT COMPANY</t>
  </si>
  <si>
    <t>A1917291R</t>
  </si>
  <si>
    <t>Firm Mining Services Sarl</t>
  </si>
  <si>
    <t>A1820920K</t>
  </si>
  <si>
    <t>Watercare Mining (Pty) Ltd</t>
  </si>
  <si>
    <t>RANDFONTEIN</t>
  </si>
  <si>
    <t>OMB BUSINESS COMPANY</t>
  </si>
  <si>
    <t>Mahaba Compagnie Services</t>
  </si>
  <si>
    <t>A2031015K</t>
  </si>
  <si>
    <t>ZAIN CONGO</t>
  </si>
  <si>
    <t>MINTEK</t>
  </si>
  <si>
    <t>MIEL TRADING COMPANY</t>
  </si>
  <si>
    <t>M12807H</t>
  </si>
  <si>
    <t>Leading Innovation in DRC SARL</t>
  </si>
  <si>
    <t>A1612744W</t>
  </si>
  <si>
    <t>DOHERTY CORP PTY LTD</t>
  </si>
  <si>
    <t>BENDI JUNCTION</t>
  </si>
  <si>
    <t>BARIC GENERAL SERVICES SARLU</t>
  </si>
  <si>
    <t>A2032795U</t>
  </si>
  <si>
    <t>The Exporter CC</t>
  </si>
  <si>
    <t>Lihope</t>
  </si>
  <si>
    <t>PARIS</t>
  </si>
  <si>
    <t>N'KOY TRADING COMPANY</t>
  </si>
  <si>
    <t>Societe Ivoirienne d'Equipments</t>
  </si>
  <si>
    <t>ABIDJAN</t>
  </si>
  <si>
    <t>SPECIALISED TESTING LABORATORY (PTY</t>
  </si>
  <si>
    <t>METALINK TELECOM SARLU</t>
  </si>
  <si>
    <t>A2034934U</t>
  </si>
  <si>
    <t>Bentley Systems International Ltd</t>
  </si>
  <si>
    <t>DUBLIN 2</t>
  </si>
  <si>
    <t>Societe Kangourou Group</t>
  </si>
  <si>
    <t>A1824898J</t>
  </si>
  <si>
    <t>MMS MOBILE CRANES CC</t>
  </si>
  <si>
    <t>BENONI</t>
  </si>
  <si>
    <t>BUILDING TRADING COMPANY</t>
  </si>
  <si>
    <t>A2154622W</t>
  </si>
  <si>
    <t>MA SIGNATURE NAKON SARL</t>
  </si>
  <si>
    <t>A1710533T</t>
  </si>
  <si>
    <t>CLINIQUE SAINT LUC DE BUKAVU</t>
  </si>
  <si>
    <t>Nidec Industrial Automation Souther</t>
  </si>
  <si>
    <t>Africa Business Company SARL</t>
  </si>
  <si>
    <t>A2923323Y</t>
  </si>
  <si>
    <t>WCS SCIENTIFIC (PTY) LTD</t>
  </si>
  <si>
    <t>The Dharamsi Morarji Chemical Compa</t>
  </si>
  <si>
    <t>MUMBAI</t>
  </si>
  <si>
    <t>GROUPE AMA BUSINESS SERVICES</t>
  </si>
  <si>
    <t>A1704667S</t>
  </si>
  <si>
    <t>VAC-CENT SERVICES (PTY) LTD</t>
  </si>
  <si>
    <t>SGS Kenya Limited</t>
  </si>
  <si>
    <t>Sinai Freight Service</t>
  </si>
  <si>
    <t>M05338P</t>
  </si>
  <si>
    <t>GENERAL ENGINEERING CORPORATION SAR</t>
  </si>
  <si>
    <t>Salvo Global PTE Ltd</t>
  </si>
  <si>
    <t>CUBE CONSULTING PTY LTD</t>
  </si>
  <si>
    <t>WEST PERTH</t>
  </si>
  <si>
    <t>Paterson and Cooke Consulting Engin</t>
  </si>
  <si>
    <t>SOCIETE UNION DES COURAGEUX POUR</t>
  </si>
  <si>
    <t>A2042233D</t>
  </si>
  <si>
    <t>Novamet (Pty) Ltd</t>
  </si>
  <si>
    <t>ECHOTEL PROPRIETARY UGANDA LIMITED</t>
  </si>
  <si>
    <t>HORTS GEO SOLUTIONS (PTY) LTD</t>
  </si>
  <si>
    <t>Scovia et Fifi Total Services</t>
  </si>
  <si>
    <t>A2153424T</t>
  </si>
  <si>
    <t>GABORONE</t>
  </si>
  <si>
    <t>FEDERATION DES ENTREPRISES</t>
  </si>
  <si>
    <t>FIME CONGO SPRL</t>
  </si>
  <si>
    <t>A1308714M</t>
  </si>
  <si>
    <t>GEOPOLIS MAGAZINE</t>
  </si>
  <si>
    <t>ENVIRONEMENT MEILLEUR POUR LE DEVEL</t>
  </si>
  <si>
    <t>A1721808Z</t>
  </si>
  <si>
    <t>Esri Canada Limited</t>
  </si>
  <si>
    <t>Gekko Systems Pty Ltd</t>
  </si>
  <si>
    <t>BALLARAT</t>
  </si>
  <si>
    <t>Technical Auditing Services (Pty) L</t>
  </si>
  <si>
    <t>Muraille d'Israel Company</t>
  </si>
  <si>
    <t>EVERLASTING SARL</t>
  </si>
  <si>
    <t>A2043769Y</t>
  </si>
  <si>
    <t>BII World Ltd</t>
  </si>
  <si>
    <t>EDMONTON</t>
  </si>
  <si>
    <t>PEARSON CENTRIFUGE SERVICE (PTY) LT</t>
  </si>
  <si>
    <t>BELLVILLE</t>
  </si>
  <si>
    <t>Alida SARLU</t>
  </si>
  <si>
    <t>M14307N</t>
  </si>
  <si>
    <t>UNITE FAIT LE PROGRES</t>
  </si>
  <si>
    <t>A2156851T</t>
  </si>
  <si>
    <t>IMANI WORK CONGO</t>
  </si>
  <si>
    <t>M12808J</t>
  </si>
  <si>
    <t>SOCIETE MLGB TRADING</t>
  </si>
  <si>
    <t>Kabuya Compagnies Business SARLU</t>
  </si>
  <si>
    <t>A1808953C</t>
  </si>
  <si>
    <t>MNS &amp; PARTNERS SARL</t>
  </si>
  <si>
    <t>A1712825K</t>
  </si>
  <si>
    <t>Olive Group Company</t>
  </si>
  <si>
    <t>A2295329T</t>
  </si>
  <si>
    <t>SafetyCulture Pty Ltd</t>
  </si>
  <si>
    <t>SURRY HILLS</t>
  </si>
  <si>
    <t>UNION POUR L'EXCELLENCE SARL</t>
  </si>
  <si>
    <t>A17014475</t>
  </si>
  <si>
    <t>MAJENGO MAPYA SARL</t>
  </si>
  <si>
    <t>A2154221K</t>
  </si>
  <si>
    <t>Tower Crane Services CC</t>
  </si>
  <si>
    <t>ROODEKOP</t>
  </si>
  <si>
    <t>BRAVO TOZALI COMPANY</t>
  </si>
  <si>
    <t>ETS SODIKIM</t>
  </si>
  <si>
    <t>PUMP &amp; ABRASION TECHNOLOGIES (PTY)</t>
  </si>
  <si>
    <t>EZKEM</t>
  </si>
  <si>
    <t>HOOD RIVER</t>
  </si>
  <si>
    <t>Strategnos (Pty) Ltd</t>
  </si>
  <si>
    <t>STELLENBOSCH UNIVERSITY</t>
  </si>
  <si>
    <t>STELLENBOSCH</t>
  </si>
  <si>
    <t>Advanced Mining Production Systems</t>
  </si>
  <si>
    <t>FREEMANTLE</t>
  </si>
  <si>
    <t>SPIDER TECHNOLOGY SARL</t>
  </si>
  <si>
    <t>Multotec Process Equipment (Pty) Lt</t>
  </si>
  <si>
    <t>SPARTAN</t>
  </si>
  <si>
    <t>Ramjack Pty Ltd</t>
  </si>
  <si>
    <t>MAROELADAL</t>
  </si>
  <si>
    <t>SDG TECHNOLOGIES CC</t>
  </si>
  <si>
    <t>KEMPTON PARK</t>
  </si>
  <si>
    <t>Uele Business Service and Trading</t>
  </si>
  <si>
    <t>A1614373R</t>
  </si>
  <si>
    <t>ARCHITECTURE DECORATION CONSTRUCTIO</t>
  </si>
  <si>
    <t>Congo Image</t>
  </si>
  <si>
    <t>A1201156W</t>
  </si>
  <si>
    <t>ELIKIA YA DURBA</t>
  </si>
  <si>
    <t>A1705727U</t>
  </si>
  <si>
    <t>N'sange Prosperity Business Company</t>
  </si>
  <si>
    <t>A2045228J</t>
  </si>
  <si>
    <t>Service des Hydrocarbures V/C</t>
  </si>
  <si>
    <t>Yes Compagnies SARL</t>
  </si>
  <si>
    <t>A2290784D</t>
  </si>
  <si>
    <t>Ihobe International DRC</t>
  </si>
  <si>
    <t>Famprop CC t/a Famsystem Technology</t>
  </si>
  <si>
    <t>Mighty Works Consult</t>
  </si>
  <si>
    <t>xxxs</t>
  </si>
  <si>
    <t>TARKWA</t>
  </si>
  <si>
    <t>African Reptiles and Venom CC</t>
  </si>
  <si>
    <t>DIEPSLOOT</t>
  </si>
  <si>
    <t>EDEN BUSINESS COMPANY SARLU</t>
  </si>
  <si>
    <t>A2028514R</t>
  </si>
  <si>
    <t>DANNTECH CC</t>
  </si>
  <si>
    <t>FONTAINEBLEAU</t>
  </si>
  <si>
    <t>REBIKKA PLASS ENGINEERING DRC</t>
  </si>
  <si>
    <t>A2026850H</t>
  </si>
  <si>
    <t>Bamida Company SARL</t>
  </si>
  <si>
    <t>A2034758D</t>
  </si>
  <si>
    <t>Locked Gravity Concentrators Africa</t>
  </si>
  <si>
    <t>fddf</t>
  </si>
  <si>
    <t>Trinity Services SARL</t>
  </si>
  <si>
    <t>Congo Ingenieur Conseil</t>
  </si>
  <si>
    <t>Eagle Vision Business</t>
  </si>
  <si>
    <t>A2034789M</t>
  </si>
  <si>
    <t>Alliance Scientific Instrumentation</t>
  </si>
  <si>
    <t>BOMOKO ENTREPRISES  LTD USD</t>
  </si>
  <si>
    <t>A1204983F</t>
  </si>
  <si>
    <t>C&amp;J Consultants</t>
  </si>
  <si>
    <t>POWER PEOPLE COMPANY SARL</t>
  </si>
  <si>
    <t>A2029836D</t>
  </si>
  <si>
    <t>DECISION SUPPORT IN EDUCATION</t>
  </si>
  <si>
    <t>DURBAN</t>
  </si>
  <si>
    <t>Building Maintenance Trading and</t>
  </si>
  <si>
    <t>A182700W</t>
  </si>
  <si>
    <t>MICROGRAPHICS SA (PTY) LTD</t>
  </si>
  <si>
    <t>PORT ELIZABETH</t>
  </si>
  <si>
    <t>Renovation Service Sarlu</t>
  </si>
  <si>
    <t>Jambo Congo Company SARL</t>
  </si>
  <si>
    <t>A1818748Z</t>
  </si>
  <si>
    <t>OVONO ELECTROMECA</t>
  </si>
  <si>
    <t>PINETOWN</t>
  </si>
  <si>
    <t>HIPHIL SARL</t>
  </si>
  <si>
    <t>GKD Africa (Pty) Ltd</t>
  </si>
  <si>
    <t>AKT COMPANY DRC SARL</t>
  </si>
  <si>
    <t>A1914530Q</t>
  </si>
  <si>
    <t>COMPANY LA  FORTUNE D'AVENIR</t>
  </si>
  <si>
    <t>OC Services SARL</t>
  </si>
  <si>
    <t>A2039459E</t>
  </si>
  <si>
    <t>ScanMin International (Pty) Ltd</t>
  </si>
  <si>
    <t>Osimo CC</t>
  </si>
  <si>
    <t>Institute of Emergency First Aiders</t>
  </si>
  <si>
    <t>SOL ENGINEERING SYSTEMS LTD</t>
  </si>
  <si>
    <t>KIBULI</t>
  </si>
  <si>
    <t>CRAIG BOWKER</t>
  </si>
  <si>
    <t>Lebo Winders (Pty) Ltd</t>
  </si>
  <si>
    <t>WELKOM</t>
  </si>
  <si>
    <t>AusIMM</t>
  </si>
  <si>
    <t>CARLTON</t>
  </si>
  <si>
    <t>RMI LEGAL SERVICES INC.</t>
  </si>
  <si>
    <t>PARTICLE SEPARATION SYSTEM MILLING</t>
  </si>
  <si>
    <t>Graciel Glorieuse Invest</t>
  </si>
  <si>
    <t>A1910801M</t>
  </si>
  <si>
    <t>Ausspec International Limited</t>
  </si>
  <si>
    <t>QUEENSTOWN</t>
  </si>
  <si>
    <t>SOCIETE DE BONNE MANIERE</t>
  </si>
  <si>
    <t>M14560N</t>
  </si>
  <si>
    <t>Star Logistics Service</t>
  </si>
  <si>
    <t>CONSTRUCTION ET MAINTENANCE SERVICE</t>
  </si>
  <si>
    <t>Marc Corporation Service SARL</t>
  </si>
  <si>
    <t>A1815670D</t>
  </si>
  <si>
    <t>VERT ENERGY AFRICA (PTY) LTD</t>
  </si>
  <si>
    <t>LINBRO PARK</t>
  </si>
  <si>
    <t>FLIGHT ADVANCES - KIBALI PILOTS</t>
  </si>
  <si>
    <t>Emerson FZE</t>
  </si>
  <si>
    <t>SB-CHALOM SARL</t>
  </si>
  <si>
    <t>A1819810D</t>
  </si>
  <si>
    <t>GENERAL CONSTRUCTION ENGINEERING</t>
  </si>
  <si>
    <t>A1815743H</t>
  </si>
  <si>
    <t>High Technologies Detection System</t>
  </si>
  <si>
    <t>GRAND KARAVIA HOTEL</t>
  </si>
  <si>
    <t>PALME AFRICAINE GROUP SARL</t>
  </si>
  <si>
    <t>A1713659R</t>
  </si>
  <si>
    <t>RRC INTERNATIONAL</t>
  </si>
  <si>
    <t>Davis and Shirtliff Z Ltd</t>
  </si>
  <si>
    <t>DAVIS AND SHIRTLIFF INTERNATIONAL L</t>
  </si>
  <si>
    <t>AFRO - INVESTMENT SARL</t>
  </si>
  <si>
    <t>Mwimba Trading Company SARLU</t>
  </si>
  <si>
    <t>Mahanaim Company MC</t>
  </si>
  <si>
    <t>M14336V</t>
  </si>
  <si>
    <t>Locked SGS South Africa Pty Ltd</t>
  </si>
  <si>
    <t>WOODMEAD</t>
  </si>
  <si>
    <t>Locked think-cell Sales GmbH &amp; Co.K</t>
  </si>
  <si>
    <t>BERLIN</t>
  </si>
  <si>
    <t>WILLEM VAN NIEKERK</t>
  </si>
  <si>
    <t>UNION INTERNATIONALE LOGISTIC &amp; BUI</t>
  </si>
  <si>
    <t>Building and General Services Compa</t>
  </si>
  <si>
    <t>A2166109G</t>
  </si>
  <si>
    <t>Audiometric Calibration &amp; Training</t>
  </si>
  <si>
    <t>ALBERTON</t>
  </si>
  <si>
    <t>Moyi Mobimba Logistics SARLU</t>
  </si>
  <si>
    <t>A2156400D</t>
  </si>
  <si>
    <t>PROFITEK INDUSTRIAL COMMUNICATION (</t>
  </si>
  <si>
    <t>IRENE</t>
  </si>
  <si>
    <t>RICHADI MINING SERVICE SARL</t>
  </si>
  <si>
    <t>A1814496C</t>
  </si>
  <si>
    <t>COUNCIL FOR SCIENTIFIC AND INDUTRIA</t>
  </si>
  <si>
    <t>ENDECON UBUNTU LIMPOPO (PTY) LTD</t>
  </si>
  <si>
    <t>POLOKWANE</t>
  </si>
  <si>
    <t>GEOLABS GLOBAL (PTY) LTD</t>
  </si>
  <si>
    <t>HENNOPSPARK</t>
  </si>
  <si>
    <t>ZEE SOURCE</t>
  </si>
  <si>
    <t>CUPERTINO</t>
  </si>
  <si>
    <t>SOCIETE TRINITY VISION SARL</t>
  </si>
  <si>
    <t>KSB PUMPS AND VALVES (PTY) LTD</t>
  </si>
  <si>
    <t>PRAGMA AFRICA (PTY) LTD</t>
  </si>
  <si>
    <t>Transformco</t>
  </si>
  <si>
    <t>ISINYITHI CATHODIC PROTECTION (PTY)</t>
  </si>
  <si>
    <t>BLAST ANALYSIS AFRICA CC</t>
  </si>
  <si>
    <t>NORTHCLIFF</t>
  </si>
  <si>
    <t>EDP Communications CC</t>
  </si>
  <si>
    <t>Vietti Slurrytec (Pty) Ltd</t>
  </si>
  <si>
    <t>BABA DRILLING</t>
  </si>
  <si>
    <t>7767 AV.Ruwe Golf / Lubumbashi/ Katanga</t>
  </si>
  <si>
    <t>BEST SOLUTION</t>
  </si>
  <si>
    <t>A2027319S</t>
  </si>
  <si>
    <t>Avenue Industriel/Lubumbashi- Katanga- RDC</t>
  </si>
  <si>
    <t>BLU ROCK</t>
  </si>
  <si>
    <t>A1417418Z</t>
  </si>
  <si>
    <t>272 AV. Kambove, Lubumbashi/ Katanga</t>
  </si>
  <si>
    <t>BRAS (Security)</t>
  </si>
  <si>
    <t>A0903284F</t>
  </si>
  <si>
    <t>N'Djamena 30 juin No 6-7,C/Lubumbashi, RD Congo</t>
  </si>
  <si>
    <t>CGW</t>
  </si>
  <si>
    <t>103b, Av Abbe Kahozi, c/ Lubumbashi</t>
  </si>
  <si>
    <t>CONGO SERVICES TECHNIQUES</t>
  </si>
  <si>
    <t>B82458DK</t>
  </si>
  <si>
    <t>38 Ave Mama Yemo Coin Likasi</t>
  </si>
  <si>
    <t>CONGOREMAN</t>
  </si>
  <si>
    <t>A2153131A</t>
  </si>
  <si>
    <t>Avenue Mwelwa 626. Q Jolie Site/ Kolwezi</t>
  </si>
  <si>
    <t xml:space="preserve">2250, AV Gazumbu,C/Dilala, Ville/Kolwezi/Lualaba/ DRC </t>
  </si>
  <si>
    <t>DOUANE EXPRESS</t>
  </si>
  <si>
    <t>A1301315U</t>
  </si>
  <si>
    <t>2573 Av Lumumba Lumbashi</t>
  </si>
  <si>
    <t>ELEPHANT</t>
  </si>
  <si>
    <t>A1404516A</t>
  </si>
  <si>
    <t>77 Kongolo Kolwezi</t>
  </si>
  <si>
    <t>ELECTRANS</t>
  </si>
  <si>
    <t>A1621241G</t>
  </si>
  <si>
    <t>255, Av du 30 juin, Kolwezi</t>
  </si>
  <si>
    <t>FASCO</t>
  </si>
  <si>
    <t xml:space="preserve">71, AV. Des Manguiers, Q/ Biashara, C/Dilala/ Kolwezi </t>
  </si>
  <si>
    <t>ICV</t>
  </si>
  <si>
    <t>A07048672</t>
  </si>
  <si>
    <t>1223, Avenue LUMUMBA, Lubumbashi,</t>
  </si>
  <si>
    <t>IFS</t>
  </si>
  <si>
    <t>A1006562U</t>
  </si>
  <si>
    <t xml:space="preserve">101 Golf Road </t>
  </si>
  <si>
    <t>Kail Investment and Engineering Sar KIE Sarl</t>
  </si>
  <si>
    <t>A1609012G</t>
  </si>
  <si>
    <t>523 Av Kivunda Coin Dilolo</t>
  </si>
  <si>
    <t>KANY CONSULTING 2</t>
  </si>
  <si>
    <t>A1905237P</t>
  </si>
  <si>
    <t>13 Mponga avenue   Lumbashi</t>
  </si>
  <si>
    <t>Lufira Management and Services Sarl</t>
  </si>
  <si>
    <t>A2161348G</t>
  </si>
  <si>
    <t>24 Route Kinsevere</t>
  </si>
  <si>
    <t>MSE</t>
  </si>
  <si>
    <t>A1405405R</t>
  </si>
  <si>
    <t>82 Avenue Luvungi</t>
  </si>
  <si>
    <t>MUZURI SANA</t>
  </si>
  <si>
    <t>A1415794J</t>
  </si>
  <si>
    <t>5615 Route Kinsevere Lumbashi</t>
  </si>
  <si>
    <t>TEMS</t>
  </si>
  <si>
    <t>A1310471X</t>
  </si>
  <si>
    <t>22 Avenue Palmier 22/ C Dilala/ KZI</t>
  </si>
  <si>
    <t>PERFECT LOGISTIC 1</t>
  </si>
  <si>
    <t>A7048672</t>
  </si>
  <si>
    <t>57. Avenue Lusanga Q Biashara / KZI</t>
  </si>
  <si>
    <t>SSM</t>
  </si>
  <si>
    <t>A0906420P</t>
  </si>
  <si>
    <t>999 Avenue Kazenze</t>
  </si>
  <si>
    <t>STELLA</t>
  </si>
  <si>
    <t>17932, AvChemin public,C/ Manika, Kolwezi</t>
  </si>
  <si>
    <t>THIERMAR</t>
  </si>
  <si>
    <t>861,Av LD Kabila, C/Manika, Kolwezi</t>
  </si>
  <si>
    <t>RUBATEK</t>
  </si>
  <si>
    <t>A2032913Y</t>
  </si>
  <si>
    <t>26 27 Route Kambove  Likasi</t>
  </si>
  <si>
    <t>ROCK MAKINA</t>
  </si>
  <si>
    <t>A2168949L</t>
  </si>
  <si>
    <t>13,Avenue Mafuta Q/Golf Lubumbashi</t>
  </si>
  <si>
    <t>CAT</t>
  </si>
  <si>
    <t>A0905435T</t>
  </si>
  <si>
    <t>675,AV . De la Metallurgie L,shi 10464</t>
  </si>
  <si>
    <t>COS</t>
  </si>
  <si>
    <t>A1601120L</t>
  </si>
  <si>
    <t xml:space="preserve">618 Av. Du 30 Juin Q/ Mutoshi/ C/ Lubumbashi </t>
  </si>
  <si>
    <t>GMB (MINING-MTNC)</t>
  </si>
  <si>
    <t>144.AV. Kalima Industriel C/ Manika / Kolwezi</t>
  </si>
  <si>
    <t>KUBOL</t>
  </si>
  <si>
    <t>SINOMINE INTERNATIONNAL</t>
  </si>
  <si>
    <t>WINA MAX</t>
  </si>
  <si>
    <t>EM TRADING</t>
  </si>
  <si>
    <t>MWANA MBOKA</t>
  </si>
  <si>
    <t>NORTH ENGEENIRING</t>
  </si>
  <si>
    <t xml:space="preserve">GRAND AIGLE </t>
  </si>
  <si>
    <t>CONORD SASU</t>
  </si>
  <si>
    <t>TRANSKAT</t>
  </si>
  <si>
    <t>A1418766P</t>
  </si>
  <si>
    <t>FAMUK</t>
  </si>
  <si>
    <t>A1708449D</t>
  </si>
  <si>
    <t>CMOK</t>
  </si>
  <si>
    <t>A1404748C</t>
  </si>
  <si>
    <t>LC R.D.C. SAS</t>
  </si>
  <si>
    <t>A2152960P</t>
  </si>
  <si>
    <t>T3 DRILLING DRC SPRL</t>
  </si>
  <si>
    <t>A1201356N</t>
  </si>
  <si>
    <t>CROISEMENT DES AVENUES LUMUMBA &amp; SAIO</t>
  </si>
  <si>
    <t>BRUGU INCORPORATION SARL</t>
  </si>
  <si>
    <t>A1303129R</t>
  </si>
  <si>
    <t>672 AVENUE DU 30 JUIN</t>
  </si>
  <si>
    <t>COPY N MORE SARL</t>
  </si>
  <si>
    <t>A2031776M</t>
  </si>
  <si>
    <t>3185 AVENUE LUMUMBA</t>
  </si>
  <si>
    <t>SINAI SERVICES GROUP COMPANY SARL</t>
  </si>
  <si>
    <t>A1823771J</t>
  </si>
  <si>
    <t>74 AV NYEMBO</t>
  </si>
  <si>
    <t>PROTEC SARL</t>
  </si>
  <si>
    <t>A2156389R</t>
  </si>
  <si>
    <t>939B KAPENDA AVENUE</t>
  </si>
  <si>
    <t>MALABAR BUSINESS TRAVEL</t>
  </si>
  <si>
    <t>A0913069R</t>
  </si>
  <si>
    <t>35 ROUTE KAFUBU</t>
  </si>
  <si>
    <t>SM HYDRAULICS SARL</t>
  </si>
  <si>
    <t>A2038546W</t>
  </si>
  <si>
    <t>101 ROUTE MUNAMA Q/NJANJA</t>
  </si>
  <si>
    <t>SALVO MULTI SERVICES SARL</t>
  </si>
  <si>
    <t>A2202037P</t>
  </si>
  <si>
    <t>1213 AVENUE CHEMEIN PUBLIC</t>
  </si>
  <si>
    <t>KOTONGA SARL</t>
  </si>
  <si>
    <t>A2042624D</t>
  </si>
  <si>
    <t>960 CHAUSEE MLDK</t>
  </si>
  <si>
    <t>ZENTEC NETWORK</t>
  </si>
  <si>
    <t>A1824550F</t>
  </si>
  <si>
    <t>07 AV HEWA BORA</t>
  </si>
  <si>
    <t>NEEMA HOLDING SARLU</t>
  </si>
  <si>
    <t>A2175351C</t>
  </si>
  <si>
    <t>146 AV INMAZAZ Q GOLF MALELA</t>
  </si>
  <si>
    <t>132 AVENUE SINGA GOLF</t>
  </si>
  <si>
    <t>CONGO ENGINEERING EXPERTISE</t>
  </si>
  <si>
    <t>A1410534R</t>
  </si>
  <si>
    <t>NUMERO 04 AV CHEMIN PUBLIC</t>
  </si>
  <si>
    <t>BIOS ENGINEERING CONSULTING SARL</t>
  </si>
  <si>
    <t>A1919417C</t>
  </si>
  <si>
    <t>AV MWELA MONGAKA COIN KIBETI</t>
  </si>
  <si>
    <t>SERALIME SARL</t>
  </si>
  <si>
    <t>A141800G</t>
  </si>
  <si>
    <t>36 AVENUE LOMAMI, LUBUMBASHI</t>
  </si>
  <si>
    <t>BARAKA ENGINEERING AND IT SARL</t>
  </si>
  <si>
    <t>A2025411T</t>
  </si>
  <si>
    <t>68 AVENUE BIAYI</t>
  </si>
  <si>
    <t>BRAS SECURITY AND SERVICES</t>
  </si>
  <si>
    <t>AV INDUSTRIELLE NO 37</t>
  </si>
  <si>
    <t>AFRIXMARK GROUPE SARLU</t>
  </si>
  <si>
    <t>A1919298Y</t>
  </si>
  <si>
    <t>76 AVENUE DU 30 JUIN</t>
  </si>
  <si>
    <t>EUPTECH ENERGY SARL</t>
  </si>
  <si>
    <t>A1806254T</t>
  </si>
  <si>
    <t>221 ROUTE KIPUSHI</t>
  </si>
  <si>
    <t>NEW TSHWALEC DRC SARL</t>
  </si>
  <si>
    <t>A2037894M</t>
  </si>
  <si>
    <t>NO 13 972 AVENUE LIKASI</t>
  </si>
  <si>
    <t>THIERMAR SARL</t>
  </si>
  <si>
    <t>A1910010C</t>
  </si>
  <si>
    <t>831 AVENUE DE LA RIBAMBALLE</t>
  </si>
  <si>
    <t>A2169167F</t>
  </si>
  <si>
    <t>13 AVENUE PROF MBAYO</t>
  </si>
  <si>
    <t>FABACOM SERVICES SARL</t>
  </si>
  <si>
    <t>A1911829E</t>
  </si>
  <si>
    <t>56 AVENUE CHUMA QUARTIER CRAA</t>
  </si>
  <si>
    <t>SRK CONSULTING CONGO SA</t>
  </si>
  <si>
    <t>A1008094K</t>
  </si>
  <si>
    <t>2056 AVE LUKONZOLWA</t>
  </si>
  <si>
    <t>ETS TO BELIEVE MULTISERVICES</t>
  </si>
  <si>
    <t>A1806831W</t>
  </si>
  <si>
    <t>6402 AV MPOLO</t>
  </si>
  <si>
    <t>MALIA AGENCY SARLU</t>
  </si>
  <si>
    <t>A2155828G</t>
  </si>
  <si>
    <t>248 AVENUE DES ARPENTEURS</t>
  </si>
  <si>
    <t>CONGO INVEST CORPORATION SARL</t>
  </si>
  <si>
    <t>A140136</t>
  </si>
  <si>
    <t>79 AV MITWABA</t>
  </si>
  <si>
    <t>MBAKA TIKKUN HOLDING SARLU</t>
  </si>
  <si>
    <t>1911867W</t>
  </si>
  <si>
    <t>29 AVENUE LUMPUNGU</t>
  </si>
  <si>
    <t>TECHNICAL ENGINEERING APPOINTMENT</t>
  </si>
  <si>
    <t>A1621623X</t>
  </si>
  <si>
    <t>BCDC TOWER</t>
  </si>
  <si>
    <t>BUSINESS ACCESS PARTNERS</t>
  </si>
  <si>
    <t>A2295818A</t>
  </si>
  <si>
    <t>45 CONCESSION SAFRICAS, NGALIEMA</t>
  </si>
  <si>
    <t>GONEL INTERNATIONAL SARL</t>
  </si>
  <si>
    <t>A2010210B</t>
  </si>
  <si>
    <t>1340 AVENUE CHEMIN PUBLIC</t>
  </si>
  <si>
    <t>CREMAILLERE SERVICE</t>
  </si>
  <si>
    <t>A1313781U</t>
  </si>
  <si>
    <t>3 LUAPULA COIN 30 JUIN</t>
  </si>
  <si>
    <t>TRANSFIELDS SERVICES RDC SARL</t>
  </si>
  <si>
    <t>A1920351S</t>
  </si>
  <si>
    <t>NO 03 AVENUE LUSIKU AUGUSTIN</t>
  </si>
  <si>
    <t>GYM TECH SERVICES</t>
  </si>
  <si>
    <t>A1616389H</t>
  </si>
  <si>
    <t>400 BAKWAKALONJI</t>
  </si>
  <si>
    <t>GEOQUEST SARL</t>
  </si>
  <si>
    <t>A0906481F</t>
  </si>
  <si>
    <t>3106 AV DE LA LOI, QUATIER GOLF</t>
  </si>
  <si>
    <t>MINING CHEMICAL SUPPLIER SARL</t>
  </si>
  <si>
    <t>A1001109S</t>
  </si>
  <si>
    <t>7721 AVENUE KISAMBI</t>
  </si>
  <si>
    <t>AFRICAN ELECTRICAL AND SERVICES</t>
  </si>
  <si>
    <t>A1920684E</t>
  </si>
  <si>
    <t>5 AVENUE DES CASSITERITES</t>
  </si>
  <si>
    <t>TWELVE STONES SARL</t>
  </si>
  <si>
    <t>A2030545Z</t>
  </si>
  <si>
    <t>100 AVENUE NKULU MAJIBA</t>
  </si>
  <si>
    <t>ETENDARD IT</t>
  </si>
  <si>
    <t>55 AVENUE SENDWE</t>
  </si>
  <si>
    <t>RAYON SERVICES</t>
  </si>
  <si>
    <t>A1806897S</t>
  </si>
  <si>
    <t>12 AVENUE DE LIBERATION</t>
  </si>
  <si>
    <t>MODERN AUTO COMPANY SPRL</t>
  </si>
  <si>
    <t>A0900871H</t>
  </si>
  <si>
    <t>NO 4 AVENUE MUNGUZI</t>
  </si>
  <si>
    <t>CHUKRA SERVICES SARL</t>
  </si>
  <si>
    <t>A1618981A</t>
  </si>
  <si>
    <t>111 AV ANDRE LUMBU</t>
  </si>
  <si>
    <t>A095435</t>
  </si>
  <si>
    <t>66 ROUTE KINSEVERE</t>
  </si>
  <si>
    <t>GHISLAIN ELECTRICAL MECHANICAL</t>
  </si>
  <si>
    <t>A2160689Q</t>
  </si>
  <si>
    <t>198 BIAYI COIN DE L EGLISE KALUBWE</t>
  </si>
  <si>
    <t>DELTECH SARL</t>
  </si>
  <si>
    <t>54 AV MOERO QUARTIER MAKUTANO</t>
  </si>
  <si>
    <t>A1112906R</t>
  </si>
  <si>
    <t>AVENUE DU 30 JUIN 760 435</t>
  </si>
  <si>
    <t>GEO KATANGA SARL</t>
  </si>
  <si>
    <t>A1404690P</t>
  </si>
  <si>
    <t>5859 AVE LUKONZOLWA</t>
  </si>
  <si>
    <t>26 27 ROUTE KOMBOVE</t>
  </si>
  <si>
    <t>1862 AVENUE DE LA REVOLUTION</t>
  </si>
  <si>
    <t>AFRITECH SARL</t>
  </si>
  <si>
    <t>1803157C</t>
  </si>
  <si>
    <t>75B MPOLO AVENUE</t>
  </si>
  <si>
    <t>SOCIETE DE SURVEILLANCE MINIERE</t>
  </si>
  <si>
    <t>17 BOULEVARD KAMANYOLA</t>
  </si>
  <si>
    <t>A1919589P</t>
  </si>
  <si>
    <t>CROISEMENT DES AVENUE LUMUMBA</t>
  </si>
  <si>
    <t>LA GENERALE DE FORAGE</t>
  </si>
  <si>
    <t xml:space="preserve">A1202126A </t>
  </si>
  <si>
    <t>781 AVENUE KASHOBWE</t>
  </si>
  <si>
    <t>LOMI CONGO SARL</t>
  </si>
  <si>
    <t>1713192J</t>
  </si>
  <si>
    <t>1328 KASA VUBU AVENUE</t>
  </si>
  <si>
    <t>BETHSA SARL</t>
  </si>
  <si>
    <t>A1819731S</t>
  </si>
  <si>
    <t>AV SAINT MAGLOIRE REFERENCE PEAGE</t>
  </si>
  <si>
    <t>BEACY SARL</t>
  </si>
  <si>
    <t>A1705999Q</t>
  </si>
  <si>
    <t>01 AVENUE DE L EGLISE, C DILALA</t>
  </si>
  <si>
    <t>EM GROUP</t>
  </si>
  <si>
    <t>A2175718B</t>
  </si>
  <si>
    <t>10 AVENUE KALENGA</t>
  </si>
  <si>
    <t>HYDROTEK SARL</t>
  </si>
  <si>
    <t>A1206832Q</t>
  </si>
  <si>
    <t>7648 AV KATO</t>
  </si>
  <si>
    <t>PANACO ELECTRICITE GENERALE SARL</t>
  </si>
  <si>
    <t>46 AVENUE LOMAMI, LUBUMBASHI</t>
  </si>
  <si>
    <t>BABA DRILLING DRC</t>
  </si>
  <si>
    <t>A1314458H</t>
  </si>
  <si>
    <t>7767 AVENUE RUWE GOLF LIDO</t>
  </si>
  <si>
    <t>SKAY SARL</t>
  </si>
  <si>
    <t>A1201437B</t>
  </si>
  <si>
    <t>NO 29 AVENUE NYANZA</t>
  </si>
  <si>
    <t>GROUPE EJKK LOGISTICS AND SERVICE</t>
  </si>
  <si>
    <t>A1203223S</t>
  </si>
  <si>
    <t>1931B BOULEVARD M SIRI</t>
  </si>
  <si>
    <t>98 AVENUE KASAI</t>
  </si>
  <si>
    <t>INTERNATIONAL FACILITIES SERVICES</t>
  </si>
  <si>
    <t>48 AVENUE DU ROI BAUDOUIN</t>
  </si>
  <si>
    <t>LUFIRA ENGINEERING SERVICE SA</t>
  </si>
  <si>
    <t>A2026775B</t>
  </si>
  <si>
    <t>13 AVENUE KATONTWE</t>
  </si>
  <si>
    <t>TS CIS RDC SARL TSC SARL</t>
  </si>
  <si>
    <t>A1520869B</t>
  </si>
  <si>
    <t>1891 AVENUE M SIRI</t>
  </si>
  <si>
    <t>FISMA SARL</t>
  </si>
  <si>
    <t>A1905729Z</t>
  </si>
  <si>
    <t>79 AVENUE KASAI</t>
  </si>
  <si>
    <t>CONGO TECHNICAL SERVICES AND</t>
  </si>
  <si>
    <t>A2032240R</t>
  </si>
  <si>
    <t>26 AND 27 ROUTE KAMBOVE</t>
  </si>
  <si>
    <t>WS INSIGHT CONGO SARL</t>
  </si>
  <si>
    <t>A1201636S</t>
  </si>
  <si>
    <t>AV LA REVOLUTION NO 95</t>
  </si>
  <si>
    <t>EKMM SARL</t>
  </si>
  <si>
    <t>A1315509Y</t>
  </si>
  <si>
    <t>1927 AVENUE TSHUNA</t>
  </si>
  <si>
    <t>A0700301L</t>
  </si>
  <si>
    <t>675 AVE VICTIMES DE LA REBELLION</t>
  </si>
  <si>
    <t>KATANGA MINING EQUIPMENT SARL</t>
  </si>
  <si>
    <t>A1807843W</t>
  </si>
  <si>
    <t>32 AVENUE DES ROCHES</t>
  </si>
  <si>
    <t>STE WUHUANG CONSTRUCTION ET</t>
  </si>
  <si>
    <t>NO 91 NYOTA STREET</t>
  </si>
  <si>
    <t>MALABAR RDC SARL</t>
  </si>
  <si>
    <t>A1309334L</t>
  </si>
  <si>
    <t>NO 2 AVENUE SQUARE, GEORGE FORREST</t>
  </si>
  <si>
    <t>MINING EXCAVATION CONGO SAS</t>
  </si>
  <si>
    <t>A2155884S</t>
  </si>
  <si>
    <t>COIN ROUTE KINSEVERE ET LIKASI</t>
  </si>
  <si>
    <t>DAYE TECHNOLOGY SERVICE (DTS)</t>
  </si>
  <si>
    <t>Congolais</t>
  </si>
  <si>
    <t>A2040151Q</t>
  </si>
  <si>
    <t>7677 AV KILWA LUBUMBASHI</t>
  </si>
  <si>
    <t>CNMCHKL</t>
  </si>
  <si>
    <t>Chinois</t>
  </si>
  <si>
    <t>Etat chinois</t>
  </si>
  <si>
    <t>419, KAMANYOLA</t>
  </si>
  <si>
    <t>RICH MARK COMPANY SARL</t>
  </si>
  <si>
    <t xml:space="preserve">Local </t>
  </si>
  <si>
    <t>A1314010T</t>
  </si>
  <si>
    <t>KALUBWE LODGE</t>
  </si>
  <si>
    <t>A1313885H</t>
  </si>
  <si>
    <t>CISA SARL</t>
  </si>
  <si>
    <t>A0705998D</t>
  </si>
  <si>
    <t>BUNKER SECURITE SARL</t>
  </si>
  <si>
    <t>A1704460S</t>
  </si>
  <si>
    <t>Brother Transport Congo SARL</t>
  </si>
  <si>
    <t>RHINOCEROS ONE SECURITY SARL</t>
  </si>
  <si>
    <t>A1811939Y</t>
  </si>
  <si>
    <t>ANDA LOGISTIQUE INTERNATIONAL RDC SARL</t>
  </si>
  <si>
    <t>A2150054F</t>
  </si>
  <si>
    <t>COREDIS SARL</t>
  </si>
  <si>
    <t>A0906349M</t>
  </si>
  <si>
    <t>GLOBAL MINING</t>
  </si>
  <si>
    <t>A2292829B</t>
  </si>
  <si>
    <t>ENGEN DRC</t>
  </si>
  <si>
    <t>A0700038A</t>
  </si>
  <si>
    <t>EXPRESS OIL SARL</t>
  </si>
  <si>
    <t>A0907569N</t>
  </si>
  <si>
    <t>ETS SKK HOUSE</t>
  </si>
  <si>
    <t>A1408842C</t>
  </si>
  <si>
    <t>AUTO LUBUMBASHI</t>
  </si>
  <si>
    <t>A0900835T</t>
  </si>
  <si>
    <t>MCK SARL</t>
  </si>
  <si>
    <t>A0704688E</t>
  </si>
  <si>
    <t>Mining Company Katanga</t>
  </si>
  <si>
    <t xml:space="preserve">Bras security </t>
  </si>
  <si>
    <t>TS, CIS DRC SARL</t>
  </si>
  <si>
    <t>Fraser Alexander</t>
  </si>
  <si>
    <t>A0906628Q</t>
  </si>
  <si>
    <t>NENDA MBELE</t>
  </si>
  <si>
    <t>BKM</t>
  </si>
  <si>
    <t>A1010510L</t>
  </si>
  <si>
    <t>PLANET DRC CORPORATION SARL PLANET</t>
  </si>
  <si>
    <t>A2157801B</t>
  </si>
  <si>
    <t>ASCAT</t>
  </si>
  <si>
    <t>A1606569J</t>
  </si>
  <si>
    <t>SHABA WHEELS SARL</t>
  </si>
  <si>
    <t>A1807313U</t>
  </si>
  <si>
    <t>COPPERLINE</t>
  </si>
  <si>
    <t>A1812942N</t>
  </si>
  <si>
    <t>SINO-CONGOLAISE D’EXPLOITATION SA</t>
  </si>
  <si>
    <t>A1706921S</t>
  </si>
  <si>
    <t>ELIAS &amp; MATIS TRADING SARL</t>
  </si>
  <si>
    <t>A2157291X</t>
  </si>
  <si>
    <t>GLOBAL LOGISTICS SARL</t>
  </si>
  <si>
    <t>A1204430E</t>
  </si>
  <si>
    <t>KATANGA MINING PROFESSIONNALS SARL</t>
  </si>
  <si>
    <t>A2168753F</t>
  </si>
  <si>
    <t xml:space="preserve">CISA SARL </t>
  </si>
  <si>
    <t>CONNEXAFRICA SARL</t>
  </si>
  <si>
    <t>675, VICTIMES DE LA REBELLION - LUBUMBASHI</t>
  </si>
  <si>
    <t>JIN GANG (D.R. CONGO) SA</t>
  </si>
  <si>
    <t>A1703425S</t>
  </si>
  <si>
    <t>1133,AV LUKONZOLA, Q/LIDO GOLF,LUBUMBASHI</t>
  </si>
  <si>
    <t>TONGGUAN MINES CONSTRUCTION (DRC) COMPANY SARL</t>
  </si>
  <si>
    <t>A1315129K</t>
  </si>
  <si>
    <t>8083,AV DITU, GOLF LUBUMBASHI</t>
  </si>
  <si>
    <t>CONGO PETROL</t>
  </si>
  <si>
    <t>A0811599S</t>
  </si>
  <si>
    <t>AEROPORT INTERNATIONALE DE LA LUANO</t>
  </si>
  <si>
    <t>KAFAUS BUSINESS SERVICE SARL</t>
  </si>
  <si>
    <t>A1418621G</t>
  </si>
  <si>
    <t>2237, KAPENDA C/LUBUMBASHI</t>
  </si>
  <si>
    <t>EADDECON SARL</t>
  </si>
  <si>
    <t>A1805259M</t>
  </si>
  <si>
    <t>P/377, LOWSSEMENT JOL-SITE, C/MANIKA - KOLWEZI</t>
  </si>
  <si>
    <t>KINGKO CONSTRUCTION SARL</t>
  </si>
  <si>
    <t>A2173555A</t>
  </si>
  <si>
    <t>1891,AV VLUB BAUTIQUE Q/GOLF, LUBUMBASHI</t>
  </si>
  <si>
    <t>13, Route KAKONTWE, Q/PANDA / LIKASI</t>
  </si>
  <si>
    <t>LUALABA COPPER SMELTER S.A.S.</t>
  </si>
  <si>
    <t>311, BOULEVARD LAURRENT DESIRE KABILA, MANIKA-LUALABA</t>
  </si>
  <si>
    <t>CRSN CONSTRUCTION MINIERE (RDC) SARL 中国中铁刚果（金）矿业建设有限公司</t>
  </si>
  <si>
    <t>A1314046H</t>
  </si>
  <si>
    <t>N°3 CONCESSION SICOMINES,Q/KAPATA,C/DILALA, KOLWEZI</t>
  </si>
  <si>
    <t>/</t>
  </si>
  <si>
    <t>INTERNATIONAL FOURTEENTH FIRST CONGO SARL
刚果（金）国际141联营体有限责任公司</t>
  </si>
  <si>
    <t>A1417151J</t>
  </si>
  <si>
    <t>259, avenue de l’église, Commune de DILALA,QuartierBiashara,VilledeKolwezi, Lualaba</t>
  </si>
  <si>
    <t>BANGDE CONSTRUCTION SARL 邦德建筑有限责任公司　</t>
  </si>
  <si>
    <t>A1813389Z</t>
  </si>
  <si>
    <t>N* 25 Av. KAYEMBE Q.KAKIFULUWE CIMANIKA-KOLWEZI</t>
  </si>
  <si>
    <t>CGM LISHI MINING SARL 
中矿利世有限责任公司（三和）</t>
  </si>
  <si>
    <t>A0906803F</t>
  </si>
  <si>
    <t>No.9 Route Kambove, Ville de Likasi, Province du Haut-Katanga</t>
  </si>
  <si>
    <t>LA GRANDE CIMENTERIE DU KATANGA SAS
加丹加大水泥厂</t>
  </si>
  <si>
    <t>Route KAKONTWE, Quartier KAKONTWE, Commune de PANDA, Ville de LIKASI, Province du HAUT-KATANGA</t>
  </si>
  <si>
    <t>CARRIERE DU LUALABA SAS
卢阿拉巴矿业简易股份有限公司</t>
  </si>
  <si>
    <t>Groupement MWANFWE, Secteur de Luilu, Territoire de Mutshatsha, Province du Lualaba en République Démocratique du Congo</t>
  </si>
  <si>
    <t>AGENCE DE SERVICE,COMMERCE,ASSURANCE &amp; TRANSIT SARL                                        
ASCAT有限责任公司</t>
  </si>
  <si>
    <t>79, Avenue Munongo, Bâtiment I.N.S.S.</t>
  </si>
  <si>
    <t>TASKS SERVICE LIMITED
工作服务有限责任公司（TSL工作餐供应）</t>
  </si>
  <si>
    <t>A2163948H</t>
  </si>
  <si>
    <t>8120, Boulevard Sendwe,Quartier Funa,Commune de Kalamu,Ville-Province de Kingshasa.</t>
  </si>
  <si>
    <t xml:space="preserve">FRONTIER SERVICES GROUP SECURITE
先丰服务集团安保公司 FSGS </t>
  </si>
  <si>
    <t>A1914978C</t>
  </si>
  <si>
    <t xml:space="preserve">15 Avenue les flamboyants, Gombe-Kinshasa </t>
  </si>
  <si>
    <t>SOCIETE IMMOBILIERE SERGE KASANDA LUSAMBA        
SERKAS出口清关公司</t>
  </si>
  <si>
    <t>A0700848F</t>
  </si>
  <si>
    <t xml:space="preserve"> 1er Niveau du Building SERKAS wa NDEKA, n°7639 quartier Haut Commandement, dans la Communes de la Gombe à Kinshasa</t>
  </si>
  <si>
    <t>Entreprise de Transport et de Services S.A.R.L
ETS运输服务公司</t>
  </si>
  <si>
    <t>A1723119Z</t>
  </si>
  <si>
    <t>1142, Avenue Géomètre Kisamba, Quartier Latin, Comune de Manika, Ville de Kolwezi, Province de Lualaba</t>
  </si>
  <si>
    <t>DOUANE EXPRESS CUSTOM SARL
DEC清关公司</t>
  </si>
  <si>
    <t>Nº2573 AV.LUMUMBA, COMMUNE ET VILLE DE LUBUMBASHI,PROVINCE DU KATANGA</t>
  </si>
  <si>
    <t>NISAN CORPORATION公司</t>
  </si>
  <si>
    <t>A2156843K</t>
  </si>
  <si>
    <t>13 de l'avenue fizi du Quartier bel'air dans la Commune de kampemba dans la ville de Lubumbashi en République Démocratique du Congo</t>
  </si>
  <si>
    <t>AFRICAINE D'EXPLOSIFS (AFRIDEX)              
非洲炸药管理局</t>
  </si>
  <si>
    <t>Avenue Kambove.C/Panda-Likasi.B.P.:290</t>
  </si>
  <si>
    <t>Agence de transport PORTA GRACIA
PORTA GRACIA 运输公司</t>
  </si>
  <si>
    <t>A1310500D</t>
  </si>
  <si>
    <t>31, AV.DU 30 JUIN,C/MANIKA-KOLWEZI</t>
  </si>
  <si>
    <t>GENERAL DE COMMERCE ET DE TRANSIT  SARLU 
GECOTRANS进口清关公司</t>
  </si>
  <si>
    <t xml:space="preserve"> 51 avenue Du livre,Q/Golf,C/Gombe,V/Kinshasa,P/Kinshasa, RD Congo</t>
  </si>
  <si>
    <t>SECURITY DEFENSE AND INTERVENTION SARLU
SDI安保公司</t>
  </si>
  <si>
    <t>A2033454L</t>
  </si>
  <si>
    <t>la commune de KATUBA, ville de Kolwezi, province de Lualaba</t>
  </si>
  <si>
    <t>ARCHIDIOCESE du KATANKA
东正教医院</t>
  </si>
  <si>
    <t>A1113017M</t>
  </si>
  <si>
    <t>Avenue MADUDA,N°1-2,commune de Dilala,Ville de Kolwezi</t>
  </si>
  <si>
    <t>CONGO KAZI BORA
CKB公司</t>
  </si>
  <si>
    <t>A2026061A</t>
  </si>
  <si>
    <t>N°6A, Avenue Kipuluka, Quartier Golf les battants, Commune et Ville de Lubumbashi, Province du Haut-Katanga en République Démocratique du Congo</t>
  </si>
  <si>
    <t>LA SOCIETE GENERALE DE SERVICE ET CONSTRUCTION SARL</t>
  </si>
  <si>
    <t>A1506054Y</t>
  </si>
  <si>
    <t>n°4288, Av. CHEMIN PUBLIQUE, Quartier JOLI SITE, Commune MANIKA, Province du LUALABA</t>
  </si>
  <si>
    <t>Centre de Santé PENIEL
卡巴达医院</t>
  </si>
  <si>
    <t>A1510958D</t>
  </si>
  <si>
    <t>Avenue KENYA N°3,Cité KAPATA,à Kolwezi</t>
  </si>
  <si>
    <t>PricewaterhouseCoopers  RDC SAS                                     　　　　     普华永道刚果会计师事务所</t>
  </si>
  <si>
    <t>A0700522B</t>
  </si>
  <si>
    <t xml:space="preserve">Immeuble Midema, 13 avenue Mongala, Gombe, B.P. 10195 Kinshasa I.  </t>
  </si>
  <si>
    <t>SOCIETE GENERALE DE TRANSIT ET DES DOUANDES SARL 
SOGESTRAD出口清关公司</t>
  </si>
  <si>
    <t xml:space="preserve"> A2158506S</t>
  </si>
  <si>
    <t xml:space="preserve"> n° 109 de l’avenue Wagenia, Quartier Gare, dans la Commune de la Gombe à Kinshasa/République
Démocratique du Congo</t>
  </si>
  <si>
    <t>TRADE SERVICE S.A.R.L.
Trade Service有限责任公司</t>
  </si>
  <si>
    <t>A0814807E</t>
  </si>
  <si>
    <t>Numéro 194,Avenue MOERO, COMMUNE ET VILLE DE LUBUMBASHI</t>
  </si>
  <si>
    <t>CONGO BUSINESS INVESTMENTS JL&amp;FK
刚果商业投资公司（CBI）</t>
  </si>
  <si>
    <t>A2157374M</t>
  </si>
  <si>
    <t>82, avenue JACARANDAS, Commune de Kampembe, Ville de Lubumbashi Province de Haut-Katanga, en République Démocratique du Congo</t>
  </si>
  <si>
    <t>SUPER SERVICES SARL</t>
  </si>
  <si>
    <t>A157029C</t>
  </si>
  <si>
    <t>l,Rte Lubun1bashi/Av.I)u Foot,Ville de Likasi,Province du I.1aut Katanga
en RDC,</t>
  </si>
  <si>
    <t>DAP INVESTMENT SARL
DAP公司</t>
  </si>
  <si>
    <t>A1823811C</t>
  </si>
  <si>
    <t>N°712 de l'avenue Kundelungu, Commune de Ruashi, Ville de Lubumbashi</t>
  </si>
  <si>
    <t>BEKET HOLDING SARL</t>
  </si>
  <si>
    <t>A1822602N</t>
  </si>
  <si>
    <t>n°02, Av. Llunga, Quatier Golf Malela, Commune Lubumbashi</t>
  </si>
  <si>
    <t>Ultimate Industrial Ltd
Ultimate Industrials有限责任公司</t>
  </si>
  <si>
    <t>No.6,Av.Luvungi,Q/Industriel,C/Kampemba,Lubumbashi</t>
  </si>
  <si>
    <t>LA GENERALE DE FORAGE SARL
钻井总公司（GEFOR）</t>
  </si>
  <si>
    <t>A1202126A</t>
  </si>
  <si>
    <t>781 avenue Kashobwe, commune et ville de Lubumbashi, Province du Haut-Katanga en République Démocratique du Congo</t>
  </si>
  <si>
    <t>Société Nationale D'Assurances (SONAS)
刚果（金)国家保险公司</t>
  </si>
  <si>
    <t>AO 70030307S</t>
  </si>
  <si>
    <t>7871 AV.KABALO C/LUBUMBASHI</t>
  </si>
  <si>
    <t>SOCIETE PROGUARD
PROGUARD安保有限责任公司</t>
  </si>
  <si>
    <t>A2206853Z</t>
  </si>
  <si>
    <t>8120 avenue SENDWE, quartier FUNA, commune de Kalamu, ville et province de Kinshasa</t>
  </si>
  <si>
    <t>MIKUBA RADIO TELE SARL
MIKUBA广播电视有限责任公司</t>
  </si>
  <si>
    <t>A1715565N</t>
  </si>
  <si>
    <t xml:space="preserve">64, Avenue Lumumba, Quartier Mutoshi, Commune Manika, Ville de Kolwezi, Province du Lualaba en RDC. </t>
  </si>
  <si>
    <t>KIBIL SERVICES SARL
KIBIL服务公司（KBLS）</t>
  </si>
  <si>
    <t>A1825929E</t>
  </si>
  <si>
    <t>COMMUNE DE DILALA, VILLE DE KOLWEZI, PROVINCE DU LUALABA, EN REPUBLIQUE DEMOCRATIQUE DU CONGO</t>
  </si>
  <si>
    <t>MULTINATIONAL TRADING S.A.R.L.
进口清关公司</t>
  </si>
  <si>
    <t>A1919730S</t>
  </si>
  <si>
    <t>1, AV. DE LA PAIX LOCAL RCM7 GALLERIES PRESIDENTIELLE, C/GOMBE, V/KINSHASA, P/KINSHASA,RDC</t>
  </si>
  <si>
    <t>STRATEGIC ENVIRONMENTAL CONSULTING SARL
环境战略咨询有限责任公司（SEC）</t>
  </si>
  <si>
    <t xml:space="preserve"> A1902164Z</t>
  </si>
  <si>
    <t>n°594 sur l’avenue Dilolo, dans la ville de Kolwezi, province du Lualaba, en RDC</t>
  </si>
  <si>
    <t>PANDA INTERNATIONAL CONGO ENGINEERING SARL</t>
  </si>
  <si>
    <t>N 2100 AV JERUSALEM Q/JOLI SITE C ANNEXE V LUBUMBASHI P/HAUT-KATANGA RDC</t>
  </si>
  <si>
    <t>412 AV BOTA QUARTIER MUTOSHI COMMUNE MANIKA KOLWEZI LUALABA REP DEM CONGO</t>
  </si>
  <si>
    <t>WUHUANG CONSTRUCTION  ET COMMERCE RDC SAS</t>
  </si>
  <si>
    <t>91 AV NYOTA Q/GOLF C LUBUMBASHI RDC</t>
  </si>
  <si>
    <t>INTERNATIONAL FOURTEENTH FIRST CONGO SARL</t>
  </si>
  <si>
    <t>259 AV DE EGLISE /BIASHARA C/DILALA V/KOLWEZI P/KATANGA RDC</t>
  </si>
  <si>
    <t>SOCIETE DE DEVELOPPEMENT DU COMMERCE ET DE CONSTRUCTION SARL</t>
  </si>
  <si>
    <t>A2156321S</t>
  </si>
  <si>
    <t>16 AV BIENAIMME Q GOLF C LUBUMBASHI  REPUBLIQUE DEMOCRATIQUE DU CONGO</t>
  </si>
  <si>
    <t>CCTEB CONGO ENGINEERING CONTRACTING</t>
  </si>
  <si>
    <t>A2283757P</t>
  </si>
  <si>
    <t>LE CAMP CHINOIS EN FACE DU PALAIS DU PEUPLE,AVENUE DES HUILERIES KASHASA-LINGWALA DEMOCRATIQUE DU CONGO</t>
  </si>
  <si>
    <t>YELLOW RIVER MINING SARL</t>
  </si>
  <si>
    <t>A2155529A</t>
  </si>
  <si>
    <t>23 AV ,MISAKABU Q GOLF METEO C LUBUMBASHI V LUBUMBASHI P KATANGA RDC</t>
  </si>
  <si>
    <t>DESTINY SARL</t>
  </si>
  <si>
    <t>A2166552N</t>
  </si>
  <si>
    <t>118  AVENUE INDUSTTRIELLE QUARTIER INDUSTRIEL COMMUE DE KAMPMBA VILLE DE LUBUNBASHI PROVINCE DU HAUT-KATANGA IMMATRICULEE AU REGISTRE DU COMMERCE ET CREDIT MOBILIER DE LUBUMBASHI</t>
  </si>
  <si>
    <t xml:space="preserve">HUNAN TIANYU CONSTRUCTION GROUP SRAL </t>
  </si>
  <si>
    <t>A1603936X</t>
  </si>
  <si>
    <t>N12686 AVENUE MUNUA QUARTIER GOLF METEO COMMUNE ET VILLE DE LUBUMBASHI,PROVINCE DU HAUT-KATANGA RDC</t>
  </si>
  <si>
    <t>FRONTIER SERVICES GROUP SECURITE</t>
  </si>
  <si>
    <t>No.1 015 AVENUE FLAMBOYANT C/GOMBA KINSHASHA RDC</t>
  </si>
  <si>
    <t>COLINGO RDC SARL</t>
  </si>
  <si>
    <t>A2031384L</t>
  </si>
  <si>
    <t>89 ROUTE KASAPA Q/GAMBELA2 C/LUBUMBASHI PROVINCE DU HAUT -KATANGA REPUBLIQUE DEMOCRATIQUE DU CONGO</t>
  </si>
  <si>
    <t>A2042279D</t>
  </si>
  <si>
    <t>AV LUANO CITY NO27 Q JOLY CITY V LUBUMBASHI PROVINCE DU HAUT-KATANGA REPUBILIQUE DEMOCRATIQUE DU CONGO</t>
  </si>
  <si>
    <t>CONGO DEVELEPPEMENT SOLUTIONS SARL</t>
  </si>
  <si>
    <t>A2163221S</t>
  </si>
  <si>
    <t>49 ROUTE MASHA  Q/LIDO GOLF C/LUBUMBASHI P/HAUT-KATANGA RDC</t>
  </si>
  <si>
    <t xml:space="preserve">SOCIETE DES SERVICES ET LOGISTIQUE SARL </t>
  </si>
  <si>
    <t>A1805793S</t>
  </si>
  <si>
    <t>N 176 AV BUSANGA Q/MUTOSHI C/ MANIKA V/KOLWEZI LUALABA PROVINCE DRC</t>
  </si>
  <si>
    <t>【Cust./Supplier：SOCIETE MINERE RESSOURCES DE RENOUVELABLES YINGXING SARL】</t>
  </si>
  <si>
    <t>local</t>
  </si>
  <si>
    <t>【Cust./Supplier：CNMC CONGO COMPAGNIE MINERE SARL】</t>
  </si>
  <si>
    <t>【Cust./Supplier：FRONTIER SA】</t>
  </si>
  <si>
    <t>【Cust./Supplier：信达贸易投资有限责任公司】 CCTI</t>
  </si>
  <si>
    <t>【Cust./Supplier：CC INVESTMENT SARL】</t>
  </si>
  <si>
    <t>【Cust./Supplier：KZYM SARL】</t>
  </si>
  <si>
    <t>【Cust./Supplier：ANVIL MINING CONGO SA】</t>
  </si>
  <si>
    <t>【Cust./Supplier：零星供应商】 FOURNISSEUR DEPAREILLE</t>
  </si>
  <si>
    <t>【Cust./Supplier：SOCIETE NATIONALE D'ELECTRICITE S.A】</t>
  </si>
  <si>
    <t>【Cust./Supplier：CHIBEAU TUTOSHENI S.A.R.L】</t>
  </si>
  <si>
    <t>【Cust./Supplier：EADDECON SARL】</t>
  </si>
  <si>
    <t>【Cust./Supplier：FAST LINK SARL】</t>
  </si>
  <si>
    <t>【Cust./Supplier：LUALABA ENGINEERING CORPORATION SARL】</t>
  </si>
  <si>
    <t>【Cust./Supplier：DAYE TECHNOLOGY SERVICE SAS】</t>
  </si>
  <si>
    <t>【Cust./Supplier：UNITED TRILLION CONGO SARL】</t>
  </si>
  <si>
    <t>【Cust./Supplier：BROTHER TRANSPORT CONGO SARL】</t>
  </si>
  <si>
    <t>【Cust./Supplier：UNITED TRANSPORT CONGO SARL】</t>
  </si>
  <si>
    <t>【Cust./Supplier：BARAKA MINING SERVICES SARL】</t>
  </si>
  <si>
    <t>【Cust./Supplier：Anda Logistique International RDC】</t>
  </si>
  <si>
    <t>【Cust./Supplier：FLYING HORSE SARL】</t>
  </si>
  <si>
    <t>【Cust./Supplier：OMG MACHINE AND TRADING KOLWEZI SARL】</t>
  </si>
  <si>
    <t>【Cust./Supplier：MOERO LOGISTIQUE SARL】</t>
  </si>
  <si>
    <t>【Cust./Supplier：SHABA WHEELS SARL】</t>
  </si>
  <si>
    <t>【Cust./Supplier：JUBA LOGISTICS INTERNATIONAL SARL】</t>
  </si>
  <si>
    <t>【Cust./Supplier：CONNEXAFRICA RDC SARL】</t>
  </si>
  <si>
    <t>【Cust./Supplier：BOLLORE TRANSPORT &amp; LOGISTICS RDC】</t>
  </si>
  <si>
    <t>【Cust./Supplier：NYRA PROGRESS AGENCY】</t>
  </si>
  <si>
    <t>【Cust./Supplier：Malabar RDC SARL】</t>
  </si>
  <si>
    <t>【Cust./Supplier：SGS MINERALS RDC SPRL】</t>
  </si>
  <si>
    <t>Cargo Congo Supply Chain Services</t>
  </si>
  <si>
    <t>BOLLORE LOGISTICS SERVICES RDC SAS</t>
  </si>
  <si>
    <t>A0700208K</t>
  </si>
  <si>
    <t>CONNEX AFRICA RDC SARL</t>
  </si>
  <si>
    <t>SECURITY DEFENSE AND INTERVENTON SARLU</t>
  </si>
  <si>
    <t>Feng Fan Sarlu</t>
  </si>
  <si>
    <t>A1604769C</t>
  </si>
  <si>
    <t>2100, Av Jerusaleme, Q/Jolie site, c/annexe, Lubumbashi</t>
  </si>
  <si>
    <t>Royal Force Securite sarl</t>
  </si>
  <si>
    <t>A1408306U</t>
  </si>
  <si>
    <t>445, Square Forrest, Lubumbashi</t>
  </si>
  <si>
    <t>Alfred H. Knight DRC sarl</t>
  </si>
  <si>
    <t>A1101382Q</t>
  </si>
  <si>
    <t>108, Av Kigoma, Lubumbashi</t>
  </si>
  <si>
    <t>AEL Mining Services DRC</t>
  </si>
  <si>
    <t>A0905301Y</t>
  </si>
  <si>
    <t>Route aeroport, Luano City, Lubumbashi</t>
  </si>
  <si>
    <t>11806 - Etendard IT - KICO</t>
  </si>
  <si>
    <t>National</t>
  </si>
  <si>
    <t>19409 - Rainbow Services RDC SARL</t>
  </si>
  <si>
    <t>15763 - ETS La Frontiere Plaza - KICO USD</t>
  </si>
  <si>
    <t>18979 - Medical Support Solutions SARL</t>
  </si>
  <si>
    <t>15458 - Safi Holding</t>
  </si>
  <si>
    <t>18468 - FABACOM SERVICES SARL</t>
  </si>
  <si>
    <t>15293 - BTS Projects</t>
  </si>
  <si>
    <t>6263 - Centre Medical de la Communa</t>
  </si>
  <si>
    <t>18084 - Global Solution SARL</t>
  </si>
  <si>
    <t>10801 - Centre Medical Pacifique</t>
  </si>
  <si>
    <t>13776 - Hospital General Du Cinquantenaire Kipus</t>
  </si>
  <si>
    <t>18391 - Katanga Business Logistic - KICO USD</t>
  </si>
  <si>
    <t>17705 - Golders Associates Africa (Pty) Ltd</t>
  </si>
  <si>
    <t>Foreign</t>
  </si>
  <si>
    <t>22668 - AfrixMark Groupe SARLU</t>
  </si>
  <si>
    <t>18055 - Christina Trading Sarl</t>
  </si>
  <si>
    <t>15686 - Salvibena VP SARL - USD KICO</t>
  </si>
  <si>
    <t>18056 - ETS United Scientifics</t>
  </si>
  <si>
    <t>10709 - Panaco SPRL - KICO USD</t>
  </si>
  <si>
    <t>26122 - Bureau d'Etudes Environmentales du Congo</t>
  </si>
  <si>
    <t>19373 - Okapi Environmental &amp; Genie Civil</t>
  </si>
  <si>
    <t xml:space="preserve">National </t>
  </si>
  <si>
    <t>14929 - Ets Dev</t>
  </si>
  <si>
    <t>15682 - ETS Stars and Sand Business - USD KICO</t>
  </si>
  <si>
    <t>14775 - Ets Kwaneema Tu Quincailleire</t>
  </si>
  <si>
    <t>6315 - Golders Associates Africa (Pty) Ltd</t>
  </si>
  <si>
    <t>10642 - UAC SPRL USD - KICO</t>
  </si>
  <si>
    <t>14210 - Auto Mac</t>
  </si>
  <si>
    <t>14462 - Congo Online Solutions SARL</t>
  </si>
  <si>
    <t>38285 - Transfields Services DRC SARL</t>
  </si>
  <si>
    <t>11172 - Scamont Engineering (Pty) Ltd</t>
  </si>
  <si>
    <t>6221 - ACTOM (Pty) Ltd</t>
  </si>
  <si>
    <t>13613 - Tech Edge/Tultons Winches</t>
  </si>
  <si>
    <t>6264 - CFAO Motors RDC</t>
  </si>
  <si>
    <t>15545 - Ets GMT</t>
  </si>
  <si>
    <t>14392 - AMS Haden Instrument &amp; Mining CC</t>
  </si>
  <si>
    <t>74214 - Centre Medical Diamant SPRL</t>
  </si>
  <si>
    <t>73768 - King Eagle Vision Multiservices SARL</t>
  </si>
  <si>
    <t>14275 - Hydrotek SARL</t>
  </si>
  <si>
    <t>10696 - Congo Environment &amp; Mining Consulting</t>
  </si>
  <si>
    <t>79742 - La Treve SARL</t>
  </si>
  <si>
    <t>80763 - Olivero Solutions SARL</t>
  </si>
  <si>
    <t>15504 - AEL Mining Serivces DRC SARL</t>
  </si>
  <si>
    <t>82959 - MB Services SARL</t>
  </si>
  <si>
    <t>10804 - Groupe Sawa Sawa &amp; Fils</t>
  </si>
  <si>
    <t>15161 - Winder Controls Pty Ltd</t>
  </si>
  <si>
    <t>90135 - Woch Engineering &amp; Supply SARL</t>
  </si>
  <si>
    <t>92078 - Gift SARL</t>
  </si>
  <si>
    <t>95390 - Delta Export Company (Pty Ltd)</t>
  </si>
  <si>
    <t>6226 - Agrizex</t>
  </si>
  <si>
    <t>92934 - Nehema Business SARL</t>
  </si>
  <si>
    <t>101582 - OBSERVATOIRE CONGALAIS DE L'ENVIRONNEME</t>
  </si>
  <si>
    <t>101608 - AFRICA MINING SERVICES &amp; LOGISTICS</t>
  </si>
  <si>
    <t>101545 - ETS BOZZOH KIBALE KIBALE "BZK"</t>
  </si>
  <si>
    <t>14933 - Compass Green Worldwide SARL</t>
  </si>
  <si>
    <t>95201 - ETS Clopas</t>
  </si>
  <si>
    <t>15834 - Congo Equipment SARL</t>
  </si>
  <si>
    <t>135748 - Dev Energie SARL</t>
  </si>
  <si>
    <t xml:space="preserve"> 14759 - Mining Chemical Suppliers SARL</t>
  </si>
  <si>
    <t xml:space="preserve"> 96682 - Orezone Drilling SARL</t>
  </si>
  <si>
    <t xml:space="preserve"> 97132 - Rotacon Engineering DRC SARL</t>
  </si>
  <si>
    <t xml:space="preserve"> 107272 - Global Engineering Services - KICO USD</t>
  </si>
  <si>
    <t xml:space="preserve"> 136981 - Compagnie Africaine de Services</t>
  </si>
  <si>
    <t>DRILL AFRICA</t>
  </si>
  <si>
    <t>FURAHA</t>
  </si>
  <si>
    <t>JAC-SERVICES</t>
  </si>
  <si>
    <t>A2210515E</t>
  </si>
  <si>
    <t>AV DES ACCACIAS, C/MAKISO, PROVINCE ITURI</t>
  </si>
  <si>
    <t xml:space="preserve">Congolese analyse </t>
  </si>
  <si>
    <t>Nypra Transit</t>
  </si>
  <si>
    <t>ideal transit</t>
  </si>
  <si>
    <t xml:space="preserve">Clinique Ars  </t>
  </si>
  <si>
    <t>CONGOLESE ANALYTICAL LABORATORY</t>
  </si>
  <si>
    <t>*Secteur Minier</t>
  </si>
  <si>
    <t>Permanents hommes</t>
  </si>
  <si>
    <t>Contractuels hommes</t>
  </si>
  <si>
    <t>Permanents femmes</t>
  </si>
  <si>
    <t>Contractuels femmes</t>
  </si>
  <si>
    <t>Total employés</t>
  </si>
  <si>
    <t>Total masse salariale</t>
  </si>
  <si>
    <t>cadres supérieurs</t>
  </si>
  <si>
    <t>techniciens supérieurs et moyens</t>
  </si>
  <si>
    <t>techniciens et ouvriers qualifiés</t>
  </si>
  <si>
    <t>employés ouvriers et apprentis</t>
  </si>
  <si>
    <t>Etrangers</t>
  </si>
  <si>
    <t>NEW MINERALS INVESTEMENT</t>
  </si>
  <si>
    <t>A0906592B</t>
  </si>
  <si>
    <t>*Secteur Pétrolier</t>
  </si>
  <si>
    <t>Annexe 56 - Suivi mesures correctives</t>
  </si>
  <si>
    <t>Annexe 55 - Statistiques emploi déclarés par les sociétés</t>
  </si>
  <si>
    <t>Annexe 54 - Déclarations unilatérales</t>
  </si>
  <si>
    <t>Annexe 53 - Détails paiements flux "impôt excédentaire"</t>
  </si>
  <si>
    <t>Annexe 52 - Détails paiements flux "redevance minière"</t>
  </si>
  <si>
    <t>Annexe  51 – Sous-traitants</t>
  </si>
  <si>
    <t>Annexe 50 - Détail exécution des cahiers de charges</t>
  </si>
  <si>
    <t>Annexe 49 - Répartition des cahiers de charges par province et par statut</t>
  </si>
  <si>
    <t xml:space="preserve">Annexe 48 - Discordance entre les titres miniers au niveau du CAMI et de la déclaration de la MIBA </t>
  </si>
  <si>
    <t xml:space="preserve">Annexe 47 - Politique de lutte contre la corruption </t>
  </si>
  <si>
    <t xml:space="preserve">Annexe 0  – Présentation sociétés du périmetre </t>
  </si>
  <si>
    <t>Commune</t>
  </si>
  <si>
    <t>Province</t>
  </si>
  <si>
    <t>Chiffre d'affaires</t>
  </si>
  <si>
    <t>EF audités</t>
  </si>
  <si>
    <t>CAC</t>
  </si>
  <si>
    <t>DILALA</t>
  </si>
  <si>
    <t>2 635 732 229 USD</t>
  </si>
  <si>
    <t>Deloitte &amp; JPP &amp; Associés</t>
  </si>
  <si>
    <t>65 050 000 USD</t>
  </si>
  <si>
    <t>LUILU</t>
  </si>
  <si>
    <t>1 045 450 624 USD</t>
  </si>
  <si>
    <t>Munkeni kiekie Elianne</t>
  </si>
  <si>
    <t>1 561 070 848 USD</t>
  </si>
  <si>
    <t>PricewaterhouseCoopers RDC SAS</t>
  </si>
  <si>
    <t>957 367 630,73 USD</t>
  </si>
  <si>
    <t>Jean-Pierre PFINGU / EXPERT COMPTABLE ONEC/EC/16.00467</t>
  </si>
  <si>
    <t xml:space="preserve">LUBUMBASHI </t>
  </si>
  <si>
    <t>2 147 671 723 USD</t>
  </si>
  <si>
    <t>Pricewaterhousecoopers RDC SAS</t>
  </si>
  <si>
    <t>GOMBE</t>
  </si>
  <si>
    <t>HAUT UELE</t>
  </si>
  <si>
    <t>1 328 306 166,64 USD</t>
  </si>
  <si>
    <t>M M &amp; PARTNERS</t>
  </si>
  <si>
    <t>342 774 370 USD</t>
  </si>
  <si>
    <t>753 697 608 USD</t>
  </si>
  <si>
    <t>AJM et Associates</t>
  </si>
  <si>
    <t>PUMPI</t>
  </si>
  <si>
    <t>653 028 775 USD</t>
  </si>
  <si>
    <t>ELISEE KILUBA</t>
  </si>
  <si>
    <t>396 557 785,42 USD</t>
  </si>
  <si>
    <t>DELOITTE SERVICES SARL</t>
  </si>
  <si>
    <t>270 245 773,56 USD</t>
  </si>
  <si>
    <t xml:space="preserve">JPP ASSOCIE </t>
  </si>
  <si>
    <t>486 844 983,39 USD</t>
  </si>
  <si>
    <t>215 995 285 USD</t>
  </si>
  <si>
    <t>Pricewaterhousecoopers</t>
  </si>
  <si>
    <t>449 640 826 USD</t>
  </si>
  <si>
    <t>Deloitte</t>
  </si>
  <si>
    <t>351224456 USD</t>
  </si>
  <si>
    <t>PricewaterhouseCoopers (PWC) RDC</t>
  </si>
  <si>
    <t>PANDA</t>
  </si>
  <si>
    <t>331 546 997,37 USD</t>
  </si>
  <si>
    <t>320 089 582 USD</t>
  </si>
  <si>
    <t>316 402 561,03 USD</t>
  </si>
  <si>
    <t>441 188 966,16 USD</t>
  </si>
  <si>
    <t>SAKANIA</t>
  </si>
  <si>
    <t>201 515 095,27 USD</t>
  </si>
  <si>
    <t>TONKA TSHAMALA</t>
  </si>
  <si>
    <t>LIKASI</t>
  </si>
  <si>
    <t>164 068 982,82 USD</t>
  </si>
  <si>
    <t>TIA AFRICA</t>
  </si>
  <si>
    <t>222 083 052 USD</t>
  </si>
  <si>
    <t xml:space="preserve">KOLWEZI </t>
  </si>
  <si>
    <t>2 229 721 588,51 USD</t>
  </si>
  <si>
    <t>MBUMBA MBUDI Joseph</t>
  </si>
  <si>
    <t>404405743 USD</t>
  </si>
  <si>
    <t>319 964 232,61 USD</t>
  </si>
  <si>
    <t>PRICEWATERHOUSECOOPERS</t>
  </si>
  <si>
    <t>KISANFU</t>
  </si>
  <si>
    <t>165 913 957,68 USD</t>
  </si>
  <si>
    <t xml:space="preserve">LIULU </t>
  </si>
  <si>
    <t>MUTSHATSHA</t>
  </si>
  <si>
    <t>337 369 757 USD</t>
  </si>
  <si>
    <t>200 133 870 000 CDF</t>
  </si>
  <si>
    <t>900 000 USD</t>
  </si>
  <si>
    <t>2 459 043,21 USD</t>
  </si>
  <si>
    <t xml:space="preserve">oui </t>
  </si>
  <si>
    <t>118 942 633 USD</t>
  </si>
  <si>
    <t>MIABI</t>
  </si>
  <si>
    <t>KASAI ORIENTAL</t>
  </si>
  <si>
    <t>48 646 893 USD</t>
  </si>
  <si>
    <t>XIAVIER NDUSHA</t>
  </si>
  <si>
    <t>25 595 164 CDF</t>
  </si>
  <si>
    <t>KALENGA KASOKOTA Germain</t>
  </si>
  <si>
    <t>83929516621 CDF</t>
  </si>
  <si>
    <t>MATONDO MIOKO JEAN</t>
  </si>
  <si>
    <t>92 070 430 USD</t>
  </si>
  <si>
    <t>FREDDY MUKANYA</t>
  </si>
  <si>
    <t>69 054 562 USD</t>
  </si>
  <si>
    <t>M&amp;M PARTNERS CONGO</t>
  </si>
  <si>
    <t>66 389 522,9 USD</t>
  </si>
  <si>
    <t>40 737 912,64 USD</t>
  </si>
  <si>
    <t>PRICEWATERHOUSE</t>
  </si>
  <si>
    <t>9 779 807 815 CDF</t>
  </si>
  <si>
    <t>KALIMA</t>
  </si>
  <si>
    <t>MANIEMA</t>
  </si>
  <si>
    <t>3 442 132 USD</t>
  </si>
  <si>
    <t>BAMBOLE ISSIA Serge et KINGOMBE OMANGA Rudy</t>
  </si>
  <si>
    <t>26 630 088 521 USD</t>
  </si>
  <si>
    <t>BAHIDIKA MIRINDI JOYEUX</t>
  </si>
  <si>
    <t>Mr KAPEND TSHIBAL et Mme ILEO BOTINDO</t>
  </si>
  <si>
    <t>MANONO</t>
  </si>
  <si>
    <t>IFEKA NELSON</t>
  </si>
  <si>
    <t>KISANGANI</t>
  </si>
  <si>
    <t>9 985 206 045 CDF</t>
  </si>
  <si>
    <t>BLANCHARD BOTHO LISASI</t>
  </si>
  <si>
    <t>9 480 796 USD</t>
  </si>
  <si>
    <t>4 269 119,61 USD</t>
  </si>
  <si>
    <t>LUNU TSHIMANGA JEAN PIERRE</t>
  </si>
  <si>
    <t>KAMPEMBA</t>
  </si>
  <si>
    <t>3271062,75 USD</t>
  </si>
  <si>
    <t>DIEUDONNE MAMPASI/JOEL FIMPA</t>
  </si>
  <si>
    <t>GABRIEL NSILULU BAHELELE</t>
  </si>
  <si>
    <t>KISENGE</t>
  </si>
  <si>
    <t>1 192 974,6 USD</t>
  </si>
  <si>
    <t>MBUJIMAYI</t>
  </si>
  <si>
    <t>4 347 366 900 CDF</t>
  </si>
  <si>
    <t>Eliane MUNKENI</t>
  </si>
  <si>
    <t>3 754 359 175 CDF</t>
  </si>
  <si>
    <t>EMILE SELEMANI RADJABU/GAUTHIER DONGO LISIKA</t>
  </si>
  <si>
    <t>MUANDA</t>
  </si>
  <si>
    <t>KONGO CENTRAL</t>
  </si>
  <si>
    <t>236 032 061,8 CDF</t>
  </si>
  <si>
    <t>152 187 245 USD</t>
  </si>
  <si>
    <t>83 158 120 USD</t>
  </si>
  <si>
    <t>170 543 730 USD</t>
  </si>
  <si>
    <t>142 058 510 USD</t>
  </si>
  <si>
    <t>STRONG NKV</t>
  </si>
  <si>
    <t>LEMERA</t>
  </si>
  <si>
    <t>31 588 412 435 CDF</t>
  </si>
  <si>
    <t>NDANGI NDANGANI</t>
  </si>
  <si>
    <t>Rapport CAC</t>
  </si>
  <si>
    <t>Lettre de contrôle interne</t>
  </si>
  <si>
    <t>Rapport spécial CAC</t>
  </si>
  <si>
    <t>Total en Usd</t>
  </si>
  <si>
    <t>CABINDA GULF OIL COMPANY LIMITED</t>
  </si>
  <si>
    <t>Sans nom (Déclaration FOMIN)</t>
  </si>
  <si>
    <t>Phase</t>
  </si>
  <si>
    <t>Secteur</t>
  </si>
  <si>
    <t>Montant USD</t>
  </si>
  <si>
    <t>Non identifiée</t>
  </si>
  <si>
    <t>Exploration</t>
  </si>
  <si>
    <t>Exploitation</t>
  </si>
  <si>
    <t>Production</t>
  </si>
  <si>
    <t>Entreprise d'Etat</t>
  </si>
  <si>
    <t>Autre</t>
  </si>
  <si>
    <t>Cat percepteur</t>
  </si>
  <si>
    <t>Total général</t>
  </si>
  <si>
    <t xml:space="preserve">DGRHU </t>
  </si>
  <si>
    <t>M.M.G</t>
  </si>
  <si>
    <t>Pour les Régies autres entités publiques</t>
  </si>
  <si>
    <t>Pour les DRP, les ETD et les OS/DOT</t>
  </si>
  <si>
    <t>FD 2022 certifié par auditeur</t>
  </si>
  <si>
    <t>Sans Nom</t>
  </si>
  <si>
    <t>Annexe 57 -Détail des recettes FOMIN par société</t>
  </si>
  <si>
    <t>Annexe 58 -Fiches de rapprochement par société</t>
  </si>
  <si>
    <t>Nouvelles mesures correctives et recommandations (Validation (Juillet 2022)</t>
  </si>
  <si>
    <t>Exigence ITIE (2019)</t>
  </si>
  <si>
    <t>Octrois des contrats et des licences (Exigence 2.2)</t>
  </si>
  <si>
    <t>En vertu de l’Exigence 2.2.a.iv, la RDC devra veiller à ce que toute évaluation future des écarts non négligeables par rapport aux procédures légales dans le processus d’octroi de licences minières comprenne les octrois et transferts effectués par des entreprises d’État sous forme d’amodiation, de transfert ou d’appel d’offres, selon la pertinence de la période, ainsi qu’une explication des règles déterminant le type de procédure suivi par les entreprises d’État en pratique. Pour renforcer la mise en oeuvre, l’ITIE RDC est encouragée à inclure dans son plan de travail les octrois de licences minières, afin de donner suite aux recommandations provenant de l’étude thématique de l’Administrateur indépendant.</t>
  </si>
  <si>
    <t>2.2</t>
  </si>
  <si>
    <t>Registre des licences (Exigence 2.3)</t>
  </si>
  <si>
    <t>Afin de renforcer la mise en oeuvre, le ministère des Hydrocarbures est encouragé à mettre à jour son registre en ligne des licences pétrolières, en particulier tout changement intervenu dans le statut des licences – par exemple, une annulation ou un transfert. En conformité avec l’Exigence 2.3.b.ii, le ministère des Hydrocarbures pourrait inclure les coordonnées géographiques de chaque titre minier dans le registre en ligne, en suivant la pratique appliquée sur le site Internet de l’ITIE RDC. Aux termes de l’Exigence 2.3.b.iii, le ministère des
Hydrocarbures pourrait également préciser dans son registre des licences les dates de demande. En vertu de l’Exigence 2.3.b.iv, le ministère des Hydrocarbures pourrait enfin inclure les matières premières ciblées, au moins pour les licences en production, dans le registre en ligne des licences pétrolières. Pour promouvoir la compréhension des informations contenues dans le registre en ligne, le ministère est encouragé à inclure les noms des détenteurs et/ou exploitants de licences pétrolières. Pour renforcer la mise en oeuvre, le ministère des Mines
est convié à publier toutes les données sur les licences minières dans un format ouvert afin de
faciliter les recherches et les analyses.</t>
  </si>
  <si>
    <t>2.3</t>
  </si>
  <si>
    <t>Contrats (Exigence 2.4)</t>
  </si>
  <si>
    <t>Pour renforcer la mise en oeuvre et élargir l’accès du public aux contrats extractifs, la RDC est encouragée à établir des bases de données centralisées et régulièrement mises à jour des contrats et licences publiés dans les secteurs minier, pétrolier et gazier, par exemple sur les sites des administrations publiques correspondantes. La RDC pourrait souhaiter renforcer son utilisation du processus ITIE pour évaluer l’efficacité du système de publication des contrats et licences extractifs.</t>
  </si>
  <si>
    <t>2.4</t>
  </si>
  <si>
    <t>Propriété effective (Exigence 2.5)</t>
  </si>
  <si>
    <t>Conformément à l’Exigence ITIE 2.5, depuis janvier 2022, la RDC doit tenir à jour un registre public des bénéficiaires effectifs des personnes morales qui demandent ou détiennent une participation dans une licence ou un contrat de prospection ou d’exploitation de pétrole, de gaz ou de minerais, comportant notamment l’identité de leurs bénéficiaires effectifs, leur niveau de participation, ainsi que des détails sur les modalités de participation ou de contrôle.
Toute lacune ou insuffisance significative dans la déclaration des informations sur la propriété effective doit être indiquée, y compris en citant le nom des entités qui n’ont pas soumis, en partie ou en totalité, les informations sur leur propriété effective. 
Les informations publiques relatives à l’identité des bénéficiaires effectifs devront comprendre le nom, la nationalité et le pays de résidence de ces personnes, et permettre d’identifier toute personne politiquement exposée. Il est également recommandé de divulguer le numéro d’identité national, la date de naissance, l’adresse privée ou professionnelle et les coordonnées. L’ITIE RDC devra évaluer tous les mécanismes existants afin de s’assurer que les informations sur la propriété effective sont fiables et elle conviendra d’une approche garantissant que les entreprises extractives veillent à l’exactitude des informations qu’elles fournissent sur leur propriété effective. Pour atteindre cette cible, la RDC devra demander à tous les détenteurs et les demandeurs de licences extractives de divulguer les informations sur leur propriété effective. La RDC est encouragée à convenir de priorités pour les divulgations sur la propriété effective et à planifier les efforts à déployer dans ce cadre en vue d’obtenir ces données. Par exemple, la RDC pourrait décider de privilégier les divulgations soumises par certains types d’entreprises ou par celles détenant un type donné de licence ou produisant une matière première spécifique, compte tenu des risques associés à la corruption, à l’évasion fiscale ou au contournement des dispositions en matière de participation locale. Ces priorités devront orienter les efforts de sensibilisation auprès des entreprises et leur fournir des conseils. Il est recommandé de publier les divulgations dans un format de données ouvertes, comparables et simples à analyser. La RDC pourrait également envisager d’étendre les divulgations sur la propriété effective à d’autres segments de la chaîne de valeur extractive en amont, par exemple en collectant et en divulguant les informations sur la propriété effective de prestataires de services hors du secteur extractif, afin d’assurer le suivi du respect des dispositions liées au contenu local et de gérer les risques de corruption et d’évasion fiscale.</t>
  </si>
  <si>
    <t>2.5</t>
  </si>
  <si>
    <t>Participation de l’État (Exigence 2.6)</t>
  </si>
  <si>
    <t xml:space="preserve">Conformément à l’Exigence 2.6, la RDC devra veiller à ce que les détails concernant tout prêt ou toute garantie de prêt accordé(e) à des entreprises minières, pétrolières et gazières actives dans le pays fassent l’objet d’une divulgation adéquate, y compris la teneur et les conditions du prêt (c’est-à-dire l’échéancier de remboursement et le taux d’intérêt). Pour renforcer la mise en oeuvre, la RDC est également encouragée à institutionnaliser et systématiser sa revue de la participation de l’Etat dans le secteur extractif, afin d’améiorer la compréhension des contributions des entreprises d’État à l’économie du pays, que ce soit d’un point de vue financier, économique ou social.
Pour renforcer la mise en oeuvre, les entreprises d’Etat sont encouragées à publier régulièrement les états financiers audités sur leurs sites respectifs, afin de pouvoir informer le public au sujet des relations financières entre l’État et ses entreprises dans la pratique </t>
  </si>
  <si>
    <t>2.6</t>
  </si>
  <si>
    <t>Exploration (Exigence 3.1)</t>
  </si>
  <si>
    <t>Pour renforcer la mise en oeuvre, la RDC est encouragée à faire en sorte que les activités de prospection majeures dans son secteur extractif fassent l’objet de divulgations systématiques.</t>
  </si>
  <si>
    <t>3.1</t>
  </si>
  <si>
    <t>Production (Exigence 3.2)
Exportations (Exigence 3.3)</t>
  </si>
  <si>
    <t>Pour renforcer la mise en oeuvre, la RDC est encouragée à s’assurer que la valeur de la production pétrolière et gazière est systématiquement divulguée, en suivant une pratique similaire à celle employée pour le secteur minier.
Pour renforcer la mise en oeuvre, la RDC est encouragée à divulguer, par le biais des publications du ministère des Hydrocarbures, les volumes et les valeurs des exportations de pétrole et de gaz, selon des modalités similaires à celles des divulgations ITIE sur le portail de données ouvertes du site Internet de l’ITIE RDC</t>
  </si>
  <si>
    <t>3.2</t>
  </si>
  <si>
    <t>Divulgation exhaustive des taxes et des revenus (Exigence 4.1)</t>
  </si>
  <si>
    <t>Pour renforcer la mise en oeuvre, la RDC pourra étendre son utilisation des divulgations de données ITIE pour faciliter l’accès aux états financiers audités des entreprises extractives menant leurs activités dans le pays. La RDC est également encouragée à envisager de tirer parti de sa déclaration ITIE « assouplie » pour tester d’autres solutions permettant d’assurer des divulgations exhaustives et fiables des revenus extractifs du gouvernement.</t>
  </si>
  <si>
    <t>4.1</t>
  </si>
  <si>
    <t>Vente des revenus en nature de l’État (Exigence 4.2)</t>
  </si>
  <si>
    <t>Pour renforcer la mise en oeuvre et le suivi des paiements en nature, la RDC est encouragée à établir un cadre de déclaration en vue de divulguer les futurs paiements en nature provenant de tous les projets miniers, pétroliers et gaziers desquels l’État perçoit des revenus en nature une fois qu’ils entrent en phase de production.</t>
  </si>
  <si>
    <t>4.2</t>
  </si>
  <si>
    <t>Fournitures d’infrastructures et accords de troc (Exigence 4.3)</t>
  </si>
  <si>
    <t>Pour renforcer la mise en oeuvre, la RDC pourra examiner des moyens permettant d’améliorer les divulgations systématiques des informations sur les accords de troc liés à des infrastructures tels que l’accord concernant le projet SICOMINES. La RDC pourrait envisager d’étendre son utilisation des données ITIE pour améliorer la transparence dans les exonérations fiscales liées à l’accord visant le projet SICOMINES.</t>
  </si>
  <si>
    <t>4.3</t>
  </si>
  <si>
    <t>Paiements infranationaux (Exigence 4.6)</t>
  </si>
  <si>
    <t>Conformément à l’Exigence 4.6, la RDC devra s’assurer que toutes les entreprises, les directions provinciales des revenus ainsi que les entités territoriales décentralisées (ETD) divulguent leurs revenus extractifs infranationaux, dans le respect des niveaux de
fiabilité prévus à l’Exigence 4.9. La RDC devra veiller à ce que le cadre juridique applicable aux différents flux de paiements infranationaux fasse l’objet d’une description publique pour chaque province, afin de garantir l’exhaustivité des divulgations, notamment pour les accords spécifiques visant l’affectation de la redevance minière entre les entités territoriales décentralisées (ETD) et les provinces, ainsi qu’entre les différentes ETD. Le rapprochement des revenus au niveau infranational ne serait réalisable que si l’on connaissait l’identité de leurs récipiendaires
effectifs, afin de promouvoir la redevabilité de ces derniers dans la gestion de leurs
revenus extractifs. Les paiements devraient être déclarés par entreprise, par entité
récipiendaire effective et par projet, le cas échéant.</t>
  </si>
  <si>
    <t>4.6</t>
  </si>
  <si>
    <t>Niveau de désagrégation (Exigence 4.7)</t>
  </si>
  <si>
    <t>Conformément à l’Exigence 4.7, la RDC pourra convenir d’une définition du terme « projet » (licence, contrat et concession), dans le respect de la Norme ITIE, et veiller à ce que soient déclarées au niveau des projets toutes les données financières figurant dans sa déclaration ITIE consacrée aux revenus extractifs du gouvernement qui sont perçus par projet. La RDC devra s’assurer que tous les accords ayant des liens substantiels entre eux ou les accords globaux sont identifiés publiquement et que les données pertinentes concernant chaque entreprise font l’objet d’une ventilation par projet claire. Pour améliorer encore les systèmes du gouvernement et sa capacité à assurer un suivi des paiements par projet, le Groupe multipartite est encouragé à engager les agences gouvernementales
chargées de leur collecte. Il pourrait notamment s’agir d’établir s’il convient d’apporter des changements dans les lois ou les instruments et réglementations statutaires tout en s’assurant que de tels changements sont rentables.</t>
  </si>
  <si>
    <t>4.7</t>
  </si>
  <si>
    <t>Qualité des
données et
assurance qualité
(Exigence 4.9)</t>
  </si>
  <si>
    <t>En conformité avec l’Exigence 4.9, la RDC devra veiller à ce que les données financières divulguées par les agences gouvernementales soient soumises à des procédures d’assurance qualité solides qui garantissent que les données financières figurant dans les Rapports ITIE de la RDC proviennent de sources régulièrement auditées dans le respect des normes internationales.</t>
  </si>
  <si>
    <t>4.9</t>
  </si>
  <si>
    <t>Répartition des revenus provenant des industries extractives (Exigence 5.1)</t>
  </si>
  <si>
    <t>Conformément à l’Exigence 5.1, la RDC devra s’assurer que la gestion de tous les revenus extractifs non-inscrits au budget national sont spécifiquement présentés, y compris, dans la mesure du possible, avec des références aux rapports financiers publiquement accessibles. La RDC devra veiller à ce que sa déclaration ITIE clarifie publiquement la gestion des revenus extractifs non-inscrits au budget national. La RDC devra également veiller à ce que les entreprises et la Banque centrale ou toute autre entité assumant la gestion de revenus extractifs et ne figurant pas dans le budget
national donnent une présentation cohérente de la gestion de ces fonds comprenant des données
désagrégées, avec une référence aux rapports financiers publiquement accessibles, le cas échéant.</t>
  </si>
  <si>
    <t>5.1</t>
  </si>
  <si>
    <t>Transferts infranationaux (Exigence 5.2)</t>
  </si>
  <si>
    <t>Pour renforcer la mise en oeuvre, la RDC est encouragée à établir un mécanisme systématique pour assurer que les autorités provinciales et décentralisées soumettent une divulgation ponctuelle des transferts infranationaux des revenus extractifs, conformément à l’Exigence 5.2. Le gouvernement et les partenaires de développement sont encouragés à poursuivre et à accroître l’appui qu’ils apportent au renforcement des capacités des autorités provinciales et décentralisées en matière de gestion financière, ainsi que leur soutien aux initiatives pertinentes de la société civile et des médias, en vue de promouvoir une redevabilité dans la gestion des revenus extractifs transférés à ces provinces.</t>
  </si>
  <si>
    <t>5.2</t>
  </si>
  <si>
    <t>Gestion des revenus et dépenses (Exigence 5.3)</t>
  </si>
  <si>
    <t>Pour renforcer la mise en oeuvre, la RDC est encouragée à divulguer publiquement des informations ponctuelles sur les dépenses financées par les revenus extractifs. La RDC, et en particulier le ministère du Budget, est encouragée à divulguer publiquement des informations sur les hypothèses budgétaires et sur les prévisions concernant la production, les prix des matières premières et les revenus pour le secteur extractif.</t>
  </si>
  <si>
    <t>5.3</t>
  </si>
  <si>
    <t>Dépenses sociales et environnementales (Exigence 6.1)</t>
  </si>
  <si>
    <t>Aux termes de l’Exigence 6.1, la RDC devra veiller à la divulgation publique des dépenses sociales significatives des entreprises ainsi que l’exige la loi, y compris les conditions d’accords de développement communautaire prévus par la loi, ou le contrat avec le gouvernement qui régit les investissements dans le secteur extractif. Lorsque le récipiendaire d’une dépense sociale obligatoire est un tiers – c’est-à-dire, une agence non gouvernementale –, son nom et sa fonction doivent être divulgués. Si des paiements versés par des entreprises extractives au gouvernement sont liés à l’environnement et sont considérés comme significatifs, ils devront faire l’objet d’une divulgation exhaustive, conformément à l’Exigence 6.1.b. Lorsque l’ITIE RDC convient que des dépenses sociales et environnementales discrétionnaires et des transferts sont significatifs, elle est encouragée à élaborer un processus de déclaration en vue d’atteindre un niveau de transparence équivalent à celui de la divulgation des autres paiements et flux de revenus.</t>
  </si>
  <si>
    <t>6.1</t>
  </si>
  <si>
    <t>Dépenses quasi budgétaires (Exigence 6.2)</t>
  </si>
  <si>
    <t>En conformité avec I’Exigence 6.2, la RDC est tenue d’élaborer un processus de déclaration ITIE pour les dépenses quasi budgétaires des entreprises d’État, dans le but d’atteindre un niveau de transparence analogue à celui qui s’applique aux autres paiements et flux de revenus et d’y inclure les filiales ainsi que les contrats de partenariat des entreprises d’État.
Ces divulgations devront couvrir toutes les dépenses sociales publiques des entreprises d’État aux revenus significatifs, notamment les prêts et les avances fiscales au profit de l’État, qui ont été engagées en dehors du processus budgétaire du gouvernement national.</t>
  </si>
  <si>
    <t>6.2</t>
  </si>
  <si>
    <t>Contribution du secteur
extractif à l’économie
(Exigence 6.3)</t>
  </si>
  <si>
    <t>Pour renforcer la mise en oeuvre, la RDC pourrait envisager d’assurer la publication régulière d’estimations sur les activités extractives informelles (notamment par rapport au PIB) sur les portails du gouvernement, de manière similaire aux estimations sur la production publiées par le ministère des Mines et de la Géologie</t>
  </si>
  <si>
    <t>2.1.7</t>
  </si>
  <si>
    <t>Impact environnemental (Exigence 6.4)</t>
  </si>
  <si>
    <t>En conformité avec I’Exigence 6.4, la RDC est encouragée à renforcer son utilisation de la déclaration ITIE pour divulguer les dispositions juridiques et les règles administratives pertinentes concernant la gestion de l’environnement et le suivi des projets extractifs, ainsi qu’à examiner les pratiques réellement appliquées relativement aux mécanismes d’application des processus de gestion environnementale et administrative.</t>
  </si>
  <si>
    <t>6.4</t>
  </si>
  <si>
    <t>Suivi dans le rapport ITIE 2022 (Section)</t>
  </si>
  <si>
    <t>Entreprises Publiques (recettes)</t>
  </si>
  <si>
    <t>FD certifiés / EF certifiés</t>
  </si>
  <si>
    <t xml:space="preserve">Etats financiers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</si>
</sst>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3" formatCode="_-* #,##0.00_-;\-* #,##0.00_-;_-* &quot;-&quot;??_-;_-@_-"/>
    <numFmt numFmtId="164" formatCode="_-* #,##0_-;\-* #,##0_-;_-* &quot;-&quot;??_-;_-@_-"/>
    <numFmt numFmtId="165" formatCode="yyyy\-mm\-dd;@"/>
    <numFmt numFmtId="166" formatCode="0.0%"/>
    <numFmt numFmtId="167" formatCode="_-* #,##0.00\ _€_-;\-* #,##0.00\ _€_-;_-* &quot;-&quot;??\ _€_-;_-@_-"/>
    <numFmt numFmtId="168" formatCode="_(* #,##0_);_(* \(#,##0\);_(* &quot;-&quot;??_);_(@_)"/>
    <numFmt numFmtId="169" formatCode="_-* #,##0.0_-;\-* #,##0.0_-;_-* &quot;-&quot;??_-;_-@_-"/>
    <numFmt numFmtId="170" formatCode="[$-1240C]dd/mm/yyyy;@"/>
    <numFmt numFmtId="171" formatCode="0.000%"/>
  </numFmts>
  <fonts count="97">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9"/>
      <color rgb="FFFFFFFF"/>
      <name val="Trebuchet MS"/>
      <family val="2"/>
    </font>
    <font>
      <sz val="9"/>
      <color rgb="FF404040"/>
      <name val="Trebuchet MS"/>
      <family val="2"/>
    </font>
    <font>
      <sz val="8"/>
      <name val="Aptos Narrow"/>
      <family val="2"/>
      <scheme val="minor"/>
    </font>
    <font>
      <b/>
      <sz val="8"/>
      <color rgb="FF404040"/>
      <name val="Trebuchet MS"/>
      <family val="2"/>
    </font>
    <font>
      <sz val="11"/>
      <color theme="1"/>
      <name val="Trebuchet MS"/>
      <family val="2"/>
    </font>
    <font>
      <b/>
      <sz val="11"/>
      <color theme="1"/>
      <name val="Trebuchet MS"/>
      <family val="2"/>
    </font>
    <font>
      <b/>
      <sz val="12"/>
      <color theme="1"/>
      <name val="Trebuchet MS"/>
      <family val="2"/>
    </font>
    <font>
      <sz val="11"/>
      <color rgb="FF006100"/>
      <name val="Calibri"/>
      <family val="2"/>
    </font>
    <font>
      <sz val="11"/>
      <color theme="1"/>
      <name val="Calibri"/>
      <family val="2"/>
    </font>
    <font>
      <sz val="13"/>
      <color theme="1"/>
      <name val="Tahoma"/>
      <family val="2"/>
    </font>
    <font>
      <b/>
      <sz val="10"/>
      <color rgb="FF404040"/>
      <name val="Trebuchet MS"/>
      <family val="2"/>
    </font>
    <font>
      <sz val="10"/>
      <color theme="1"/>
      <name val="Trebuchet MS"/>
      <family val="2"/>
    </font>
    <font>
      <sz val="10"/>
      <color rgb="FF404040"/>
      <name val="Trebuchet MS"/>
      <family val="2"/>
    </font>
    <font>
      <b/>
      <sz val="12"/>
      <color rgb="FFFF0000"/>
      <name val="Trebuchet MS"/>
      <family val="2"/>
    </font>
    <font>
      <sz val="11"/>
      <color rgb="FF000000"/>
      <name val="Calibri"/>
      <family val="2"/>
    </font>
    <font>
      <sz val="10"/>
      <color rgb="FF000000"/>
      <name val="Trebuchet MS"/>
      <family val="2"/>
    </font>
    <font>
      <b/>
      <sz val="16"/>
      <color rgb="FF000000"/>
      <name val="Calibri"/>
      <family val="2"/>
    </font>
    <font>
      <b/>
      <sz val="10"/>
      <color rgb="FFFF0000"/>
      <name val="Trebuchet MS"/>
      <family val="2"/>
    </font>
    <font>
      <b/>
      <sz val="10"/>
      <color rgb="FF000000"/>
      <name val="Trebuchet MS"/>
      <family val="2"/>
    </font>
    <font>
      <b/>
      <sz val="16"/>
      <color rgb="FFFFFFFF"/>
      <name val="Trebuchet MS"/>
      <family val="2"/>
    </font>
    <font>
      <b/>
      <sz val="10"/>
      <color rgb="FFFFFFFF"/>
      <name val="Trebuchet MS"/>
      <family val="2"/>
    </font>
    <font>
      <sz val="10"/>
      <color rgb="FFFFFFFF"/>
      <name val="Trebuchet MS"/>
      <family val="2"/>
    </font>
    <font>
      <b/>
      <sz val="11"/>
      <color rgb="FF000000"/>
      <name val="Calibri"/>
      <family val="2"/>
    </font>
    <font>
      <sz val="10"/>
      <color rgb="FFFF0000"/>
      <name val="Trebuchet MS"/>
      <family val="2"/>
    </font>
    <font>
      <u/>
      <sz val="10"/>
      <color rgb="FFFF0000"/>
      <name val="Trebuchet MS"/>
      <family val="2"/>
    </font>
    <font>
      <u/>
      <sz val="10"/>
      <color rgb="FF000000"/>
      <name val="Trebuchet MS"/>
      <family val="2"/>
    </font>
    <font>
      <b/>
      <u/>
      <sz val="10"/>
      <color rgb="FF262626"/>
      <name val="Trebuchet MS"/>
      <family val="2"/>
    </font>
    <font>
      <b/>
      <sz val="10"/>
      <color rgb="FF262626"/>
      <name val="Trebuchet MS"/>
      <family val="2"/>
    </font>
    <font>
      <i/>
      <sz val="10"/>
      <color rgb="FF000000"/>
      <name val="Trebuchet MS"/>
      <family val="2"/>
    </font>
    <font>
      <b/>
      <i/>
      <sz val="10"/>
      <color rgb="FF262626"/>
      <name val="Trebuchet MS"/>
      <family val="2"/>
    </font>
    <font>
      <i/>
      <sz val="10"/>
      <color rgb="FF262626"/>
      <name val="Trebuchet MS"/>
      <family val="2"/>
    </font>
    <font>
      <b/>
      <sz val="14"/>
      <color theme="1"/>
      <name val="Kohinoor Devanagari"/>
      <family val="3"/>
    </font>
    <font>
      <b/>
      <sz val="11"/>
      <color rgb="FFFF0000"/>
      <name val="Aptos Narrow"/>
      <family val="2"/>
      <scheme val="minor"/>
    </font>
    <font>
      <b/>
      <sz val="8"/>
      <color rgb="FFFFFFFF"/>
      <name val="Trebuchet MS"/>
      <family val="2"/>
    </font>
    <font>
      <b/>
      <sz val="8"/>
      <color theme="1"/>
      <name val="Trebuchet MS"/>
      <family val="2"/>
    </font>
    <font>
      <b/>
      <sz val="8"/>
      <color rgb="FFFF0000"/>
      <name val="Trebuchet MS"/>
      <family val="2"/>
    </font>
    <font>
      <sz val="10"/>
      <name val="Trebuchet MS"/>
      <family val="2"/>
    </font>
    <font>
      <sz val="10"/>
      <color theme="1"/>
      <name val="Aptos Narrow"/>
      <family val="2"/>
      <scheme val="minor"/>
    </font>
    <font>
      <sz val="8"/>
      <color theme="1"/>
      <name val="Trebuchet MS"/>
      <family val="2"/>
    </font>
    <font>
      <b/>
      <sz val="9"/>
      <color rgb="FF404040"/>
      <name val="Trebuchet MS"/>
      <family val="2"/>
    </font>
    <font>
      <sz val="9"/>
      <color theme="1"/>
      <name val="Trebuchet MS"/>
      <family val="2"/>
    </font>
    <font>
      <sz val="9"/>
      <color rgb="FFFF0000"/>
      <name val="Trebuchet MS"/>
      <family val="2"/>
    </font>
    <font>
      <b/>
      <sz val="10"/>
      <color rgb="FFFFFFFF"/>
      <name val="Arial Narrow"/>
      <family val="2"/>
    </font>
    <font>
      <b/>
      <sz val="11"/>
      <color rgb="FFC00000"/>
      <name val="Trebuchet MS"/>
      <family val="2"/>
    </font>
    <font>
      <b/>
      <sz val="11"/>
      <color rgb="FFFF0000"/>
      <name val="Trebuchet MS"/>
      <family val="2"/>
    </font>
    <font>
      <b/>
      <sz val="10"/>
      <color theme="0"/>
      <name val="Trebuchet MS"/>
      <family val="2"/>
    </font>
    <font>
      <b/>
      <sz val="8"/>
      <name val="Trebuchet MS"/>
      <family val="2"/>
    </font>
    <font>
      <b/>
      <sz val="8"/>
      <color rgb="FF0070C0"/>
      <name val="Trebuchet MS"/>
      <family val="2"/>
    </font>
    <font>
      <b/>
      <sz val="8"/>
      <color rgb="FF000000"/>
      <name val="Trebuchet MS"/>
      <family val="2"/>
    </font>
    <font>
      <sz val="8"/>
      <color rgb="FF000000"/>
      <name val="Trebuchet MS"/>
      <family val="2"/>
    </font>
    <font>
      <b/>
      <sz val="8"/>
      <color rgb="FFC00000"/>
      <name val="Trebuchet MS"/>
      <family val="2"/>
    </font>
    <font>
      <sz val="8"/>
      <name val="Trebuchet MS"/>
      <family val="2"/>
    </font>
    <font>
      <sz val="8"/>
      <color theme="1"/>
      <name val="Century Gothic"/>
      <family val="2"/>
    </font>
    <font>
      <sz val="9"/>
      <color rgb="FF000000"/>
      <name val="Trebuchet MS"/>
      <family val="2"/>
    </font>
    <font>
      <b/>
      <sz val="9"/>
      <color theme="0"/>
      <name val="Trebuchet MS"/>
      <family val="2"/>
    </font>
    <font>
      <sz val="9"/>
      <name val="Trebuchet MS"/>
      <family val="2"/>
    </font>
    <font>
      <sz val="9"/>
      <color theme="0"/>
      <name val="Trebuchet MS"/>
      <family val="2"/>
    </font>
    <font>
      <sz val="10"/>
      <color indexed="8"/>
      <name val="Arial"/>
      <family val="2"/>
    </font>
    <font>
      <u/>
      <sz val="11"/>
      <color theme="10"/>
      <name val="Aptos Narrow"/>
      <family val="2"/>
      <scheme val="minor"/>
    </font>
    <font>
      <i/>
      <sz val="9"/>
      <color theme="1"/>
      <name val="Trebuchet MS"/>
      <family val="2"/>
    </font>
    <font>
      <sz val="13"/>
      <color theme="1"/>
      <name val="Calibri"/>
      <family val="2"/>
    </font>
    <font>
      <sz val="13"/>
      <color theme="1"/>
      <name val="Aptos Narrow"/>
      <family val="2"/>
      <scheme val="minor"/>
    </font>
    <font>
      <b/>
      <sz val="13"/>
      <name val="Tahoma"/>
      <family val="2"/>
    </font>
    <font>
      <b/>
      <sz val="11"/>
      <color theme="1"/>
      <name val="Courier New"/>
      <family val="3"/>
    </font>
    <font>
      <b/>
      <sz val="8"/>
      <color theme="0"/>
      <name val="Trebuchet MS"/>
      <family val="2"/>
    </font>
    <font>
      <b/>
      <sz val="10"/>
      <color rgb="FFFFFFFF"/>
      <name val="Aptos"/>
      <family val="2"/>
    </font>
    <font>
      <sz val="10"/>
      <color rgb="FF000000"/>
      <name val="Aptos"/>
      <family val="2"/>
    </font>
    <font>
      <sz val="10"/>
      <color theme="1"/>
      <name val="Aptos"/>
      <family val="2"/>
    </font>
    <font>
      <b/>
      <sz val="10"/>
      <color rgb="FFFF0000"/>
      <name val="Aptos"/>
      <family val="2"/>
    </font>
    <font>
      <b/>
      <sz val="12"/>
      <color theme="1"/>
      <name val="Aptos Narrow"/>
      <family val="2"/>
      <scheme val="minor"/>
    </font>
    <font>
      <b/>
      <sz val="9"/>
      <name val="Trebuchet MS"/>
      <family val="2"/>
    </font>
    <font>
      <sz val="9"/>
      <color theme="5"/>
      <name val="Trebuchet MS"/>
      <family val="2"/>
    </font>
    <font>
      <u/>
      <sz val="9"/>
      <color theme="10"/>
      <name val="Trebuchet MS"/>
      <family val="2"/>
    </font>
    <font>
      <b/>
      <sz val="11"/>
      <color theme="0"/>
      <name val="Trebuchet MS"/>
      <family val="2"/>
    </font>
    <font>
      <sz val="11"/>
      <color rgb="FF3B3838"/>
      <name val="Trebuchet MS"/>
      <family val="2"/>
    </font>
    <font>
      <sz val="9"/>
      <color rgb="FF92D050"/>
      <name val="Trebuchet MS"/>
      <family val="2"/>
    </font>
    <font>
      <sz val="9"/>
      <color rgb="FF00B050"/>
      <name val="Trebuchet MS"/>
      <family val="2"/>
    </font>
    <font>
      <sz val="9"/>
      <color rgb="FFFFC000"/>
      <name val="Trebuchet MS"/>
      <family val="2"/>
    </font>
    <font>
      <sz val="8"/>
      <color theme="1"/>
      <name val="Times New Roman"/>
      <family val="1"/>
    </font>
    <font>
      <b/>
      <sz val="10"/>
      <color theme="1"/>
      <name val="Verdana"/>
      <family val="2"/>
    </font>
    <font>
      <b/>
      <sz val="10"/>
      <color rgb="FF000000"/>
      <name val="Verdana"/>
      <family val="2"/>
    </font>
    <font>
      <sz val="10"/>
      <color rgb="FF000000"/>
      <name val="Verdana"/>
      <family val="2"/>
    </font>
    <font>
      <sz val="10"/>
      <color theme="1"/>
      <name val="Verdana"/>
      <family val="2"/>
    </font>
    <font>
      <vertAlign val="superscript"/>
      <sz val="10"/>
      <color theme="1"/>
      <name val="Verdana"/>
      <family val="2"/>
    </font>
    <font>
      <vertAlign val="superscript"/>
      <sz val="10"/>
      <color rgb="FF000000"/>
      <name val="Verdana"/>
      <family val="2"/>
    </font>
    <font>
      <sz val="10"/>
      <name val="Verdana"/>
      <family val="2"/>
    </font>
    <font>
      <b/>
      <vertAlign val="superscript"/>
      <sz val="10"/>
      <color rgb="FF000000"/>
      <name val="Verdana"/>
      <family val="2"/>
    </font>
    <font>
      <vertAlign val="superscript"/>
      <sz val="10"/>
      <name val="Verdana"/>
      <family val="2"/>
    </font>
    <font>
      <b/>
      <sz val="9"/>
      <color rgb="FFFFFFFF"/>
      <name val="Arial"/>
      <family val="2"/>
    </font>
    <font>
      <b/>
      <sz val="11"/>
      <color rgb="FF404040"/>
      <name val="Trebuchet MS"/>
      <family val="2"/>
    </font>
    <font>
      <sz val="12"/>
      <color theme="1"/>
      <name val="Trebuchet MS"/>
      <family val="2"/>
    </font>
    <font>
      <b/>
      <sz val="10"/>
      <name val="Trebuchet MS"/>
      <family val="2"/>
    </font>
    <font>
      <b/>
      <sz val="9"/>
      <color theme="1"/>
      <name val="Trebuchet MS"/>
      <family val="2"/>
    </font>
  </fonts>
  <fills count="34">
    <fill>
      <patternFill patternType="none"/>
    </fill>
    <fill>
      <patternFill patternType="gray125"/>
    </fill>
    <fill>
      <patternFill patternType="solid">
        <fgColor rgb="FFC6EFCE"/>
      </patternFill>
    </fill>
    <fill>
      <patternFill patternType="solid">
        <fgColor rgb="FF748A96"/>
        <bgColor indexed="64"/>
      </patternFill>
    </fill>
    <fill>
      <patternFill patternType="solid">
        <fgColor rgb="FFE2EFD9"/>
        <bgColor indexed="64"/>
      </patternFill>
    </fill>
    <fill>
      <patternFill patternType="solid">
        <fgColor rgb="FFFFFFFF"/>
        <bgColor indexed="64"/>
      </patternFill>
    </fill>
    <fill>
      <patternFill patternType="solid">
        <fgColor rgb="FFBFBFBF"/>
        <bgColor rgb="FFFFFFFF"/>
      </patternFill>
    </fill>
    <fill>
      <patternFill patternType="solid">
        <fgColor rgb="FF748A96"/>
        <bgColor rgb="FFFFFFFF"/>
      </patternFill>
    </fill>
    <fill>
      <patternFill patternType="solid">
        <fgColor rgb="FF299F94"/>
        <bgColor rgb="FFFFFFFF"/>
      </patternFill>
    </fill>
    <fill>
      <patternFill patternType="solid">
        <fgColor rgb="FFA3E7E1"/>
        <bgColor rgb="FFFFFFFF"/>
      </patternFill>
    </fill>
    <fill>
      <patternFill patternType="solid">
        <fgColor rgb="FFFFFFFF"/>
        <bgColor rgb="FFFFFFFF"/>
      </patternFill>
    </fill>
    <fill>
      <patternFill patternType="solid">
        <fgColor theme="5" tint="0.79998168889431442"/>
        <bgColor indexed="64"/>
      </patternFill>
    </fill>
    <fill>
      <patternFill patternType="solid">
        <fgColor rgb="FF657C91"/>
        <bgColor indexed="64"/>
      </patternFill>
    </fill>
    <fill>
      <patternFill patternType="solid">
        <fgColor theme="2" tint="-0.499984740745262"/>
        <bgColor indexed="64"/>
      </patternFill>
    </fill>
    <fill>
      <patternFill patternType="solid">
        <fgColor rgb="FFA4E7E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1BA4A1"/>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4" tint="-0.249977111117893"/>
        <bgColor indexed="64"/>
      </patternFill>
    </fill>
    <fill>
      <patternFill patternType="solid">
        <fgColor theme="0" tint="-0.34998626667073579"/>
        <bgColor indexed="64"/>
      </patternFill>
    </fill>
    <fill>
      <patternFill patternType="solid">
        <fgColor theme="3" tint="0.749992370372631"/>
        <bgColor indexed="64"/>
      </patternFill>
    </fill>
    <fill>
      <patternFill patternType="solid">
        <fgColor theme="0" tint="-4.9989318521683403E-2"/>
        <bgColor indexed="0"/>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3" tint="0.89999084444715716"/>
        <bgColor indexed="64"/>
      </patternFill>
    </fill>
    <fill>
      <patternFill patternType="solid">
        <fgColor rgb="FFE2EFDA"/>
        <bgColor indexed="64"/>
      </patternFill>
    </fill>
    <fill>
      <patternFill patternType="mediumGray">
        <bgColor theme="0"/>
      </patternFill>
    </fill>
    <fill>
      <patternFill patternType="solid">
        <fgColor theme="9" tint="0.79998168889431442"/>
        <bgColor indexed="0"/>
      </patternFill>
    </fill>
    <fill>
      <patternFill patternType="mediumGray"/>
    </fill>
    <fill>
      <patternFill patternType="solid">
        <fgColor rgb="FFDEEAF6"/>
        <bgColor indexed="64"/>
      </patternFill>
    </fill>
    <fill>
      <patternFill patternType="solid">
        <fgColor rgb="FFF2F2F2"/>
        <bgColor indexed="64"/>
      </patternFill>
    </fill>
  </fills>
  <borders count="103">
    <border>
      <left/>
      <right/>
      <top/>
      <bottom/>
      <diagonal/>
    </border>
    <border>
      <left/>
      <right/>
      <top/>
      <bottom style="thick">
        <color rgb="FF61BC4D"/>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top/>
      <bottom style="medium">
        <color rgb="FFFF0000"/>
      </bottom>
      <diagonal/>
    </border>
    <border>
      <left/>
      <right/>
      <top/>
      <bottom style="dashDot">
        <color indexed="64"/>
      </bottom>
      <diagonal/>
    </border>
    <border>
      <left style="dashDot">
        <color indexed="64"/>
      </left>
      <right style="dashDot">
        <color indexed="64"/>
      </right>
      <top style="dashDot">
        <color indexed="64"/>
      </top>
      <bottom/>
      <diagonal/>
    </border>
    <border>
      <left style="dashDot">
        <color indexed="64"/>
      </left>
      <right style="dashDot">
        <color indexed="64"/>
      </right>
      <top style="dashDot">
        <color indexed="64"/>
      </top>
      <bottom style="dashDot">
        <color indexed="64"/>
      </bottom>
      <diagonal/>
    </border>
    <border>
      <left style="dashDot">
        <color indexed="64"/>
      </left>
      <right style="dashDot">
        <color indexed="64"/>
      </right>
      <top/>
      <bottom style="dashDot">
        <color indexed="64"/>
      </bottom>
      <diagonal/>
    </border>
    <border>
      <left style="dashDot">
        <color indexed="64"/>
      </left>
      <right style="dashDot">
        <color indexed="64"/>
      </right>
      <top/>
      <bottom/>
      <diagonal/>
    </border>
    <border>
      <left/>
      <right style="thin">
        <color rgb="FF000000"/>
      </right>
      <top style="thin">
        <color rgb="FF000000"/>
      </top>
      <bottom style="thin">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dashDot">
        <color indexed="64"/>
      </left>
      <right style="dashDot">
        <color indexed="64"/>
      </right>
      <top style="thin">
        <color rgb="FF000000"/>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B0F0"/>
      </left>
      <right style="thin">
        <color rgb="FF00B0F0"/>
      </right>
      <top style="medium">
        <color rgb="FF00B0F0"/>
      </top>
      <bottom style="medium">
        <color rgb="FF00B0F0"/>
      </bottom>
      <diagonal/>
    </border>
    <border>
      <left style="thin">
        <color rgb="FF00B0F0"/>
      </left>
      <right/>
      <top style="medium">
        <color rgb="FF00B0F0"/>
      </top>
      <bottom style="medium">
        <color rgb="FF00B0F0"/>
      </bottom>
      <diagonal/>
    </border>
    <border>
      <left style="thin">
        <color rgb="FF00B0F0"/>
      </left>
      <right style="medium">
        <color rgb="FF00B0F0"/>
      </right>
      <top style="medium">
        <color rgb="FF00B0F0"/>
      </top>
      <bottom style="medium">
        <color rgb="FF00B0F0"/>
      </bottom>
      <diagonal/>
    </border>
    <border>
      <left style="medium">
        <color rgb="FF00B0F0"/>
      </left>
      <right style="thin">
        <color rgb="FF00B0F0"/>
      </right>
      <top style="medium">
        <color rgb="FF00B0F0"/>
      </top>
      <bottom style="thin">
        <color rgb="FF00B0F0"/>
      </bottom>
      <diagonal/>
    </border>
    <border>
      <left style="thin">
        <color rgb="FF00B0F0"/>
      </left>
      <right/>
      <top style="medium">
        <color rgb="FF00B0F0"/>
      </top>
      <bottom style="thin">
        <color rgb="FF00B0F0"/>
      </bottom>
      <diagonal/>
    </border>
    <border>
      <left style="thin">
        <color rgb="FF00B0F0"/>
      </left>
      <right style="medium">
        <color rgb="FF00B0F0"/>
      </right>
      <top style="medium">
        <color rgb="FF00B0F0"/>
      </top>
      <bottom style="thin">
        <color rgb="FF00B0F0"/>
      </bottom>
      <diagonal/>
    </border>
    <border>
      <left style="medium">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style="thin">
        <color rgb="FF00B0F0"/>
      </left>
      <right style="medium">
        <color rgb="FF00B0F0"/>
      </right>
      <top style="thin">
        <color rgb="FF00B0F0"/>
      </top>
      <bottom style="thin">
        <color rgb="FF00B0F0"/>
      </bottom>
      <diagonal/>
    </border>
    <border>
      <left style="medium">
        <color rgb="FF00B0F0"/>
      </left>
      <right style="thin">
        <color rgb="FF00B0F0"/>
      </right>
      <top style="thin">
        <color rgb="FF00B0F0"/>
      </top>
      <bottom style="medium">
        <color rgb="FF00B0F0"/>
      </bottom>
      <diagonal/>
    </border>
    <border>
      <left style="thin">
        <color rgb="FF00B0F0"/>
      </left>
      <right/>
      <top style="thin">
        <color rgb="FF00B0F0"/>
      </top>
      <bottom style="medium">
        <color rgb="FF00B0F0"/>
      </bottom>
      <diagonal/>
    </border>
    <border>
      <left style="thin">
        <color rgb="FF00B0F0"/>
      </left>
      <right style="medium">
        <color rgb="FF00B0F0"/>
      </right>
      <top style="thin">
        <color rgb="FF00B0F0"/>
      </top>
      <bottom style="medium">
        <color rgb="FF00B0F0"/>
      </bottom>
      <diagonal/>
    </border>
    <border>
      <left style="medium">
        <color rgb="FF00B0F0"/>
      </left>
      <right style="thin">
        <color rgb="FF00B0F0"/>
      </right>
      <top style="thin">
        <color rgb="FF00B0F0"/>
      </top>
      <bottom/>
      <diagonal/>
    </border>
    <border>
      <left style="thin">
        <color rgb="FF00B0F0"/>
      </left>
      <right/>
      <top/>
      <bottom/>
      <diagonal/>
    </border>
    <border>
      <left style="medium">
        <color rgb="FF00B0F0"/>
      </left>
      <right style="thin">
        <color rgb="FF00B0F0"/>
      </right>
      <top/>
      <bottom/>
      <diagonal/>
    </border>
    <border>
      <left style="thin">
        <color rgb="FF00B0F0"/>
      </left>
      <right style="medium">
        <color rgb="FF00B0F0"/>
      </right>
      <top/>
      <bottom/>
      <diagonal/>
    </border>
    <border>
      <left/>
      <right/>
      <top style="thick">
        <color rgb="FF61BC4D"/>
      </top>
      <bottom style="medium">
        <color rgb="FF00B0F0"/>
      </bottom>
      <diagonal/>
    </border>
    <border>
      <left/>
      <right style="medium">
        <color rgb="FF00B0F0"/>
      </right>
      <top style="thick">
        <color rgb="FF61BC4D"/>
      </top>
      <bottom style="medium">
        <color rgb="FF00B0F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theme="0" tint="-4.9989318521683403E-2"/>
      </top>
      <bottom/>
      <diagonal/>
    </border>
    <border>
      <left style="thin">
        <color auto="1"/>
      </left>
      <right/>
      <top/>
      <bottom/>
      <diagonal/>
    </border>
    <border>
      <left style="thin">
        <color auto="1"/>
      </left>
      <right style="thin">
        <color auto="1"/>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theme="0" tint="-4.9989318521683403E-2"/>
      </bottom>
      <diagonal/>
    </border>
    <border>
      <left/>
      <right style="thin">
        <color auto="1"/>
      </right>
      <top/>
      <bottom style="thin">
        <color theme="0" tint="-4.9989318521683403E-2"/>
      </bottom>
      <diagonal/>
    </border>
    <border>
      <left style="thin">
        <color indexed="64"/>
      </left>
      <right style="thin">
        <color auto="1"/>
      </right>
      <top style="thin">
        <color theme="0" tint="-4.9989318521683403E-2"/>
      </top>
      <bottom/>
      <diagonal/>
    </border>
    <border>
      <left style="thin">
        <color indexed="64"/>
      </left>
      <right/>
      <top style="thin">
        <color theme="0" tint="-4.9989318521683403E-2"/>
      </top>
      <bottom/>
      <diagonal/>
    </border>
    <border>
      <left style="thin">
        <color auto="1"/>
      </left>
      <right/>
      <top/>
      <bottom style="thin">
        <color indexed="64"/>
      </bottom>
      <diagonal/>
    </border>
    <border>
      <left/>
      <right/>
      <top/>
      <bottom style="thin">
        <color indexed="64"/>
      </bottom>
      <diagonal/>
    </border>
    <border>
      <left/>
      <right/>
      <top style="thin">
        <color theme="0"/>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ck">
        <color rgb="FF61BC4D"/>
      </bottom>
      <diagonal/>
    </border>
    <border>
      <left style="thin">
        <color theme="0"/>
      </left>
      <right style="thin">
        <color theme="0"/>
      </right>
      <top/>
      <bottom style="thick">
        <color rgb="FF61BC4D"/>
      </bottom>
      <diagonal/>
    </border>
    <border>
      <left style="thin">
        <color theme="0"/>
      </left>
      <right/>
      <top/>
      <bottom style="thick">
        <color rgb="FF61BC4D"/>
      </bottom>
      <diagonal/>
    </border>
    <border>
      <left/>
      <right/>
      <top style="thin">
        <color theme="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dashed">
        <color rgb="FF404040"/>
      </left>
      <right style="dashed">
        <color rgb="FF404040"/>
      </right>
      <top style="dashed">
        <color rgb="FF404040"/>
      </top>
      <bottom style="dashed">
        <color rgb="FF404040"/>
      </bottom>
      <diagonal/>
    </border>
    <border>
      <left style="dashDot">
        <color indexed="64"/>
      </left>
      <right style="dashDot">
        <color indexed="64"/>
      </right>
      <top style="dashed">
        <color rgb="FF404040"/>
      </top>
      <bottom/>
      <diagonal/>
    </border>
    <border>
      <left/>
      <right/>
      <top style="dashDot">
        <color indexed="64"/>
      </top>
      <bottom/>
      <diagonal/>
    </border>
    <border>
      <left/>
      <right style="dashDot">
        <color indexed="64"/>
      </right>
      <top/>
      <bottom/>
      <diagonal/>
    </border>
    <border>
      <left style="dashDot">
        <color indexed="64"/>
      </left>
      <right/>
      <top style="dashDot">
        <color indexed="64"/>
      </top>
      <bottom style="dashDot">
        <color indexed="64"/>
      </bottom>
      <diagonal/>
    </border>
    <border>
      <left/>
      <right/>
      <top style="dashDot">
        <color indexed="64"/>
      </top>
      <bottom style="dashDot">
        <color indexed="64"/>
      </bottom>
      <diagonal/>
    </border>
    <border>
      <left/>
      <right style="dashDot">
        <color indexed="64"/>
      </right>
      <top style="dashDot">
        <color indexed="64"/>
      </top>
      <bottom style="dashDot">
        <color indexed="64"/>
      </bottom>
      <diagonal/>
    </border>
    <border>
      <left/>
      <right style="dashDot">
        <color indexed="64"/>
      </right>
      <top/>
      <bottom style="dashDot">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11" fillId="2" borderId="0" applyNumberFormat="0" applyBorder="0" applyAlignment="0" applyProtection="0"/>
    <xf numFmtId="0" fontId="12" fillId="0" borderId="0"/>
    <xf numFmtId="0" fontId="1" fillId="0" borderId="0"/>
    <xf numFmtId="0" fontId="18" fillId="0" borderId="0"/>
    <xf numFmtId="0" fontId="56" fillId="0" borderId="0"/>
    <xf numFmtId="43" fontId="1" fillId="0" borderId="0" applyFont="0" applyFill="0" applyBorder="0" applyAlignment="0" applyProtection="0"/>
    <xf numFmtId="0" fontId="61" fillId="0" borderId="0"/>
    <xf numFmtId="0" fontId="62" fillId="0" borderId="0" applyNumberFormat="0" applyFill="0" applyBorder="0" applyAlignment="0" applyProtection="0"/>
  </cellStyleXfs>
  <cellXfs count="787">
    <xf numFmtId="0" fontId="0" fillId="0" borderId="0" xfId="0"/>
    <xf numFmtId="0" fontId="4" fillId="3" borderId="1" xfId="0" applyFont="1" applyFill="1" applyBorder="1" applyAlignment="1">
      <alignment horizontal="center" vertical="center" wrapText="1"/>
    </xf>
    <xf numFmtId="0" fontId="5" fillId="0" borderId="0" xfId="0" applyFont="1" applyAlignment="1">
      <alignment vertical="center"/>
    </xf>
    <xf numFmtId="0" fontId="5" fillId="4" borderId="0" xfId="0" applyFont="1" applyFill="1" applyAlignment="1">
      <alignment vertical="center"/>
    </xf>
    <xf numFmtId="0" fontId="5" fillId="4" borderId="0" xfId="0" applyFont="1" applyFill="1" applyAlignment="1">
      <alignment horizontal="center" vertical="center"/>
    </xf>
    <xf numFmtId="0" fontId="2" fillId="0" borderId="0" xfId="0" applyFont="1"/>
    <xf numFmtId="0" fontId="7" fillId="4" borderId="0" xfId="0" applyFont="1" applyFill="1" applyAlignment="1">
      <alignment horizontal="left" vertical="center"/>
    </xf>
    <xf numFmtId="0" fontId="7" fillId="5" borderId="0" xfId="0" applyFont="1" applyFill="1" applyAlignment="1">
      <alignment horizontal="left" vertical="center"/>
    </xf>
    <xf numFmtId="0" fontId="8" fillId="0" borderId="0" xfId="0" applyFont="1"/>
    <xf numFmtId="0" fontId="9" fillId="0" borderId="0" xfId="0" applyFont="1"/>
    <xf numFmtId="0" fontId="10" fillId="0" borderId="0" xfId="0" applyFont="1"/>
    <xf numFmtId="0" fontId="13" fillId="0" borderId="0" xfId="4" applyFont="1" applyAlignment="1">
      <alignment vertical="center"/>
    </xf>
    <xf numFmtId="0" fontId="13" fillId="0" borderId="0" xfId="4" applyFont="1" applyAlignment="1">
      <alignment horizontal="center" vertical="center"/>
    </xf>
    <xf numFmtId="0" fontId="8" fillId="0" borderId="2" xfId="0" applyFont="1" applyBorder="1" applyAlignment="1">
      <alignment horizontal="center" vertical="center"/>
    </xf>
    <xf numFmtId="0" fontId="8" fillId="0" borderId="0" xfId="4" applyFont="1" applyAlignment="1">
      <alignment horizontal="center" vertical="center"/>
    </xf>
    <xf numFmtId="0" fontId="8" fillId="0" borderId="0" xfId="4" applyFont="1" applyAlignment="1">
      <alignment vertical="center"/>
    </xf>
    <xf numFmtId="0" fontId="14" fillId="4" borderId="0" xfId="0" applyFont="1" applyFill="1" applyAlignment="1">
      <alignment horizontal="left" vertical="center"/>
    </xf>
    <xf numFmtId="164" fontId="14" fillId="4" borderId="0" xfId="1" applyNumberFormat="1" applyFont="1" applyFill="1" applyAlignment="1">
      <alignment horizontal="center" vertical="center"/>
    </xf>
    <xf numFmtId="14" fontId="14" fillId="4" borderId="0" xfId="1" applyNumberFormat="1" applyFont="1" applyFill="1" applyAlignment="1">
      <alignment horizontal="center" vertical="center"/>
    </xf>
    <xf numFmtId="14" fontId="14" fillId="4" borderId="0" xfId="0" applyNumberFormat="1" applyFont="1" applyFill="1" applyAlignment="1">
      <alignment horizontal="center" vertical="center"/>
    </xf>
    <xf numFmtId="43" fontId="14" fillId="4" borderId="0" xfId="1" applyFont="1" applyFill="1" applyAlignment="1">
      <alignment horizontal="left" vertical="center"/>
    </xf>
    <xf numFmtId="14" fontId="14" fillId="4" borderId="0" xfId="0" applyNumberFormat="1" applyFont="1" applyFill="1" applyAlignment="1">
      <alignment horizontal="left" vertical="center"/>
    </xf>
    <xf numFmtId="0" fontId="14" fillId="5" borderId="0" xfId="0" applyFont="1" applyFill="1" applyAlignment="1">
      <alignment horizontal="left" vertical="center"/>
    </xf>
    <xf numFmtId="164" fontId="14" fillId="5" borderId="0" xfId="1" applyNumberFormat="1" applyFont="1" applyFill="1" applyAlignment="1">
      <alignment horizontal="center" vertical="center"/>
    </xf>
    <xf numFmtId="14" fontId="14" fillId="5" borderId="0" xfId="1" applyNumberFormat="1" applyFont="1" applyFill="1" applyAlignment="1">
      <alignment horizontal="center" vertical="center"/>
    </xf>
    <xf numFmtId="14" fontId="14" fillId="5" borderId="0" xfId="0" applyNumberFormat="1" applyFont="1" applyFill="1" applyAlignment="1">
      <alignment horizontal="center" vertical="center"/>
    </xf>
    <xf numFmtId="43" fontId="14" fillId="5" borderId="0" xfId="1" applyFont="1" applyFill="1" applyAlignment="1">
      <alignment horizontal="left" vertical="center"/>
    </xf>
    <xf numFmtId="14" fontId="14" fillId="5" borderId="0" xfId="0" applyNumberFormat="1" applyFont="1" applyFill="1" applyAlignment="1">
      <alignment horizontal="left" vertical="center"/>
    </xf>
    <xf numFmtId="1" fontId="14" fillId="4" borderId="0" xfId="1" applyNumberFormat="1" applyFont="1" applyFill="1" applyAlignment="1">
      <alignment horizontal="center" vertical="center"/>
    </xf>
    <xf numFmtId="1" fontId="14" fillId="5" borderId="0" xfId="1" applyNumberFormat="1" applyFont="1" applyFill="1" applyAlignment="1">
      <alignment horizontal="center" vertical="center"/>
    </xf>
    <xf numFmtId="0" fontId="14" fillId="4" borderId="0" xfId="1" applyNumberFormat="1" applyFont="1" applyFill="1" applyAlignment="1">
      <alignment horizontal="left" vertical="center"/>
    </xf>
    <xf numFmtId="0" fontId="14" fillId="5" borderId="0" xfId="1" applyNumberFormat="1" applyFont="1" applyFill="1" applyAlignment="1">
      <alignment horizontal="left" vertical="center"/>
    </xf>
    <xf numFmtId="0" fontId="16" fillId="4" borderId="0" xfId="0" applyFont="1" applyFill="1" applyAlignment="1">
      <alignment horizontal="left" vertical="center"/>
    </xf>
    <xf numFmtId="0" fontId="16" fillId="5" borderId="0" xfId="0" applyFont="1" applyFill="1" applyAlignment="1">
      <alignment horizontal="left" vertical="center"/>
    </xf>
    <xf numFmtId="0" fontId="16" fillId="4" borderId="0" xfId="0" applyFont="1" applyFill="1" applyAlignment="1">
      <alignment horizontal="center" vertical="center"/>
    </xf>
    <xf numFmtId="14" fontId="16" fillId="4" borderId="0" xfId="0" applyNumberFormat="1" applyFont="1" applyFill="1" applyAlignment="1">
      <alignment horizontal="center" vertical="center"/>
    </xf>
    <xf numFmtId="0" fontId="16" fillId="5" borderId="0" xfId="0" applyFont="1" applyFill="1" applyAlignment="1">
      <alignment horizontal="center" vertical="center"/>
    </xf>
    <xf numFmtId="14" fontId="16" fillId="5" borderId="0" xfId="0" applyNumberFormat="1" applyFont="1" applyFill="1" applyAlignment="1">
      <alignment horizontal="center" vertical="center"/>
    </xf>
    <xf numFmtId="0" fontId="12" fillId="0" borderId="0" xfId="4"/>
    <xf numFmtId="0" fontId="17" fillId="0" borderId="0" xfId="4" applyFont="1"/>
    <xf numFmtId="0" fontId="19" fillId="0" borderId="0" xfId="6" applyFont="1" applyAlignment="1" applyProtection="1">
      <alignment vertical="center"/>
      <protection locked="0"/>
    </xf>
    <xf numFmtId="0" fontId="19" fillId="0" borderId="0" xfId="6" applyFont="1" applyAlignment="1">
      <alignment vertical="center"/>
    </xf>
    <xf numFmtId="0" fontId="20" fillId="0" borderId="3" xfId="6" applyFont="1" applyBorder="1" applyAlignment="1">
      <alignment horizontal="center" vertical="center"/>
    </xf>
    <xf numFmtId="0" fontId="21" fillId="0" borderId="0" xfId="6" applyFont="1" applyAlignment="1" applyProtection="1">
      <alignment vertical="center"/>
      <protection locked="0"/>
    </xf>
    <xf numFmtId="0" fontId="22" fillId="0" borderId="0" xfId="6" applyFont="1" applyAlignment="1" applyProtection="1">
      <alignment vertical="center"/>
      <protection locked="0"/>
    </xf>
    <xf numFmtId="0" fontId="22" fillId="6" borderId="0" xfId="6" applyFont="1" applyFill="1" applyAlignment="1" applyProtection="1">
      <alignment vertical="center"/>
      <protection locked="0"/>
    </xf>
    <xf numFmtId="0" fontId="24" fillId="8" borderId="7" xfId="6" applyFont="1" applyFill="1" applyBorder="1" applyAlignment="1" applyProtection="1">
      <alignment vertical="center" wrapText="1"/>
      <protection locked="0"/>
    </xf>
    <xf numFmtId="0" fontId="20" fillId="0" borderId="0" xfId="6" applyFont="1" applyAlignment="1">
      <alignment horizontal="center" vertical="center"/>
    </xf>
    <xf numFmtId="0" fontId="20" fillId="0" borderId="11" xfId="6" applyFont="1" applyBorder="1" applyAlignment="1">
      <alignment horizontal="center" vertical="center"/>
    </xf>
    <xf numFmtId="0" fontId="24" fillId="7" borderId="7" xfId="6" applyFont="1" applyFill="1" applyBorder="1" applyAlignment="1" applyProtection="1">
      <alignment horizontal="center" vertical="center" wrapText="1"/>
      <protection locked="0"/>
    </xf>
    <xf numFmtId="0" fontId="24" fillId="7" borderId="12" xfId="6" applyFont="1" applyFill="1" applyBorder="1" applyAlignment="1">
      <alignment horizontal="center" vertical="center" wrapText="1"/>
    </xf>
    <xf numFmtId="0" fontId="26" fillId="0" borderId="0" xfId="6" applyFont="1" applyAlignment="1">
      <alignment horizontal="left" vertical="center"/>
    </xf>
    <xf numFmtId="0" fontId="19" fillId="9" borderId="7" xfId="6" applyFont="1" applyFill="1" applyBorder="1" applyAlignment="1" applyProtection="1">
      <alignment vertical="center"/>
      <protection locked="0"/>
    </xf>
    <xf numFmtId="0" fontId="27" fillId="9" borderId="7" xfId="6" applyFont="1" applyFill="1" applyBorder="1" applyAlignment="1" applyProtection="1">
      <alignment vertical="center" wrapText="1"/>
      <protection locked="0"/>
    </xf>
    <xf numFmtId="0" fontId="19" fillId="9" borderId="12" xfId="6" applyFont="1" applyFill="1" applyBorder="1" applyAlignment="1" applyProtection="1">
      <alignment vertical="center"/>
      <protection locked="0"/>
    </xf>
    <xf numFmtId="0" fontId="19" fillId="10" borderId="7" xfId="6" applyFont="1" applyFill="1" applyBorder="1" applyAlignment="1" applyProtection="1">
      <alignment vertical="center"/>
      <protection locked="0"/>
    </xf>
    <xf numFmtId="0" fontId="19" fillId="10" borderId="7" xfId="6" applyFont="1" applyFill="1" applyBorder="1" applyAlignment="1" applyProtection="1">
      <alignment vertical="center" wrapText="1"/>
      <protection locked="0"/>
    </xf>
    <xf numFmtId="0" fontId="27" fillId="10" borderId="7" xfId="6" applyFont="1" applyFill="1" applyBorder="1" applyAlignment="1" applyProtection="1">
      <alignment vertical="center" wrapText="1"/>
      <protection locked="0"/>
    </xf>
    <xf numFmtId="0" fontId="19" fillId="10" borderId="12" xfId="6" applyFont="1" applyFill="1" applyBorder="1" applyAlignment="1" applyProtection="1">
      <alignment vertical="center"/>
      <protection locked="0"/>
    </xf>
    <xf numFmtId="0" fontId="19" fillId="0" borderId="0" xfId="6" applyFont="1" applyAlignment="1" applyProtection="1">
      <alignment vertical="center" wrapText="1"/>
      <protection locked="0"/>
    </xf>
    <xf numFmtId="0" fontId="22" fillId="0" borderId="0" xfId="6" applyFont="1" applyAlignment="1">
      <alignment horizontal="center" vertical="center" wrapText="1"/>
    </xf>
    <xf numFmtId="0" fontId="30" fillId="0" borderId="0" xfId="6" applyFont="1" applyAlignment="1" applyProtection="1">
      <alignment horizontal="left" vertical="center"/>
      <protection locked="0"/>
    </xf>
    <xf numFmtId="0" fontId="19" fillId="0" borderId="0" xfId="6" applyFont="1" applyAlignment="1" applyProtection="1">
      <alignment horizontal="left" vertical="center"/>
      <protection locked="0"/>
    </xf>
    <xf numFmtId="0" fontId="32" fillId="0" borderId="0" xfId="6" applyFont="1" applyAlignment="1" applyProtection="1">
      <alignment horizontal="left" vertical="center"/>
      <protection locked="0"/>
    </xf>
    <xf numFmtId="0" fontId="18" fillId="0" borderId="0" xfId="6"/>
    <xf numFmtId="0" fontId="35" fillId="0" borderId="0" xfId="0" applyFont="1"/>
    <xf numFmtId="0" fontId="3" fillId="11" borderId="0" xfId="0" applyFont="1" applyFill="1"/>
    <xf numFmtId="0" fontId="0" fillId="0" borderId="0" xfId="0" applyAlignment="1">
      <alignment horizontal="center"/>
    </xf>
    <xf numFmtId="0" fontId="36" fillId="11" borderId="0" xfId="0" applyFont="1" applyFill="1"/>
    <xf numFmtId="0" fontId="37" fillId="12" borderId="0" xfId="0" applyFont="1" applyFill="1" applyAlignment="1">
      <alignment horizontal="center" vertical="center" wrapText="1"/>
    </xf>
    <xf numFmtId="0" fontId="37" fillId="13" borderId="0" xfId="0" applyFont="1" applyFill="1" applyAlignment="1">
      <alignment horizontal="center" vertical="center" wrapText="1"/>
    </xf>
    <xf numFmtId="0" fontId="38" fillId="14" borderId="15" xfId="0" applyFont="1" applyFill="1" applyBorder="1" applyAlignment="1">
      <alignment horizontal="center" vertical="center"/>
    </xf>
    <xf numFmtId="0" fontId="38" fillId="14" borderId="15" xfId="0" applyFont="1" applyFill="1" applyBorder="1" applyAlignment="1">
      <alignment horizontal="left" vertical="center"/>
    </xf>
    <xf numFmtId="0" fontId="38" fillId="14" borderId="16" xfId="0" applyFont="1" applyFill="1" applyBorder="1" applyAlignment="1">
      <alignment horizontal="left" vertical="center"/>
    </xf>
    <xf numFmtId="0" fontId="38" fillId="14" borderId="16" xfId="0" applyFont="1" applyFill="1" applyBorder="1" applyAlignment="1">
      <alignment horizontal="center" vertical="center"/>
    </xf>
    <xf numFmtId="0" fontId="0" fillId="0" borderId="0" xfId="0" applyAlignment="1">
      <alignment vertical="center"/>
    </xf>
    <xf numFmtId="0" fontId="38" fillId="15" borderId="16" xfId="0" applyFont="1" applyFill="1" applyBorder="1" applyAlignment="1">
      <alignment horizontal="center" vertical="center"/>
    </xf>
    <xf numFmtId="0" fontId="38" fillId="15" borderId="16" xfId="0" applyFont="1" applyFill="1" applyBorder="1" applyAlignment="1">
      <alignment horizontal="left" vertical="center"/>
    </xf>
    <xf numFmtId="0" fontId="38" fillId="15" borderId="16" xfId="0" applyFont="1" applyFill="1" applyBorder="1" applyAlignment="1">
      <alignment horizontal="center" vertical="center" wrapText="1"/>
    </xf>
    <xf numFmtId="0" fontId="38" fillId="15" borderId="15" xfId="0" applyFont="1" applyFill="1" applyBorder="1" applyAlignment="1">
      <alignment horizontal="center" vertical="center"/>
    </xf>
    <xf numFmtId="0" fontId="38" fillId="15" borderId="15" xfId="0" applyFont="1" applyFill="1" applyBorder="1" applyAlignment="1">
      <alignment horizontal="left" vertical="center"/>
    </xf>
    <xf numFmtId="0" fontId="38" fillId="14" borderId="15" xfId="0" applyFont="1" applyFill="1" applyBorder="1" applyAlignment="1">
      <alignment horizontal="center" vertical="center" wrapText="1"/>
    </xf>
    <xf numFmtId="0" fontId="39" fillId="0" borderId="18" xfId="0" applyFont="1" applyBorder="1" applyAlignment="1">
      <alignment horizontal="left" vertical="center"/>
    </xf>
    <xf numFmtId="0" fontId="38" fillId="15" borderId="15" xfId="0" applyFont="1" applyFill="1" applyBorder="1" applyAlignment="1">
      <alignment vertical="center"/>
    </xf>
    <xf numFmtId="0" fontId="38" fillId="15" borderId="16" xfId="0" applyFont="1" applyFill="1" applyBorder="1" applyAlignment="1">
      <alignment vertical="center"/>
    </xf>
    <xf numFmtId="0" fontId="38" fillId="15" borderId="15" xfId="0" applyFont="1" applyFill="1" applyBorder="1" applyAlignment="1">
      <alignment horizontal="center" vertical="center" wrapText="1"/>
    </xf>
    <xf numFmtId="9" fontId="38" fillId="15" borderId="16" xfId="2" applyFont="1" applyFill="1" applyBorder="1" applyAlignment="1">
      <alignment horizontal="center" vertical="center"/>
    </xf>
    <xf numFmtId="43" fontId="38" fillId="14" borderId="15" xfId="1" applyFont="1" applyFill="1" applyBorder="1" applyAlignment="1">
      <alignment horizontal="center" vertical="center"/>
    </xf>
    <xf numFmtId="165" fontId="38" fillId="15" borderId="16" xfId="0" applyNumberFormat="1" applyFont="1" applyFill="1" applyBorder="1" applyAlignment="1">
      <alignment horizontal="center" vertical="center"/>
    </xf>
    <xf numFmtId="14" fontId="38" fillId="15" borderId="16" xfId="0" applyNumberFormat="1" applyFont="1" applyFill="1" applyBorder="1" applyAlignment="1">
      <alignment horizontal="center" vertical="center"/>
    </xf>
    <xf numFmtId="0" fontId="38" fillId="14" borderId="15" xfId="0" applyFont="1" applyFill="1" applyBorder="1" applyAlignment="1">
      <alignment vertical="center"/>
    </xf>
    <xf numFmtId="0" fontId="14" fillId="4" borderId="0" xfId="0" applyFont="1" applyFill="1" applyAlignment="1">
      <alignment horizontal="center" vertical="center"/>
    </xf>
    <xf numFmtId="0" fontId="43" fillId="4" borderId="0" xfId="0" applyFont="1" applyFill="1" applyAlignment="1">
      <alignment horizontal="left" vertical="center"/>
    </xf>
    <xf numFmtId="0" fontId="43" fillId="4" borderId="0" xfId="0" applyFont="1" applyFill="1" applyAlignment="1">
      <alignment horizontal="center" vertical="center"/>
    </xf>
    <xf numFmtId="0" fontId="5" fillId="5" borderId="0" xfId="0" applyFont="1" applyFill="1" applyAlignment="1">
      <alignment horizontal="center" vertical="center"/>
    </xf>
    <xf numFmtId="0" fontId="43" fillId="5" borderId="0" xfId="0" applyFont="1" applyFill="1" applyAlignment="1">
      <alignment horizontal="left" vertical="center"/>
    </xf>
    <xf numFmtId="0" fontId="43" fillId="5" borderId="0" xfId="0" applyFont="1" applyFill="1" applyAlignment="1">
      <alignment horizontal="center" vertical="center"/>
    </xf>
    <xf numFmtId="0" fontId="4" fillId="3" borderId="1" xfId="0" applyFont="1" applyFill="1" applyBorder="1" applyAlignment="1">
      <alignment horizontal="center" vertical="center"/>
    </xf>
    <xf numFmtId="0" fontId="16" fillId="5" borderId="0" xfId="0" applyFont="1" applyFill="1" applyAlignment="1">
      <alignment vertical="center"/>
    </xf>
    <xf numFmtId="0" fontId="16" fillId="4" borderId="0" xfId="0" applyFont="1" applyFill="1" applyAlignment="1">
      <alignment vertical="center"/>
    </xf>
    <xf numFmtId="43" fontId="44" fillId="0" borderId="2" xfId="1" applyFont="1" applyBorder="1" applyAlignment="1">
      <alignment horizontal="center" vertical="center"/>
    </xf>
    <xf numFmtId="0" fontId="44" fillId="0" borderId="2" xfId="0" applyFont="1" applyBorder="1"/>
    <xf numFmtId="0" fontId="44" fillId="0" borderId="2" xfId="0" applyFont="1" applyBorder="1" applyAlignment="1">
      <alignment vertical="center" wrapText="1"/>
    </xf>
    <xf numFmtId="0" fontId="24" fillId="7" borderId="7" xfId="0" applyFont="1" applyFill="1" applyBorder="1" applyAlignment="1" applyProtection="1">
      <alignment horizontal="center" vertical="center" wrapText="1"/>
      <protection locked="0"/>
    </xf>
    <xf numFmtId="0" fontId="24" fillId="7" borderId="12" xfId="0" applyFont="1" applyFill="1" applyBorder="1" applyAlignment="1" applyProtection="1">
      <alignment horizontal="center" vertical="center" wrapText="1"/>
      <protection locked="0"/>
    </xf>
    <xf numFmtId="0" fontId="0" fillId="0" borderId="0" xfId="0" applyAlignment="1">
      <alignment wrapText="1"/>
    </xf>
    <xf numFmtId="0" fontId="24" fillId="7" borderId="23" xfId="0" applyFont="1" applyFill="1" applyBorder="1" applyAlignment="1" applyProtection="1">
      <alignment horizontal="center" vertical="center" wrapText="1"/>
      <protection locked="0"/>
    </xf>
    <xf numFmtId="0" fontId="38" fillId="14" borderId="24" xfId="0" applyFont="1" applyFill="1" applyBorder="1" applyAlignment="1">
      <alignment horizontal="center" vertical="center"/>
    </xf>
    <xf numFmtId="0" fontId="38" fillId="14" borderId="24" xfId="0" applyFont="1" applyFill="1" applyBorder="1" applyAlignment="1">
      <alignment horizontal="left" vertical="center" wrapText="1"/>
    </xf>
    <xf numFmtId="0" fontId="38" fillId="14" borderId="16" xfId="0" applyFont="1" applyFill="1" applyBorder="1" applyAlignment="1">
      <alignment horizontal="left" vertical="center" wrapText="1"/>
    </xf>
    <xf numFmtId="0" fontId="38" fillId="14" borderId="16" xfId="0" applyFont="1" applyFill="1" applyBorder="1" applyAlignment="1">
      <alignment horizontal="center" vertical="center" wrapText="1"/>
    </xf>
    <xf numFmtId="43" fontId="38" fillId="14" borderId="16" xfId="1" applyFont="1" applyFill="1" applyBorder="1" applyAlignment="1">
      <alignment horizontal="center" vertical="center" wrapText="1"/>
    </xf>
    <xf numFmtId="0" fontId="38" fillId="15" borderId="15" xfId="0" applyFont="1" applyFill="1" applyBorder="1" applyAlignment="1">
      <alignment horizontal="left" vertical="center" wrapText="1"/>
    </xf>
    <xf numFmtId="0" fontId="38" fillId="15" borderId="16" xfId="0" applyFont="1" applyFill="1" applyBorder="1" applyAlignment="1">
      <alignment horizontal="left" vertical="center" wrapText="1"/>
    </xf>
    <xf numFmtId="43" fontId="38" fillId="15" borderId="16" xfId="1" applyFont="1" applyFill="1" applyBorder="1" applyAlignment="1">
      <alignment horizontal="center" vertical="center" wrapText="1"/>
    </xf>
    <xf numFmtId="0" fontId="0" fillId="0" borderId="0" xfId="0" applyAlignment="1">
      <alignment vertical="center" wrapText="1"/>
    </xf>
    <xf numFmtId="43" fontId="38" fillId="14" borderId="16" xfId="1" applyFont="1" applyFill="1" applyBorder="1" applyAlignment="1">
      <alignment horizontal="center" vertical="center"/>
    </xf>
    <xf numFmtId="43" fontId="38" fillId="15" borderId="16" xfId="1" applyFont="1" applyFill="1" applyBorder="1" applyAlignment="1">
      <alignment horizontal="center" vertical="center"/>
    </xf>
    <xf numFmtId="165" fontId="38" fillId="14" borderId="16" xfId="0" applyNumberFormat="1" applyFont="1" applyFill="1" applyBorder="1" applyAlignment="1">
      <alignment horizontal="center" vertical="center" wrapText="1"/>
    </xf>
    <xf numFmtId="9" fontId="38" fillId="14" borderId="16" xfId="2" applyFont="1" applyFill="1" applyBorder="1" applyAlignment="1">
      <alignment horizontal="center" vertical="center"/>
    </xf>
    <xf numFmtId="165" fontId="38" fillId="14" borderId="16" xfId="0" applyNumberFormat="1" applyFont="1" applyFill="1" applyBorder="1" applyAlignment="1">
      <alignment horizontal="center" vertical="center"/>
    </xf>
    <xf numFmtId="165" fontId="38" fillId="15" borderId="16" xfId="0" applyNumberFormat="1" applyFont="1" applyFill="1" applyBorder="1" applyAlignment="1">
      <alignment horizontal="center" vertical="center" wrapText="1"/>
    </xf>
    <xf numFmtId="43" fontId="0" fillId="0" borderId="0" xfId="0" applyNumberFormat="1"/>
    <xf numFmtId="167" fontId="0" fillId="0" borderId="0" xfId="0" applyNumberFormat="1"/>
    <xf numFmtId="43" fontId="0" fillId="0" borderId="0" xfId="1" applyFont="1"/>
    <xf numFmtId="0" fontId="24" fillId="7" borderId="7" xfId="0" applyFont="1" applyFill="1" applyBorder="1" applyAlignment="1" applyProtection="1">
      <alignment horizontal="center" vertical="center"/>
      <protection locked="0"/>
    </xf>
    <xf numFmtId="43" fontId="38" fillId="14" borderId="16" xfId="1" applyFont="1" applyFill="1" applyBorder="1" applyAlignment="1">
      <alignment horizontal="left" vertical="center" wrapText="1"/>
    </xf>
    <xf numFmtId="0" fontId="0" fillId="0" borderId="0" xfId="0" applyAlignment="1">
      <alignment horizontal="left" vertical="center"/>
    </xf>
    <xf numFmtId="43" fontId="0" fillId="0" borderId="0" xfId="0" applyNumberFormat="1" applyAlignment="1">
      <alignment horizontal="left" vertical="center"/>
    </xf>
    <xf numFmtId="0" fontId="38" fillId="14" borderId="16" xfId="0" applyFont="1" applyFill="1" applyBorder="1" applyAlignment="1">
      <alignment horizontal="right" vertical="center"/>
    </xf>
    <xf numFmtId="14" fontId="38" fillId="14" borderId="16" xfId="0" applyNumberFormat="1" applyFont="1" applyFill="1" applyBorder="1" applyAlignment="1">
      <alignment horizontal="center" vertical="center" wrapText="1"/>
    </xf>
    <xf numFmtId="14" fontId="38" fillId="15" borderId="16" xfId="0" applyNumberFormat="1" applyFont="1" applyFill="1" applyBorder="1" applyAlignment="1">
      <alignment horizontal="center" vertical="center" wrapText="1"/>
    </xf>
    <xf numFmtId="14" fontId="38" fillId="14" borderId="16" xfId="0" applyNumberFormat="1" applyFont="1" applyFill="1" applyBorder="1" applyAlignment="1">
      <alignment horizontal="center" vertical="center"/>
    </xf>
    <xf numFmtId="0" fontId="46" fillId="7" borderId="7" xfId="6" applyFont="1" applyFill="1" applyBorder="1" applyAlignment="1" applyProtection="1">
      <alignment horizontal="center" vertical="center" wrapText="1"/>
      <protection locked="0"/>
    </xf>
    <xf numFmtId="43" fontId="38" fillId="14" borderId="16" xfId="1" applyFont="1" applyFill="1" applyBorder="1" applyAlignment="1">
      <alignment horizontal="right" vertical="center" wrapText="1"/>
    </xf>
    <xf numFmtId="43" fontId="38" fillId="15" borderId="16" xfId="0" applyNumberFormat="1" applyFont="1" applyFill="1" applyBorder="1" applyAlignment="1">
      <alignment horizontal="center" vertical="center" wrapText="1"/>
    </xf>
    <xf numFmtId="43" fontId="38" fillId="14" borderId="16" xfId="0" applyNumberFormat="1" applyFont="1" applyFill="1" applyBorder="1" applyAlignment="1">
      <alignment horizontal="center" vertical="center"/>
    </xf>
    <xf numFmtId="43" fontId="38" fillId="15" borderId="16" xfId="0" applyNumberFormat="1" applyFont="1" applyFill="1" applyBorder="1" applyAlignment="1">
      <alignment horizontal="center" vertical="center"/>
    </xf>
    <xf numFmtId="3" fontId="38" fillId="14" borderId="16" xfId="0" applyNumberFormat="1" applyFont="1" applyFill="1" applyBorder="1" applyAlignment="1">
      <alignment horizontal="center" vertical="center" wrapText="1"/>
    </xf>
    <xf numFmtId="4" fontId="38" fillId="14" borderId="16" xfId="0" applyNumberFormat="1" applyFont="1" applyFill="1" applyBorder="1" applyAlignment="1">
      <alignment horizontal="center" vertical="center" wrapText="1"/>
    </xf>
    <xf numFmtId="3" fontId="38" fillId="14" borderId="16" xfId="0" applyNumberFormat="1" applyFont="1" applyFill="1" applyBorder="1" applyAlignment="1">
      <alignment horizontal="center" vertical="center"/>
    </xf>
    <xf numFmtId="0" fontId="47" fillId="0" borderId="0" xfId="0" applyFont="1"/>
    <xf numFmtId="164" fontId="48" fillId="0" borderId="0" xfId="1" applyNumberFormat="1" applyFont="1"/>
    <xf numFmtId="0" fontId="49" fillId="3" borderId="0" xfId="0" applyFont="1" applyFill="1"/>
    <xf numFmtId="0" fontId="15" fillId="4" borderId="0" xfId="0" applyFont="1" applyFill="1" applyAlignment="1">
      <alignment horizontal="left"/>
    </xf>
    <xf numFmtId="168" fontId="15" fillId="4" borderId="0" xfId="0" applyNumberFormat="1" applyFont="1" applyFill="1"/>
    <xf numFmtId="0" fontId="15" fillId="0" borderId="0" xfId="0" applyFont="1" applyAlignment="1">
      <alignment horizontal="left"/>
    </xf>
    <xf numFmtId="168" fontId="15" fillId="0" borderId="0" xfId="0" applyNumberFormat="1" applyFont="1"/>
    <xf numFmtId="0" fontId="50" fillId="18" borderId="0" xfId="0" applyFont="1" applyFill="1" applyAlignment="1">
      <alignment horizontal="center" vertical="center" wrapText="1"/>
    </xf>
    <xf numFmtId="0" fontId="50" fillId="19" borderId="0" xfId="0" applyFont="1" applyFill="1" applyAlignment="1">
      <alignment horizontal="center" vertical="center" wrapText="1"/>
    </xf>
    <xf numFmtId="169" fontId="38" fillId="15" borderId="16" xfId="1" applyNumberFormat="1" applyFont="1" applyFill="1" applyBorder="1" applyAlignment="1">
      <alignment horizontal="center" vertical="center"/>
    </xf>
    <xf numFmtId="167" fontId="38" fillId="15" borderId="16" xfId="0" applyNumberFormat="1" applyFont="1" applyFill="1" applyBorder="1" applyAlignment="1">
      <alignment horizontal="center" vertical="center"/>
    </xf>
    <xf numFmtId="49" fontId="38" fillId="15" borderId="16" xfId="1" applyNumberFormat="1" applyFont="1" applyFill="1" applyBorder="1" applyAlignment="1">
      <alignment horizontal="left" vertical="center"/>
    </xf>
    <xf numFmtId="43" fontId="38" fillId="14" borderId="16" xfId="1" applyFont="1" applyFill="1" applyBorder="1" applyAlignment="1">
      <alignment horizontal="left" vertical="center"/>
    </xf>
    <xf numFmtId="43" fontId="38" fillId="15" borderId="16" xfId="1" applyFont="1" applyFill="1" applyBorder="1" applyAlignment="1">
      <alignment horizontal="left" vertical="center"/>
    </xf>
    <xf numFmtId="43" fontId="38" fillId="14" borderId="15" xfId="1" applyFont="1" applyFill="1" applyBorder="1" applyAlignment="1">
      <alignment horizontal="left" vertical="center"/>
    </xf>
    <xf numFmtId="0" fontId="42" fillId="0" borderId="0" xfId="0" applyFont="1" applyAlignment="1">
      <alignment vertical="center"/>
    </xf>
    <xf numFmtId="0" fontId="42" fillId="0" borderId="0" xfId="0" applyFont="1" applyAlignment="1">
      <alignment horizontal="center" vertical="center"/>
    </xf>
    <xf numFmtId="0" fontId="51" fillId="0" borderId="0" xfId="0" applyFont="1" applyAlignment="1">
      <alignment vertical="center"/>
    </xf>
    <xf numFmtId="0" fontId="51" fillId="0" borderId="0" xfId="0" applyFont="1" applyAlignment="1">
      <alignment horizontal="center" vertical="center"/>
    </xf>
    <xf numFmtId="0" fontId="53" fillId="0" borderId="32" xfId="0" applyFont="1" applyBorder="1" applyAlignment="1">
      <alignment vertical="center" wrapText="1"/>
    </xf>
    <xf numFmtId="0" fontId="54" fillId="0" borderId="31" xfId="0" applyFont="1" applyBorder="1" applyAlignment="1">
      <alignment horizontal="center" vertical="center"/>
    </xf>
    <xf numFmtId="0" fontId="54" fillId="0" borderId="33" xfId="0" applyFont="1" applyBorder="1" applyAlignment="1">
      <alignment horizontal="center" vertical="center"/>
    </xf>
    <xf numFmtId="0" fontId="53" fillId="0" borderId="35" xfId="0" applyFont="1" applyBorder="1" applyAlignment="1">
      <alignment vertical="center" wrapText="1"/>
    </xf>
    <xf numFmtId="0" fontId="54" fillId="0" borderId="34" xfId="0" applyFont="1" applyBorder="1" applyAlignment="1">
      <alignment horizontal="center" vertical="center"/>
    </xf>
    <xf numFmtId="0" fontId="54" fillId="0" borderId="36" xfId="0" applyFont="1" applyBorder="1" applyAlignment="1">
      <alignment horizontal="center" vertical="center"/>
    </xf>
    <xf numFmtId="0" fontId="53" fillId="0" borderId="38" xfId="0" applyFont="1" applyBorder="1" applyAlignment="1">
      <alignment vertical="center" wrapText="1"/>
    </xf>
    <xf numFmtId="0" fontId="54" fillId="0" borderId="37" xfId="0" applyFont="1" applyBorder="1" applyAlignment="1">
      <alignment horizontal="center" vertical="center"/>
    </xf>
    <xf numFmtId="0" fontId="54" fillId="0" borderId="39" xfId="0" applyFont="1" applyBorder="1" applyAlignment="1">
      <alignment horizontal="center" vertical="center"/>
    </xf>
    <xf numFmtId="0" fontId="53" fillId="0" borderId="31" xfId="0" applyFont="1" applyBorder="1" applyAlignment="1">
      <alignment horizontal="center" vertical="center" wrapText="1"/>
    </xf>
    <xf numFmtId="0" fontId="53" fillId="0" borderId="34" xfId="0" applyFont="1" applyBorder="1" applyAlignment="1">
      <alignment horizontal="center" vertical="center" wrapText="1"/>
    </xf>
    <xf numFmtId="0" fontId="53" fillId="21" borderId="41" xfId="0" applyFont="1" applyFill="1" applyBorder="1" applyAlignment="1">
      <alignment vertical="center" wrapText="1"/>
    </xf>
    <xf numFmtId="0" fontId="52" fillId="0" borderId="28" xfId="0" applyFont="1" applyBorder="1" applyAlignment="1">
      <alignment vertical="center"/>
    </xf>
    <xf numFmtId="0" fontId="53" fillId="0" borderId="29" xfId="0" applyFont="1" applyBorder="1" applyAlignment="1">
      <alignment vertical="center" wrapText="1"/>
    </xf>
    <xf numFmtId="0" fontId="54" fillId="0" borderId="28" xfId="0" applyFont="1" applyBorder="1" applyAlignment="1">
      <alignment horizontal="center" vertical="center"/>
    </xf>
    <xf numFmtId="0" fontId="54" fillId="0" borderId="30" xfId="0" applyFont="1" applyBorder="1" applyAlignment="1">
      <alignment horizontal="center" vertical="center"/>
    </xf>
    <xf numFmtId="0" fontId="53" fillId="0" borderId="37" xfId="0" applyFont="1" applyBorder="1" applyAlignment="1">
      <alignment horizontal="center" vertical="center" wrapText="1"/>
    </xf>
    <xf numFmtId="0" fontId="54" fillId="0" borderId="34" xfId="0" applyFont="1" applyBorder="1" applyAlignment="1">
      <alignment vertical="center"/>
    </xf>
    <xf numFmtId="0" fontId="54" fillId="0" borderId="36" xfId="0" applyFont="1" applyBorder="1" applyAlignment="1">
      <alignment vertical="center"/>
    </xf>
    <xf numFmtId="0" fontId="55" fillId="0" borderId="35" xfId="0" applyFont="1" applyBorder="1" applyAlignment="1">
      <alignment vertical="center" wrapText="1"/>
    </xf>
    <xf numFmtId="0" fontId="55" fillId="0" borderId="34" xfId="0" applyFont="1" applyBorder="1" applyAlignment="1">
      <alignment horizontal="center" vertical="center" wrapText="1"/>
    </xf>
    <xf numFmtId="0" fontId="53" fillId="0" borderId="38" xfId="0" applyFont="1" applyBorder="1" applyAlignment="1">
      <alignment vertical="center"/>
    </xf>
    <xf numFmtId="0" fontId="52" fillId="0" borderId="28" xfId="0" applyFont="1" applyBorder="1" applyAlignment="1">
      <alignment vertical="center" wrapText="1"/>
    </xf>
    <xf numFmtId="0" fontId="54" fillId="0" borderId="42" xfId="0" applyFont="1" applyBorder="1" applyAlignment="1">
      <alignment horizontal="center" vertical="center"/>
    </xf>
    <xf numFmtId="0" fontId="54" fillId="0" borderId="43" xfId="0" applyFont="1" applyBorder="1" applyAlignment="1">
      <alignment horizontal="center" vertical="center"/>
    </xf>
    <xf numFmtId="0" fontId="55" fillId="0" borderId="32" xfId="0" applyFont="1" applyBorder="1" applyAlignment="1">
      <alignment vertical="center" wrapText="1"/>
    </xf>
    <xf numFmtId="0" fontId="55" fillId="0" borderId="38" xfId="0" applyFont="1" applyBorder="1" applyAlignment="1">
      <alignment vertical="center" wrapText="1"/>
    </xf>
    <xf numFmtId="0" fontId="54" fillId="0" borderId="28" xfId="0" applyFont="1" applyBorder="1" applyAlignment="1">
      <alignment vertical="center"/>
    </xf>
    <xf numFmtId="0" fontId="54" fillId="0" borderId="30" xfId="0" applyFont="1" applyBorder="1" applyAlignment="1">
      <alignment vertical="center"/>
    </xf>
    <xf numFmtId="0" fontId="55" fillId="0" borderId="29" xfId="0" applyFont="1" applyBorder="1" applyAlignment="1">
      <alignment vertical="center" wrapText="1"/>
    </xf>
    <xf numFmtId="0" fontId="38" fillId="0" borderId="28" xfId="0" applyFont="1" applyBorder="1" applyAlignment="1">
      <alignment vertical="center" wrapText="1"/>
    </xf>
    <xf numFmtId="0" fontId="42" fillId="0" borderId="0" xfId="0" applyFont="1" applyAlignment="1">
      <alignment vertical="center" wrapText="1"/>
    </xf>
    <xf numFmtId="0" fontId="39" fillId="0" borderId="0" xfId="0" applyFont="1" applyAlignment="1">
      <alignment vertical="center"/>
    </xf>
    <xf numFmtId="0" fontId="39" fillId="0" borderId="0" xfId="0" applyFont="1" applyAlignment="1">
      <alignment horizontal="center" vertical="center" wrapText="1"/>
    </xf>
    <xf numFmtId="0" fontId="54" fillId="0" borderId="0" xfId="0" applyFont="1" applyAlignment="1">
      <alignment horizontal="center" vertical="center"/>
    </xf>
    <xf numFmtId="0" fontId="42" fillId="0" borderId="0" xfId="0" applyFont="1"/>
    <xf numFmtId="0" fontId="49" fillId="20" borderId="0" xfId="0" applyFont="1" applyFill="1" applyAlignment="1">
      <alignment horizontal="center" vertical="center" wrapText="1"/>
    </xf>
    <xf numFmtId="0" fontId="15" fillId="0" borderId="0" xfId="0" applyFont="1" applyAlignment="1">
      <alignment horizontal="center" vertical="center" wrapText="1"/>
    </xf>
    <xf numFmtId="0" fontId="41" fillId="0" borderId="0" xfId="0" applyFont="1" applyAlignment="1">
      <alignment vertical="center"/>
    </xf>
    <xf numFmtId="0" fontId="44" fillId="0" borderId="2" xfId="0" applyFont="1" applyBorder="1" applyAlignment="1">
      <alignment horizontal="left" vertical="center" wrapText="1"/>
    </xf>
    <xf numFmtId="43" fontId="44" fillId="0" borderId="2" xfId="1" applyFont="1" applyFill="1" applyBorder="1" applyAlignment="1">
      <alignment horizontal="center" vertical="center"/>
    </xf>
    <xf numFmtId="0" fontId="44" fillId="0" borderId="2" xfId="0" applyFont="1" applyBorder="1" applyAlignment="1">
      <alignment horizontal="center" vertical="center"/>
    </xf>
    <xf numFmtId="164" fontId="44" fillId="0" borderId="2" xfId="1" applyNumberFormat="1" applyFont="1" applyBorder="1" applyAlignment="1">
      <alignment horizontal="center" vertical="center"/>
    </xf>
    <xf numFmtId="43" fontId="8" fillId="16" borderId="2" xfId="0" applyNumberFormat="1" applyFont="1" applyFill="1" applyBorder="1"/>
    <xf numFmtId="43" fontId="44" fillId="0" borderId="2" xfId="1" applyFont="1" applyBorder="1" applyAlignment="1">
      <alignment vertical="center" wrapText="1"/>
    </xf>
    <xf numFmtId="0" fontId="8" fillId="0" borderId="0" xfId="0" applyFont="1" applyAlignment="1">
      <alignment horizontal="center"/>
    </xf>
    <xf numFmtId="43" fontId="9" fillId="22" borderId="2" xfId="0" applyNumberFormat="1" applyFont="1" applyFill="1" applyBorder="1"/>
    <xf numFmtId="0" fontId="15" fillId="0" borderId="2" xfId="0" applyFont="1" applyBorder="1" applyAlignment="1">
      <alignment horizontal="center" vertical="center"/>
    </xf>
    <xf numFmtId="43" fontId="15" fillId="0" borderId="2" xfId="1" applyFont="1" applyBorder="1" applyAlignment="1">
      <alignment horizontal="center" vertical="center"/>
    </xf>
    <xf numFmtId="43" fontId="15" fillId="0" borderId="2" xfId="1" applyFont="1" applyFill="1" applyBorder="1" applyAlignment="1">
      <alignment horizontal="center" vertical="center"/>
    </xf>
    <xf numFmtId="43" fontId="9" fillId="16" borderId="2" xfId="0" applyNumberFormat="1" applyFont="1" applyFill="1" applyBorder="1"/>
    <xf numFmtId="0" fontId="36" fillId="0" borderId="49" xfId="0" applyFont="1" applyBorder="1" applyAlignment="1">
      <alignment horizontal="center" vertical="center"/>
    </xf>
    <xf numFmtId="43" fontId="44" fillId="11" borderId="2" xfId="1" applyFont="1" applyFill="1" applyBorder="1" applyAlignment="1">
      <alignment horizontal="center" vertical="center"/>
    </xf>
    <xf numFmtId="43" fontId="15" fillId="11" borderId="2" xfId="1" applyFont="1" applyFill="1" applyBorder="1" applyAlignment="1">
      <alignment horizontal="center" vertical="center"/>
    </xf>
    <xf numFmtId="167" fontId="2" fillId="0" borderId="0" xfId="0" applyNumberFormat="1" applyFont="1"/>
    <xf numFmtId="43" fontId="3" fillId="18" borderId="2" xfId="1" applyFont="1" applyFill="1" applyBorder="1"/>
    <xf numFmtId="43" fontId="36" fillId="19" borderId="50" xfId="1" applyFont="1" applyFill="1" applyBorder="1"/>
    <xf numFmtId="168" fontId="3" fillId="0" borderId="0" xfId="0" applyNumberFormat="1" applyFont="1"/>
    <xf numFmtId="0" fontId="44" fillId="0" borderId="0" xfId="0" applyFont="1"/>
    <xf numFmtId="0" fontId="44" fillId="0" borderId="0" xfId="0" applyFont="1" applyAlignment="1">
      <alignment wrapText="1"/>
    </xf>
    <xf numFmtId="0" fontId="59" fillId="23" borderId="0" xfId="9" applyFont="1" applyFill="1" applyAlignment="1">
      <alignment horizontal="left"/>
    </xf>
    <xf numFmtId="0" fontId="59" fillId="15" borderId="0" xfId="0" applyFont="1" applyFill="1"/>
    <xf numFmtId="0" fontId="44" fillId="0" borderId="0" xfId="0" applyFont="1" applyAlignment="1">
      <alignment horizontal="left"/>
    </xf>
    <xf numFmtId="0" fontId="57" fillId="0" borderId="0" xfId="0" applyFont="1" applyAlignment="1">
      <alignment vertical="center"/>
    </xf>
    <xf numFmtId="0" fontId="59" fillId="0" borderId="0" xfId="0" applyFont="1" applyAlignment="1">
      <alignment vertical="center"/>
    </xf>
    <xf numFmtId="0" fontId="49" fillId="3" borderId="0" xfId="0" applyFont="1" applyFill="1" applyAlignment="1">
      <alignment wrapText="1"/>
    </xf>
    <xf numFmtId="0" fontId="49" fillId="3" borderId="0" xfId="0" applyFont="1" applyFill="1" applyAlignment="1">
      <alignment vertical="center"/>
    </xf>
    <xf numFmtId="0" fontId="15" fillId="4" borderId="0" xfId="0" applyFont="1" applyFill="1" applyAlignment="1">
      <alignment horizontal="left" wrapText="1"/>
    </xf>
    <xf numFmtId="168" fontId="15" fillId="4" borderId="0" xfId="0" applyNumberFormat="1" applyFont="1" applyFill="1" applyAlignment="1">
      <alignment vertical="center"/>
    </xf>
    <xf numFmtId="0" fontId="15" fillId="0" borderId="0" xfId="0" applyFont="1" applyAlignment="1">
      <alignment horizontal="left" wrapText="1"/>
    </xf>
    <xf numFmtId="168" fontId="15" fillId="0" borderId="0" xfId="0" applyNumberFormat="1" applyFont="1" applyAlignment="1">
      <alignment vertical="center"/>
    </xf>
    <xf numFmtId="0" fontId="39" fillId="15" borderId="18" xfId="0" applyFont="1" applyFill="1" applyBorder="1" applyAlignment="1">
      <alignment horizontal="center" vertical="center"/>
    </xf>
    <xf numFmtId="0" fontId="7" fillId="0" borderId="0" xfId="0" applyFont="1" applyAlignment="1">
      <alignment vertical="center"/>
    </xf>
    <xf numFmtId="43" fontId="7" fillId="0" borderId="0" xfId="1" applyFont="1" applyFill="1" applyAlignment="1">
      <alignment vertical="center"/>
    </xf>
    <xf numFmtId="9" fontId="7" fillId="0" borderId="0" xfId="2" applyFont="1" applyFill="1" applyAlignment="1">
      <alignment horizontal="center" vertical="center"/>
    </xf>
    <xf numFmtId="0" fontId="7" fillId="4" borderId="0" xfId="0" applyFont="1" applyFill="1" applyAlignment="1">
      <alignment vertical="center"/>
    </xf>
    <xf numFmtId="43" fontId="7" fillId="4" borderId="0" xfId="1" applyFont="1" applyFill="1" applyAlignment="1">
      <alignment vertical="center"/>
    </xf>
    <xf numFmtId="9" fontId="7" fillId="4" borderId="0" xfId="2" applyFont="1" applyFill="1" applyAlignment="1">
      <alignment horizontal="center" vertical="center"/>
    </xf>
    <xf numFmtId="0" fontId="44" fillId="0" borderId="0" xfId="0" applyFont="1" applyAlignment="1">
      <alignment horizontal="left" vertical="center"/>
    </xf>
    <xf numFmtId="0" fontId="50" fillId="5" borderId="0" xfId="0" applyFont="1" applyFill="1" applyAlignment="1">
      <alignment horizontal="left" vertical="center"/>
    </xf>
    <xf numFmtId="0" fontId="64" fillId="0" borderId="0" xfId="4" applyFont="1" applyAlignment="1">
      <alignment horizontal="center"/>
    </xf>
    <xf numFmtId="0" fontId="64" fillId="0" borderId="0" xfId="4" applyFont="1"/>
    <xf numFmtId="0" fontId="65" fillId="0" borderId="0" xfId="5" applyFont="1" applyAlignment="1">
      <alignment horizontal="center"/>
    </xf>
    <xf numFmtId="0" fontId="66" fillId="24" borderId="54" xfId="3" applyFont="1" applyFill="1" applyBorder="1" applyAlignment="1">
      <alignment horizontal="center" vertical="center"/>
    </xf>
    <xf numFmtId="0" fontId="66" fillId="24" borderId="55" xfId="3" applyFont="1" applyFill="1" applyBorder="1" applyAlignment="1">
      <alignment horizontal="center" vertical="center" wrapText="1"/>
    </xf>
    <xf numFmtId="0" fontId="66" fillId="24" borderId="56" xfId="3" applyFont="1" applyFill="1" applyBorder="1" applyAlignment="1">
      <alignment horizontal="center" vertical="center" wrapText="1"/>
    </xf>
    <xf numFmtId="0" fontId="13" fillId="0" borderId="57" xfId="5" applyFont="1" applyBorder="1" applyAlignment="1">
      <alignment horizontal="center"/>
    </xf>
    <xf numFmtId="0" fontId="13" fillId="0" borderId="2" xfId="5" applyFont="1" applyBorder="1" applyAlignment="1">
      <alignment wrapText="1"/>
    </xf>
    <xf numFmtId="0" fontId="13" fillId="0" borderId="2" xfId="5" applyFont="1" applyBorder="1" applyAlignment="1">
      <alignment horizontal="center" wrapText="1"/>
    </xf>
    <xf numFmtId="14" fontId="13" fillId="0" borderId="2" xfId="5" applyNumberFormat="1" applyFont="1" applyBorder="1" applyAlignment="1">
      <alignment wrapText="1"/>
    </xf>
    <xf numFmtId="0" fontId="13" fillId="0" borderId="58" xfId="5" applyFont="1" applyBorder="1" applyAlignment="1">
      <alignment wrapText="1"/>
    </xf>
    <xf numFmtId="14" fontId="13" fillId="25" borderId="2" xfId="5" applyNumberFormat="1" applyFont="1" applyFill="1" applyBorder="1" applyAlignment="1">
      <alignment wrapText="1"/>
    </xf>
    <xf numFmtId="0" fontId="13" fillId="26" borderId="57" xfId="5" applyFont="1" applyFill="1" applyBorder="1" applyAlignment="1">
      <alignment horizontal="center"/>
    </xf>
    <xf numFmtId="0" fontId="13" fillId="26" borderId="2" xfId="5" applyFont="1" applyFill="1" applyBorder="1" applyAlignment="1">
      <alignment wrapText="1"/>
    </xf>
    <xf numFmtId="0" fontId="13" fillId="26" borderId="2" xfId="5" applyFont="1" applyFill="1" applyBorder="1" applyAlignment="1">
      <alignment horizontal="center" wrapText="1"/>
    </xf>
    <xf numFmtId="14" fontId="13" fillId="26" borderId="2" xfId="5" applyNumberFormat="1" applyFont="1" applyFill="1" applyBorder="1" applyAlignment="1">
      <alignment wrapText="1"/>
    </xf>
    <xf numFmtId="0" fontId="13" fillId="26" borderId="58" xfId="5" applyFont="1" applyFill="1" applyBorder="1" applyAlignment="1">
      <alignment wrapText="1"/>
    </xf>
    <xf numFmtId="0" fontId="64" fillId="26" borderId="0" xfId="4" applyFont="1" applyFill="1"/>
    <xf numFmtId="0" fontId="13" fillId="0" borderId="59" xfId="5" applyFont="1" applyBorder="1" applyAlignment="1">
      <alignment horizontal="center"/>
    </xf>
    <xf numFmtId="0" fontId="13" fillId="0" borderId="60" xfId="5" applyFont="1" applyBorder="1" applyAlignment="1">
      <alignment wrapText="1"/>
    </xf>
    <xf numFmtId="0" fontId="13" fillId="0" borderId="60" xfId="5" applyFont="1" applyBorder="1" applyAlignment="1">
      <alignment horizontal="center" wrapText="1"/>
    </xf>
    <xf numFmtId="14" fontId="13" fillId="0" borderId="60" xfId="5" applyNumberFormat="1" applyFont="1" applyBorder="1" applyAlignment="1">
      <alignment wrapText="1"/>
    </xf>
    <xf numFmtId="0" fontId="13" fillId="0" borderId="61" xfId="5" applyFont="1" applyBorder="1" applyAlignment="1">
      <alignment wrapText="1"/>
    </xf>
    <xf numFmtId="0" fontId="67" fillId="0" borderId="0" xfId="4" applyFont="1" applyAlignment="1">
      <alignment horizontal="left"/>
    </xf>
    <xf numFmtId="0" fontId="68" fillId="3" borderId="0" xfId="0" applyFont="1" applyFill="1" applyAlignment="1">
      <alignment horizontal="center" vertical="center"/>
    </xf>
    <xf numFmtId="0" fontId="57" fillId="4" borderId="0" xfId="0" applyFont="1" applyFill="1" applyAlignment="1">
      <alignment horizontal="center" vertical="center"/>
    </xf>
    <xf numFmtId="0" fontId="57" fillId="4" borderId="0" xfId="0" applyFont="1" applyFill="1" applyAlignment="1">
      <alignment vertical="center"/>
    </xf>
    <xf numFmtId="14" fontId="57" fillId="4" borderId="0" xfId="0" applyNumberFormat="1" applyFont="1" applyFill="1" applyAlignment="1">
      <alignment horizontal="center" vertical="center"/>
    </xf>
    <xf numFmtId="0" fontId="44" fillId="0" borderId="0" xfId="0" applyFont="1" applyAlignment="1">
      <alignment horizontal="center" vertical="center"/>
    </xf>
    <xf numFmtId="0" fontId="44" fillId="0" borderId="0" xfId="0" applyFont="1" applyAlignment="1">
      <alignment vertical="center"/>
    </xf>
    <xf numFmtId="14" fontId="44" fillId="0" borderId="0" xfId="0" applyNumberFormat="1" applyFont="1" applyAlignment="1">
      <alignment horizontal="center" vertical="center"/>
    </xf>
    <xf numFmtId="0" fontId="42" fillId="4" borderId="0" xfId="0" applyFont="1" applyFill="1" applyAlignment="1">
      <alignment horizontal="center"/>
    </xf>
    <xf numFmtId="0" fontId="42" fillId="4" borderId="0" xfId="0" applyFont="1" applyFill="1" applyAlignment="1">
      <alignment horizontal="left"/>
    </xf>
    <xf numFmtId="0" fontId="42" fillId="0" borderId="0" xfId="0" applyFont="1" applyAlignment="1">
      <alignment horizontal="left" vertical="center"/>
    </xf>
    <xf numFmtId="0" fontId="42" fillId="0" borderId="0" xfId="0" applyFont="1" applyAlignment="1">
      <alignment horizontal="left" vertical="center" wrapText="1"/>
    </xf>
    <xf numFmtId="0" fontId="42" fillId="0" borderId="0" xfId="0" applyFont="1" applyAlignment="1">
      <alignment horizontal="center"/>
    </xf>
    <xf numFmtId="0" fontId="42" fillId="0" borderId="0" xfId="0" applyFont="1" applyAlignment="1">
      <alignment horizontal="left"/>
    </xf>
    <xf numFmtId="0" fontId="42" fillId="4" borderId="0" xfId="0" applyFont="1" applyFill="1" applyAlignment="1">
      <alignment horizontal="center" vertical="center"/>
    </xf>
    <xf numFmtId="0" fontId="42" fillId="4" borderId="0" xfId="0" applyFont="1" applyFill="1" applyAlignment="1">
      <alignment horizontal="left" vertical="center"/>
    </xf>
    <xf numFmtId="0" fontId="42" fillId="4" borderId="0" xfId="0" applyFont="1" applyFill="1" applyAlignment="1">
      <alignment horizontal="left" vertical="center" wrapText="1"/>
    </xf>
    <xf numFmtId="170" fontId="38" fillId="15" borderId="16" xfId="0" applyNumberFormat="1" applyFont="1" applyFill="1" applyBorder="1" applyAlignment="1">
      <alignment horizontal="center" vertical="center"/>
    </xf>
    <xf numFmtId="0" fontId="15" fillId="14" borderId="15" xfId="0" applyFont="1" applyFill="1" applyBorder="1" applyAlignment="1">
      <alignment horizontal="center" vertical="center"/>
    </xf>
    <xf numFmtId="0" fontId="15" fillId="14" borderId="15" xfId="0" applyFont="1" applyFill="1" applyBorder="1" applyAlignment="1">
      <alignment horizontal="left" vertical="center"/>
    </xf>
    <xf numFmtId="0" fontId="15" fillId="15" borderId="16" xfId="0" applyFont="1" applyFill="1" applyBorder="1" applyAlignment="1">
      <alignment horizontal="center" vertical="center"/>
    </xf>
    <xf numFmtId="0" fontId="15" fillId="15" borderId="16" xfId="0" applyFont="1" applyFill="1" applyBorder="1" applyAlignment="1">
      <alignment horizontal="left" vertical="center"/>
    </xf>
    <xf numFmtId="0" fontId="15" fillId="14" borderId="16" xfId="0" applyFont="1" applyFill="1" applyBorder="1" applyAlignment="1">
      <alignment horizontal="center" vertical="center"/>
    </xf>
    <xf numFmtId="0" fontId="15" fillId="14" borderId="16" xfId="0" applyFont="1" applyFill="1" applyBorder="1" applyAlignment="1">
      <alignment horizontal="left" vertical="center"/>
    </xf>
    <xf numFmtId="0" fontId="15" fillId="15" borderId="16" xfId="0" applyFont="1" applyFill="1" applyBorder="1" applyAlignment="1">
      <alignment horizontal="center" vertical="center" wrapText="1"/>
    </xf>
    <xf numFmtId="9" fontId="15" fillId="15" borderId="16" xfId="2" applyFont="1" applyFill="1" applyBorder="1" applyAlignment="1">
      <alignment horizontal="center" vertical="center"/>
    </xf>
    <xf numFmtId="9" fontId="15" fillId="14" borderId="15" xfId="2" applyFont="1" applyFill="1" applyBorder="1" applyAlignment="1">
      <alignment horizontal="center" vertical="center"/>
    </xf>
    <xf numFmtId="43" fontId="15" fillId="14" borderId="15" xfId="1" applyFont="1" applyFill="1" applyBorder="1" applyAlignment="1">
      <alignment horizontal="center" vertical="center"/>
    </xf>
    <xf numFmtId="14" fontId="15" fillId="14" borderId="15" xfId="0" applyNumberFormat="1" applyFont="1" applyFill="1" applyBorder="1" applyAlignment="1">
      <alignment horizontal="center" vertical="center"/>
    </xf>
    <xf numFmtId="165" fontId="15" fillId="15" borderId="16" xfId="0" applyNumberFormat="1" applyFont="1" applyFill="1" applyBorder="1" applyAlignment="1">
      <alignment horizontal="center" vertical="center"/>
    </xf>
    <xf numFmtId="166" fontId="15" fillId="14" borderId="15" xfId="2" applyNumberFormat="1" applyFont="1" applyFill="1" applyBorder="1" applyAlignment="1">
      <alignment horizontal="center" vertical="center"/>
    </xf>
    <xf numFmtId="14" fontId="15" fillId="15" borderId="16" xfId="0" applyNumberFormat="1" applyFont="1" applyFill="1" applyBorder="1" applyAlignment="1">
      <alignment horizontal="center" vertical="center"/>
    </xf>
    <xf numFmtId="9" fontId="15" fillId="14" borderId="15" xfId="0" applyNumberFormat="1" applyFont="1" applyFill="1" applyBorder="1" applyAlignment="1">
      <alignment horizontal="center" vertical="center"/>
    </xf>
    <xf numFmtId="3" fontId="15" fillId="14" borderId="15" xfId="0" applyNumberFormat="1" applyFont="1" applyFill="1" applyBorder="1" applyAlignment="1">
      <alignment horizontal="left" vertical="center"/>
    </xf>
    <xf numFmtId="0" fontId="41" fillId="0" borderId="0" xfId="0" applyFont="1"/>
    <xf numFmtId="165" fontId="15" fillId="14" borderId="15" xfId="0" applyNumberFormat="1" applyFont="1" applyFill="1" applyBorder="1" applyAlignment="1">
      <alignment horizontal="center" vertical="center"/>
    </xf>
    <xf numFmtId="0" fontId="15" fillId="15" borderId="16" xfId="0" applyFont="1" applyFill="1" applyBorder="1" applyAlignment="1">
      <alignment horizontal="left" vertical="center" wrapText="1"/>
    </xf>
    <xf numFmtId="0" fontId="0" fillId="0" borderId="0" xfId="0" applyAlignment="1">
      <alignment horizontal="left"/>
    </xf>
    <xf numFmtId="0" fontId="38" fillId="0" borderId="16" xfId="0" applyFont="1" applyBorder="1" applyAlignment="1">
      <alignment horizontal="left" vertical="center" wrapText="1"/>
    </xf>
    <xf numFmtId="2" fontId="13" fillId="0" borderId="2" xfId="5" applyNumberFormat="1" applyFont="1" applyBorder="1" applyAlignment="1">
      <alignment horizontal="center" wrapText="1"/>
    </xf>
    <xf numFmtId="2" fontId="13" fillId="26" borderId="2" xfId="5" applyNumberFormat="1" applyFont="1" applyFill="1" applyBorder="1" applyAlignment="1">
      <alignment horizontal="center" wrapText="1"/>
    </xf>
    <xf numFmtId="2" fontId="13" fillId="0" borderId="60" xfId="5" applyNumberFormat="1" applyFont="1" applyBorder="1" applyAlignment="1">
      <alignment horizontal="center" wrapText="1"/>
    </xf>
    <xf numFmtId="0" fontId="69" fillId="12" borderId="0" xfId="0" applyFont="1" applyFill="1" applyAlignment="1">
      <alignment horizontal="center" vertical="center" wrapText="1"/>
    </xf>
    <xf numFmtId="0" fontId="70" fillId="4" borderId="0" xfId="0" applyFont="1" applyFill="1" applyAlignment="1">
      <alignment horizontal="center" vertical="center" wrapText="1"/>
    </xf>
    <xf numFmtId="14" fontId="70" fillId="4" borderId="0" xfId="0" applyNumberFormat="1" applyFont="1" applyFill="1" applyAlignment="1">
      <alignment vertical="center" wrapText="1"/>
    </xf>
    <xf numFmtId="0" fontId="70" fillId="4" borderId="0" xfId="0" applyFont="1" applyFill="1" applyAlignment="1">
      <alignment vertical="center" wrapText="1"/>
    </xf>
    <xf numFmtId="0" fontId="70" fillId="4" borderId="0" xfId="0" applyFont="1" applyFill="1" applyAlignment="1">
      <alignment horizontal="center" vertical="center"/>
    </xf>
    <xf numFmtId="0" fontId="70" fillId="4" borderId="0" xfId="0" applyFont="1" applyFill="1" applyAlignment="1">
      <alignment vertical="center"/>
    </xf>
    <xf numFmtId="0" fontId="71" fillId="0" borderId="0" xfId="0" applyFont="1" applyAlignment="1">
      <alignment horizontal="center" vertical="center" wrapText="1"/>
    </xf>
    <xf numFmtId="14" fontId="71" fillId="0" borderId="0" xfId="0" applyNumberFormat="1" applyFont="1" applyAlignment="1">
      <alignment vertical="center" wrapText="1"/>
    </xf>
    <xf numFmtId="0" fontId="71" fillId="0" borderId="0" xfId="0" applyFont="1" applyAlignment="1">
      <alignment vertical="center" wrapText="1"/>
    </xf>
    <xf numFmtId="0" fontId="71" fillId="0" borderId="0" xfId="0" applyFont="1" applyAlignment="1">
      <alignment horizontal="center" vertical="center"/>
    </xf>
    <xf numFmtId="0" fontId="71" fillId="0" borderId="0" xfId="0" applyFont="1" applyAlignment="1">
      <alignment vertical="center"/>
    </xf>
    <xf numFmtId="0" fontId="72" fillId="4" borderId="0" xfId="0" applyFont="1" applyFill="1" applyAlignment="1">
      <alignment vertical="center"/>
    </xf>
    <xf numFmtId="0" fontId="72" fillId="0" borderId="0" xfId="0" applyFont="1" applyAlignment="1">
      <alignment vertical="center"/>
    </xf>
    <xf numFmtId="0" fontId="36" fillId="0" borderId="0" xfId="0" applyFont="1" applyAlignment="1">
      <alignment horizontal="center" vertical="center"/>
    </xf>
    <xf numFmtId="0" fontId="3" fillId="16" borderId="65" xfId="0" applyFont="1" applyFill="1" applyBorder="1" applyAlignment="1">
      <alignment horizontal="center" vertical="center"/>
    </xf>
    <xf numFmtId="0" fontId="44" fillId="0" borderId="0" xfId="0" applyFont="1" applyAlignment="1">
      <alignment vertical="center" wrapText="1"/>
    </xf>
    <xf numFmtId="0" fontId="59" fillId="15" borderId="52" xfId="0" applyFont="1" applyFill="1" applyBorder="1" applyAlignment="1">
      <alignment horizontal="left" vertical="center" wrapText="1"/>
    </xf>
    <xf numFmtId="0" fontId="44" fillId="25" borderId="52" xfId="0" applyFont="1" applyFill="1" applyBorder="1" applyAlignment="1">
      <alignment horizontal="left" vertical="center" wrapText="1"/>
    </xf>
    <xf numFmtId="0" fontId="44" fillId="25" borderId="53" xfId="0" applyFont="1" applyFill="1" applyBorder="1" applyAlignment="1">
      <alignment horizontal="left" vertical="center" wrapText="1"/>
    </xf>
    <xf numFmtId="0" fontId="44" fillId="0" borderId="52" xfId="0" applyFont="1" applyBorder="1" applyAlignment="1">
      <alignment horizontal="left" vertical="center" wrapText="1"/>
    </xf>
    <xf numFmtId="0" fontId="44" fillId="0" borderId="53" xfId="0" applyFont="1" applyBorder="1" applyAlignment="1">
      <alignment horizontal="left" vertical="center" wrapText="1"/>
    </xf>
    <xf numFmtId="10" fontId="44" fillId="0" borderId="0" xfId="0" applyNumberFormat="1" applyFont="1" applyAlignment="1">
      <alignment horizontal="center" vertical="center"/>
    </xf>
    <xf numFmtId="0" fontId="45" fillId="0" borderId="52" xfId="0" applyFont="1" applyBorder="1" applyAlignment="1">
      <alignment horizontal="left" vertical="center" wrapText="1"/>
    </xf>
    <xf numFmtId="0" fontId="45" fillId="0" borderId="53" xfId="0" applyFont="1" applyBorder="1" applyAlignment="1">
      <alignment horizontal="left" vertical="center" wrapText="1"/>
    </xf>
    <xf numFmtId="0" fontId="59" fillId="0" borderId="52" xfId="0" applyFont="1" applyBorder="1" applyAlignment="1">
      <alignment horizontal="left" vertical="center" wrapText="1"/>
    </xf>
    <xf numFmtId="0" fontId="59" fillId="0" borderId="53" xfId="0" applyFont="1" applyBorder="1" applyAlignment="1">
      <alignment horizontal="left" vertical="center" wrapText="1"/>
    </xf>
    <xf numFmtId="164" fontId="58" fillId="3" borderId="0" xfId="1" applyNumberFormat="1" applyFont="1" applyFill="1" applyAlignment="1">
      <alignment horizontal="center" vertical="center" wrapText="1"/>
    </xf>
    <xf numFmtId="0" fontId="4" fillId="3" borderId="1" xfId="0" applyFont="1" applyFill="1" applyBorder="1" applyAlignment="1">
      <alignment vertical="center" wrapText="1"/>
    </xf>
    <xf numFmtId="164" fontId="74" fillId="16" borderId="0" xfId="1" applyNumberFormat="1" applyFont="1" applyFill="1" applyAlignment="1">
      <alignment horizontal="left" vertical="center"/>
    </xf>
    <xf numFmtId="164" fontId="74" fillId="16" borderId="0" xfId="1" applyNumberFormat="1" applyFont="1" applyFill="1" applyAlignment="1">
      <alignment horizontal="center" vertical="center" wrapText="1"/>
    </xf>
    <xf numFmtId="164" fontId="74" fillId="16" borderId="0" xfId="1" applyNumberFormat="1" applyFont="1" applyFill="1" applyAlignment="1">
      <alignment horizontal="left" vertical="center" wrapText="1"/>
    </xf>
    <xf numFmtId="10" fontId="44" fillId="29" borderId="0" xfId="0" applyNumberFormat="1" applyFont="1" applyFill="1" applyAlignment="1">
      <alignment horizontal="center" vertical="center"/>
    </xf>
    <xf numFmtId="10" fontId="44" fillId="0" borderId="0" xfId="0" applyNumberFormat="1" applyFont="1" applyAlignment="1">
      <alignment horizontal="center" vertical="center" wrapText="1"/>
    </xf>
    <xf numFmtId="0" fontId="60" fillId="17" borderId="0" xfId="0" applyFont="1" applyFill="1" applyAlignment="1">
      <alignment horizontal="center" vertical="center" wrapText="1"/>
    </xf>
    <xf numFmtId="0" fontId="75" fillId="0" borderId="0" xfId="0" applyFont="1" applyAlignment="1">
      <alignment horizontal="center" vertical="center"/>
    </xf>
    <xf numFmtId="164" fontId="74" fillId="16" borderId="0" xfId="1" applyNumberFormat="1" applyFont="1" applyFill="1" applyAlignment="1">
      <alignment vertical="center"/>
    </xf>
    <xf numFmtId="0" fontId="44" fillId="25" borderId="49" xfId="0" applyFont="1" applyFill="1" applyBorder="1" applyAlignment="1">
      <alignment horizontal="left" vertical="center" wrapText="1"/>
    </xf>
    <xf numFmtId="0" fontId="59" fillId="0" borderId="49" xfId="0" applyFont="1" applyBorder="1" applyAlignment="1">
      <alignment horizontal="left" vertical="center" wrapText="1"/>
    </xf>
    <xf numFmtId="0" fontId="44" fillId="0" borderId="0" xfId="0" applyFont="1" applyAlignment="1">
      <alignment horizontal="left" vertical="center" wrapText="1"/>
    </xf>
    <xf numFmtId="0" fontId="75" fillId="0" borderId="0" xfId="0" applyFont="1" applyAlignment="1">
      <alignment vertical="center" wrapText="1"/>
    </xf>
    <xf numFmtId="0" fontId="44" fillId="0" borderId="0" xfId="0" applyFont="1" applyAlignment="1">
      <alignment horizontal="center"/>
    </xf>
    <xf numFmtId="164" fontId="58" fillId="3" borderId="0" xfId="1" applyNumberFormat="1" applyFont="1" applyFill="1" applyAlignment="1">
      <alignment horizontal="left" vertical="center" wrapText="1"/>
    </xf>
    <xf numFmtId="0" fontId="45" fillId="0" borderId="53" xfId="0" applyFont="1" applyBorder="1" applyAlignment="1">
      <alignment horizontal="left" vertical="center"/>
    </xf>
    <xf numFmtId="0" fontId="75" fillId="0" borderId="0" xfId="0" applyFont="1" applyAlignment="1">
      <alignment horizontal="left" vertical="center"/>
    </xf>
    <xf numFmtId="0" fontId="76" fillId="0" borderId="53" xfId="10" applyFont="1" applyBorder="1" applyAlignment="1">
      <alignment horizontal="left" vertical="center" wrapText="1"/>
    </xf>
    <xf numFmtId="0" fontId="44" fillId="15" borderId="0" xfId="0" applyFont="1" applyFill="1" applyAlignment="1">
      <alignment horizontal="center" vertical="center"/>
    </xf>
    <xf numFmtId="0" fontId="44" fillId="15" borderId="0" xfId="0" applyFont="1" applyFill="1" applyAlignment="1">
      <alignment horizontal="center" wrapText="1"/>
    </xf>
    <xf numFmtId="164" fontId="58" fillId="3" borderId="0" xfId="1" applyNumberFormat="1" applyFont="1" applyFill="1" applyBorder="1" applyAlignment="1">
      <alignment horizontal="left" vertical="center" wrapText="1"/>
    </xf>
    <xf numFmtId="0" fontId="59" fillId="30" borderId="0" xfId="9" applyFont="1" applyFill="1" applyAlignment="1">
      <alignment horizontal="left"/>
    </xf>
    <xf numFmtId="0" fontId="59" fillId="16" borderId="0" xfId="0" applyFont="1" applyFill="1"/>
    <xf numFmtId="0" fontId="59" fillId="16" borderId="0" xfId="0" applyFont="1" applyFill="1" applyAlignment="1">
      <alignment horizontal="center"/>
    </xf>
    <xf numFmtId="0" fontId="59" fillId="15" borderId="0" xfId="0" applyFont="1" applyFill="1" applyAlignment="1">
      <alignment horizontal="center"/>
    </xf>
    <xf numFmtId="0" fontId="44" fillId="28" borderId="0" xfId="0" applyFont="1" applyFill="1"/>
    <xf numFmtId="0" fontId="44" fillId="28" borderId="0" xfId="0" applyFont="1" applyFill="1" applyAlignment="1">
      <alignment horizontal="center" wrapText="1"/>
    </xf>
    <xf numFmtId="10" fontId="44" fillId="28" borderId="0" xfId="0" applyNumberFormat="1" applyFont="1" applyFill="1" applyAlignment="1">
      <alignment horizontal="center" wrapText="1"/>
    </xf>
    <xf numFmtId="0" fontId="44" fillId="0" borderId="0" xfId="1" applyNumberFormat="1" applyFont="1" applyFill="1" applyAlignment="1">
      <alignment horizontal="center"/>
    </xf>
    <xf numFmtId="168" fontId="44" fillId="0" borderId="0" xfId="1" applyNumberFormat="1" applyFont="1" applyFill="1" applyAlignment="1">
      <alignment horizontal="center"/>
    </xf>
    <xf numFmtId="10" fontId="44" fillId="29" borderId="0" xfId="0" applyNumberFormat="1" applyFont="1" applyFill="1" applyAlignment="1">
      <alignment horizontal="center"/>
    </xf>
    <xf numFmtId="0" fontId="77" fillId="3" borderId="0" xfId="0" applyFont="1" applyFill="1" applyAlignment="1">
      <alignment vertical="center"/>
    </xf>
    <xf numFmtId="168" fontId="9" fillId="0" borderId="0" xfId="0" applyNumberFormat="1" applyFont="1"/>
    <xf numFmtId="0" fontId="8" fillId="4" borderId="0" xfId="0" applyFont="1" applyFill="1"/>
    <xf numFmtId="43" fontId="8" fillId="4" borderId="0" xfId="0" applyNumberFormat="1" applyFont="1" applyFill="1"/>
    <xf numFmtId="43" fontId="8" fillId="0" borderId="0" xfId="0" applyNumberFormat="1" applyFont="1"/>
    <xf numFmtId="43" fontId="9" fillId="0" borderId="0" xfId="0" applyNumberFormat="1" applyFont="1"/>
    <xf numFmtId="0" fontId="78" fillId="0" borderId="0" xfId="0" applyFont="1"/>
    <xf numFmtId="164" fontId="15" fillId="4" borderId="0" xfId="1" applyNumberFormat="1" applyFont="1" applyFill="1"/>
    <xf numFmtId="164" fontId="15" fillId="0" borderId="0" xfId="1" applyNumberFormat="1" applyFont="1"/>
    <xf numFmtId="164" fontId="8" fillId="0" borderId="0" xfId="0" applyNumberFormat="1" applyFont="1"/>
    <xf numFmtId="164" fontId="9" fillId="0" borderId="0" xfId="0" applyNumberFormat="1" applyFont="1"/>
    <xf numFmtId="168" fontId="0" fillId="0" borderId="0" xfId="0" applyNumberFormat="1"/>
    <xf numFmtId="164" fontId="58" fillId="3" borderId="0" xfId="1" applyNumberFormat="1" applyFont="1" applyFill="1" applyBorder="1" applyAlignment="1">
      <alignment horizontal="center" vertical="center" wrapText="1"/>
    </xf>
    <xf numFmtId="0" fontId="4" fillId="3" borderId="0" xfId="0" applyFont="1" applyFill="1" applyAlignment="1">
      <alignment horizontal="center" vertical="center"/>
    </xf>
    <xf numFmtId="0" fontId="79" fillId="0" borderId="0" xfId="1" applyNumberFormat="1" applyFont="1" applyFill="1" applyAlignment="1">
      <alignment vertical="center"/>
    </xf>
    <xf numFmtId="0" fontId="79" fillId="0" borderId="0" xfId="1" applyNumberFormat="1" applyFont="1" applyFill="1" applyBorder="1" applyAlignment="1">
      <alignment vertical="center"/>
    </xf>
    <xf numFmtId="0" fontId="79" fillId="0" borderId="0" xfId="1" applyNumberFormat="1" applyFont="1" applyFill="1" applyBorder="1" applyAlignment="1">
      <alignment horizontal="center" vertical="center"/>
    </xf>
    <xf numFmtId="0" fontId="44" fillId="0" borderId="0" xfId="0" applyFont="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wrapText="1"/>
    </xf>
    <xf numFmtId="0" fontId="59" fillId="30" borderId="0" xfId="9" applyFont="1" applyFill="1" applyAlignment="1">
      <alignment horizontal="center"/>
    </xf>
    <xf numFmtId="0" fontId="59" fillId="23" borderId="0" xfId="9" applyFont="1" applyFill="1" applyAlignment="1">
      <alignment horizontal="center"/>
    </xf>
    <xf numFmtId="0" fontId="58" fillId="17" borderId="0" xfId="0" applyFont="1" applyFill="1" applyAlignment="1">
      <alignment horizontal="center"/>
    </xf>
    <xf numFmtId="0" fontId="45" fillId="0" borderId="0" xfId="0" applyFont="1" applyAlignment="1">
      <alignment horizontal="left" vertical="center"/>
    </xf>
    <xf numFmtId="0" fontId="79" fillId="0" borderId="0" xfId="1" applyNumberFormat="1" applyFont="1" applyFill="1" applyAlignment="1">
      <alignment horizontal="left" vertical="center"/>
    </xf>
    <xf numFmtId="0" fontId="79" fillId="0" borderId="52" xfId="0" applyFont="1" applyBorder="1" applyAlignment="1">
      <alignment horizontal="left" vertical="center" wrapText="1"/>
    </xf>
    <xf numFmtId="0" fontId="59" fillId="31" borderId="52" xfId="0" applyFont="1" applyFill="1" applyBorder="1" applyAlignment="1">
      <alignment horizontal="left" vertical="center" wrapText="1"/>
    </xf>
    <xf numFmtId="0" fontId="44" fillId="31" borderId="52" xfId="0" applyFont="1" applyFill="1" applyBorder="1" applyAlignment="1">
      <alignment horizontal="left" vertical="center" wrapText="1"/>
    </xf>
    <xf numFmtId="0" fontId="44" fillId="31" borderId="53" xfId="0" applyFont="1" applyFill="1" applyBorder="1" applyAlignment="1">
      <alignment horizontal="left" vertical="center" wrapText="1"/>
    </xf>
    <xf numFmtId="0" fontId="79" fillId="0" borderId="53" xfId="0" applyFont="1" applyBorder="1" applyAlignment="1">
      <alignment horizontal="left" vertical="center" wrapText="1"/>
    </xf>
    <xf numFmtId="0" fontId="79" fillId="0" borderId="0" xfId="0" applyFont="1" applyAlignment="1">
      <alignment horizontal="left" vertical="center"/>
    </xf>
    <xf numFmtId="10" fontId="74" fillId="16" borderId="0" xfId="1" applyNumberFormat="1" applyFont="1" applyFill="1" applyAlignment="1">
      <alignment horizontal="center" vertical="center" wrapText="1"/>
    </xf>
    <xf numFmtId="171" fontId="44" fillId="0" borderId="0" xfId="0" applyNumberFormat="1" applyFont="1" applyAlignment="1">
      <alignment horizontal="center" vertical="center"/>
    </xf>
    <xf numFmtId="0" fontId="80" fillId="0" borderId="53" xfId="0" applyFont="1" applyBorder="1" applyAlignment="1">
      <alignment horizontal="left" vertical="center"/>
    </xf>
    <xf numFmtId="0" fontId="81" fillId="0" borderId="53" xfId="0" applyFont="1" applyBorder="1" applyAlignment="1">
      <alignment horizontal="left" vertical="center"/>
    </xf>
    <xf numFmtId="0" fontId="58" fillId="17" borderId="0" xfId="0" applyFont="1" applyFill="1"/>
    <xf numFmtId="0" fontId="4" fillId="3" borderId="77" xfId="0" applyFont="1" applyFill="1" applyBorder="1" applyAlignment="1">
      <alignment vertical="center"/>
    </xf>
    <xf numFmtId="0" fontId="4" fillId="3" borderId="78" xfId="0" applyFont="1" applyFill="1" applyBorder="1" applyAlignment="1">
      <alignment vertical="center" wrapText="1"/>
    </xf>
    <xf numFmtId="0" fontId="4" fillId="3" borderId="78" xfId="0" applyFont="1" applyFill="1" applyBorder="1" applyAlignment="1">
      <alignment horizontal="center" vertical="center" wrapText="1"/>
    </xf>
    <xf numFmtId="0" fontId="4" fillId="3" borderId="78" xfId="0" applyFont="1" applyFill="1" applyBorder="1" applyAlignment="1">
      <alignment horizontal="center" vertical="center"/>
    </xf>
    <xf numFmtId="0" fontId="4" fillId="3" borderId="78" xfId="0" applyFont="1" applyFill="1" applyBorder="1" applyAlignment="1">
      <alignment horizontal="center" wrapText="1"/>
    </xf>
    <xf numFmtId="0" fontId="4" fillId="3" borderId="79" xfId="0" applyFont="1" applyFill="1" applyBorder="1" applyAlignment="1">
      <alignment vertical="center" wrapText="1"/>
    </xf>
    <xf numFmtId="0" fontId="44" fillId="0" borderId="73" xfId="0" applyFont="1" applyBorder="1" applyAlignment="1">
      <alignment vertical="center"/>
    </xf>
    <xf numFmtId="10" fontId="58" fillId="17" borderId="0" xfId="0" applyNumberFormat="1" applyFont="1" applyFill="1" applyAlignment="1">
      <alignment horizontal="center"/>
    </xf>
    <xf numFmtId="0" fontId="7" fillId="5" borderId="0" xfId="0" applyFont="1" applyFill="1" applyAlignment="1">
      <alignment vertical="center"/>
    </xf>
    <xf numFmtId="0" fontId="7" fillId="5" borderId="0" xfId="0" applyFont="1" applyFill="1" applyAlignment="1">
      <alignment vertical="center" wrapText="1"/>
    </xf>
    <xf numFmtId="0" fontId="7" fillId="5" borderId="0" xfId="0" applyFont="1" applyFill="1" applyAlignment="1">
      <alignment horizontal="center" vertical="center"/>
    </xf>
    <xf numFmtId="0" fontId="7" fillId="4" borderId="0" xfId="0" applyFont="1" applyFill="1" applyAlignment="1">
      <alignment vertical="center" wrapText="1"/>
    </xf>
    <xf numFmtId="0" fontId="7" fillId="4" borderId="0" xfId="0" applyFont="1" applyFill="1" applyAlignment="1">
      <alignment horizontal="center" vertical="center"/>
    </xf>
    <xf numFmtId="0" fontId="82" fillId="0" borderId="0" xfId="0" applyFont="1" applyAlignment="1">
      <alignment vertical="center"/>
    </xf>
    <xf numFmtId="0" fontId="83" fillId="0" borderId="0" xfId="0" applyFont="1" applyAlignment="1">
      <alignment horizontal="left" vertical="center"/>
    </xf>
    <xf numFmtId="0" fontId="85" fillId="4" borderId="87" xfId="0" applyFont="1" applyFill="1" applyBorder="1" applyAlignment="1">
      <alignment horizontal="center" vertical="center" wrapText="1"/>
    </xf>
    <xf numFmtId="0" fontId="84" fillId="4" borderId="86" xfId="0" applyFont="1" applyFill="1" applyBorder="1" applyAlignment="1">
      <alignment horizontal="center" vertical="center" wrapText="1"/>
    </xf>
    <xf numFmtId="0" fontId="86" fillId="0" borderId="87" xfId="0" applyFont="1" applyBorder="1" applyAlignment="1">
      <alignment horizontal="center" vertical="center" wrapText="1"/>
    </xf>
    <xf numFmtId="0" fontId="86" fillId="0" borderId="86" xfId="0" applyFont="1" applyBorder="1" applyAlignment="1">
      <alignment vertical="center" wrapText="1"/>
    </xf>
    <xf numFmtId="9" fontId="86" fillId="0" borderId="86" xfId="0" applyNumberFormat="1" applyFont="1" applyBorder="1" applyAlignment="1">
      <alignment vertical="center" wrapText="1"/>
    </xf>
    <xf numFmtId="0" fontId="86" fillId="0" borderId="86" xfId="0" applyFont="1" applyBorder="1" applyAlignment="1">
      <alignment horizontal="center" vertical="center" wrapText="1"/>
    </xf>
    <xf numFmtId="0" fontId="83" fillId="0" borderId="86" xfId="0" applyFont="1" applyBorder="1" applyAlignment="1">
      <alignment vertical="center" wrapText="1"/>
    </xf>
    <xf numFmtId="0" fontId="83" fillId="0" borderId="0" xfId="0" applyFont="1" applyAlignment="1">
      <alignment horizontal="center" vertical="center"/>
    </xf>
    <xf numFmtId="0" fontId="84" fillId="4" borderId="62" xfId="0" applyFont="1" applyFill="1" applyBorder="1" applyAlignment="1">
      <alignment horizontal="center" vertical="center" wrapText="1"/>
    </xf>
    <xf numFmtId="0" fontId="84" fillId="4" borderId="64" xfId="0" applyFont="1" applyFill="1" applyBorder="1" applyAlignment="1">
      <alignment horizontal="center" vertical="center" wrapText="1"/>
    </xf>
    <xf numFmtId="0" fontId="86" fillId="0" borderId="62" xfId="0" applyFont="1" applyBorder="1" applyAlignment="1">
      <alignment vertical="center" wrapText="1"/>
    </xf>
    <xf numFmtId="0" fontId="86" fillId="0" borderId="64" xfId="0" applyFont="1" applyBorder="1" applyAlignment="1">
      <alignment vertical="center" wrapText="1"/>
    </xf>
    <xf numFmtId="0" fontId="86" fillId="0" borderId="88" xfId="0" applyFont="1" applyBorder="1" applyAlignment="1">
      <alignment horizontal="center" vertical="center" wrapText="1"/>
    </xf>
    <xf numFmtId="0" fontId="86" fillId="0" borderId="83" xfId="0" applyFont="1" applyBorder="1" applyAlignment="1">
      <alignment vertical="center" wrapText="1"/>
    </xf>
    <xf numFmtId="0" fontId="86" fillId="0" borderId="88" xfId="0" applyFont="1" applyBorder="1" applyAlignment="1">
      <alignment vertical="center" wrapText="1"/>
    </xf>
    <xf numFmtId="0" fontId="86" fillId="0" borderId="87" xfId="0" applyFont="1" applyBorder="1" applyAlignment="1">
      <alignment vertical="center" wrapText="1"/>
    </xf>
    <xf numFmtId="0" fontId="12" fillId="0" borderId="0" xfId="0" applyFont="1" applyAlignment="1">
      <alignment horizontal="center" vertical="center" wrapText="1"/>
    </xf>
    <xf numFmtId="0" fontId="12" fillId="0" borderId="0" xfId="0" applyFont="1" applyAlignment="1">
      <alignment vertical="center" wrapText="1"/>
    </xf>
    <xf numFmtId="9" fontId="86" fillId="0" borderId="62" xfId="0" applyNumberFormat="1" applyFont="1" applyBorder="1" applyAlignment="1">
      <alignment vertical="center" wrapText="1"/>
    </xf>
    <xf numFmtId="9" fontId="86" fillId="0" borderId="64" xfId="0" applyNumberFormat="1" applyFont="1" applyBorder="1" applyAlignment="1">
      <alignment vertical="center" wrapText="1"/>
    </xf>
    <xf numFmtId="0" fontId="86" fillId="0" borderId="0" xfId="0" applyFont="1" applyAlignment="1">
      <alignment horizontal="center" vertical="center"/>
    </xf>
    <xf numFmtId="9" fontId="86" fillId="0" borderId="81" xfId="0" applyNumberFormat="1" applyFont="1" applyBorder="1" applyAlignment="1">
      <alignment vertical="center" wrapText="1"/>
    </xf>
    <xf numFmtId="9" fontId="86" fillId="0" borderId="83" xfId="0" applyNumberFormat="1" applyFont="1" applyBorder="1" applyAlignment="1">
      <alignment vertical="center" wrapText="1"/>
    </xf>
    <xf numFmtId="9" fontId="86" fillId="0" borderId="84" xfId="0" applyNumberFormat="1" applyFont="1" applyBorder="1" applyAlignment="1">
      <alignment vertical="center" wrapText="1"/>
    </xf>
    <xf numFmtId="0" fontId="86" fillId="0" borderId="62" xfId="0" applyFont="1" applyBorder="1" applyAlignment="1">
      <alignment horizontal="center" vertical="center" wrapText="1"/>
    </xf>
    <xf numFmtId="0" fontId="86" fillId="0" borderId="81" xfId="0" applyFont="1" applyBorder="1" applyAlignment="1">
      <alignment horizontal="center" vertical="center" wrapText="1"/>
    </xf>
    <xf numFmtId="0" fontId="86" fillId="0" borderId="89" xfId="0" applyFont="1" applyBorder="1" applyAlignment="1">
      <alignment vertical="center" wrapText="1"/>
    </xf>
    <xf numFmtId="0" fontId="86" fillId="0" borderId="84" xfId="0" applyFont="1" applyBorder="1" applyAlignment="1">
      <alignment horizontal="center" vertical="center" wrapText="1"/>
    </xf>
    <xf numFmtId="0" fontId="86" fillId="0" borderId="90" xfId="0" applyFont="1" applyBorder="1" applyAlignment="1">
      <alignment horizontal="center" vertical="center" wrapText="1"/>
    </xf>
    <xf numFmtId="0" fontId="0" fillId="0" borderId="89" xfId="0" applyBorder="1" applyAlignment="1">
      <alignment vertical="top" wrapText="1"/>
    </xf>
    <xf numFmtId="0" fontId="0" fillId="0" borderId="86" xfId="0" applyBorder="1" applyAlignment="1">
      <alignment vertical="top" wrapText="1"/>
    </xf>
    <xf numFmtId="0" fontId="89" fillId="0" borderId="0" xfId="0" applyFont="1" applyAlignment="1">
      <alignment horizontal="justify" vertical="center" wrapText="1"/>
    </xf>
    <xf numFmtId="0" fontId="84" fillId="4" borderId="86" xfId="0" applyFont="1" applyFill="1" applyBorder="1" applyAlignment="1">
      <alignment vertical="center" wrapText="1"/>
    </xf>
    <xf numFmtId="9" fontId="86" fillId="0" borderId="86" xfId="0" applyNumberFormat="1" applyFont="1" applyBorder="1" applyAlignment="1">
      <alignment horizontal="center" vertical="center" wrapText="1"/>
    </xf>
    <xf numFmtId="0" fontId="86" fillId="32" borderId="92" xfId="0" applyFont="1" applyFill="1" applyBorder="1" applyAlignment="1">
      <alignment horizontal="center" vertical="center" wrapText="1"/>
    </xf>
    <xf numFmtId="0" fontId="83" fillId="32" borderId="64" xfId="0" applyFont="1" applyFill="1" applyBorder="1" applyAlignment="1">
      <alignment horizontal="center" vertical="center" wrapText="1"/>
    </xf>
    <xf numFmtId="0" fontId="84" fillId="4" borderId="87" xfId="0" applyFont="1" applyFill="1" applyBorder="1" applyAlignment="1">
      <alignment horizontal="center" vertical="center" wrapText="1"/>
    </xf>
    <xf numFmtId="0" fontId="86" fillId="4" borderId="87" xfId="0" applyFont="1" applyFill="1" applyBorder="1" applyAlignment="1">
      <alignment horizontal="center" vertical="center" wrapText="1"/>
    </xf>
    <xf numFmtId="0" fontId="83" fillId="4" borderId="86" xfId="0" applyFont="1" applyFill="1" applyBorder="1" applyAlignment="1">
      <alignment vertical="center" wrapText="1"/>
    </xf>
    <xf numFmtId="0" fontId="86" fillId="0" borderId="89" xfId="0" applyFont="1" applyBorder="1" applyAlignment="1">
      <alignment horizontal="justify" vertical="center" wrapText="1"/>
    </xf>
    <xf numFmtId="0" fontId="83" fillId="0" borderId="87" xfId="0" applyFont="1" applyBorder="1" applyAlignment="1">
      <alignment horizontal="center" vertical="center" wrapText="1"/>
    </xf>
    <xf numFmtId="0" fontId="86" fillId="0" borderId="86" xfId="0" applyFont="1" applyBorder="1" applyAlignment="1">
      <alignment horizontal="justify" vertical="center" wrapText="1"/>
    </xf>
    <xf numFmtId="0" fontId="83" fillId="0" borderId="64" xfId="0" applyFont="1" applyBorder="1" applyAlignment="1">
      <alignment vertical="center" wrapText="1"/>
    </xf>
    <xf numFmtId="0" fontId="83" fillId="0" borderId="86" xfId="0" applyFont="1" applyBorder="1" applyAlignment="1">
      <alignment horizontal="center" vertical="center" wrapText="1"/>
    </xf>
    <xf numFmtId="0" fontId="83" fillId="4" borderId="86" xfId="0" applyFont="1" applyFill="1" applyBorder="1" applyAlignment="1">
      <alignment horizontal="center" vertical="center" wrapText="1"/>
    </xf>
    <xf numFmtId="3" fontId="86" fillId="0" borderId="86" xfId="0" applyNumberFormat="1" applyFont="1" applyBorder="1" applyAlignment="1">
      <alignment vertical="center" wrapText="1"/>
    </xf>
    <xf numFmtId="0" fontId="86" fillId="0" borderId="92" xfId="0" applyFont="1" applyBorder="1" applyAlignment="1">
      <alignment horizontal="center" vertical="center" wrapText="1"/>
    </xf>
    <xf numFmtId="0" fontId="83" fillId="0" borderId="64" xfId="0" applyFont="1" applyBorder="1" applyAlignment="1">
      <alignment horizontal="justify" vertical="center" wrapText="1"/>
    </xf>
    <xf numFmtId="0" fontId="84" fillId="33" borderId="87" xfId="0" applyFont="1" applyFill="1" applyBorder="1" applyAlignment="1">
      <alignment horizontal="center" vertical="center" wrapText="1"/>
    </xf>
    <xf numFmtId="0" fontId="85" fillId="33" borderId="86" xfId="0" applyFont="1" applyFill="1" applyBorder="1" applyAlignment="1">
      <alignment horizontal="justify" vertical="center" wrapText="1"/>
    </xf>
    <xf numFmtId="0" fontId="85" fillId="33" borderId="86" xfId="0" applyFont="1" applyFill="1" applyBorder="1" applyAlignment="1">
      <alignment vertical="center" wrapText="1"/>
    </xf>
    <xf numFmtId="0" fontId="86" fillId="33" borderId="86" xfId="0" applyFont="1" applyFill="1" applyBorder="1" applyAlignment="1">
      <alignment vertical="center" wrapText="1"/>
    </xf>
    <xf numFmtId="0" fontId="12" fillId="0" borderId="85" xfId="0" applyFont="1" applyBorder="1" applyAlignment="1">
      <alignment horizontal="center" vertical="center" wrapText="1"/>
    </xf>
    <xf numFmtId="0" fontId="84" fillId="33" borderId="87" xfId="0" applyFont="1" applyFill="1" applyBorder="1" applyAlignment="1">
      <alignment horizontal="justify" vertical="center" wrapText="1"/>
    </xf>
    <xf numFmtId="0" fontId="84" fillId="33" borderId="93" xfId="0" applyFont="1" applyFill="1" applyBorder="1" applyAlignment="1">
      <alignment horizontal="center" vertical="center" wrapText="1"/>
    </xf>
    <xf numFmtId="0" fontId="85" fillId="33" borderId="94" xfId="0" applyFont="1" applyFill="1" applyBorder="1" applyAlignment="1">
      <alignment horizontal="justify" vertical="center" wrapText="1"/>
    </xf>
    <xf numFmtId="0" fontId="85" fillId="33" borderId="94" xfId="0" applyFont="1" applyFill="1" applyBorder="1" applyAlignment="1">
      <alignment vertical="center" wrapText="1"/>
    </xf>
    <xf numFmtId="0" fontId="86" fillId="33" borderId="94" xfId="0" applyFont="1" applyFill="1" applyBorder="1" applyAlignment="1">
      <alignment vertical="center" wrapText="1"/>
    </xf>
    <xf numFmtId="0" fontId="83" fillId="0" borderId="87" xfId="0" applyFont="1" applyBorder="1" applyAlignment="1">
      <alignment horizontal="justify" vertical="center" wrapText="1"/>
    </xf>
    <xf numFmtId="0" fontId="83" fillId="0" borderId="93" xfId="0" applyFont="1" applyBorder="1" applyAlignment="1">
      <alignment horizontal="center" vertical="center" wrapText="1"/>
    </xf>
    <xf numFmtId="0" fontId="86" fillId="0" borderId="94" xfId="0" applyFont="1" applyBorder="1" applyAlignment="1">
      <alignment horizontal="justify" vertical="center" wrapText="1"/>
    </xf>
    <xf numFmtId="0" fontId="86" fillId="0" borderId="94" xfId="0" applyFont="1" applyBorder="1" applyAlignment="1">
      <alignment vertical="center" wrapText="1"/>
    </xf>
    <xf numFmtId="0" fontId="83" fillId="0" borderId="92" xfId="0" applyFont="1" applyBorder="1" applyAlignment="1">
      <alignment horizontal="center" vertical="center" wrapText="1"/>
    </xf>
    <xf numFmtId="17" fontId="86" fillId="0" borderId="87" xfId="0" applyNumberFormat="1" applyFont="1" applyBorder="1" applyAlignment="1">
      <alignment horizontal="center" vertical="center" wrapText="1"/>
    </xf>
    <xf numFmtId="17" fontId="86" fillId="0" borderId="86" xfId="0" applyNumberFormat="1" applyFont="1" applyBorder="1" applyAlignment="1">
      <alignment vertical="center" wrapText="1"/>
    </xf>
    <xf numFmtId="0" fontId="82" fillId="0" borderId="0" xfId="0" applyFont="1" applyAlignment="1">
      <alignment horizontal="center" vertical="center"/>
    </xf>
    <xf numFmtId="0" fontId="92" fillId="7" borderId="95" xfId="0" applyFont="1" applyFill="1" applyBorder="1" applyAlignment="1">
      <alignment horizontal="center" vertical="center" wrapText="1"/>
    </xf>
    <xf numFmtId="0" fontId="92" fillId="7" borderId="95" xfId="0" applyFont="1" applyFill="1" applyBorder="1" applyAlignment="1">
      <alignment horizontal="left" vertical="center" wrapText="1"/>
    </xf>
    <xf numFmtId="43" fontId="92" fillId="7" borderId="95" xfId="1" applyFont="1" applyFill="1" applyBorder="1" applyAlignment="1">
      <alignment horizontal="center" vertical="center" wrapText="1"/>
    </xf>
    <xf numFmtId="0" fontId="93" fillId="0" borderId="0" xfId="0" applyFont="1" applyAlignment="1">
      <alignment horizontal="left" vertical="center"/>
    </xf>
    <xf numFmtId="0" fontId="5" fillId="0" borderId="0" xfId="0" applyFont="1" applyAlignment="1">
      <alignment horizontal="left" vertical="center"/>
    </xf>
    <xf numFmtId="0" fontId="94" fillId="0" borderId="0" xfId="0" applyFont="1"/>
    <xf numFmtId="164" fontId="38" fillId="15" borderId="16" xfId="1" applyNumberFormat="1" applyFont="1" applyFill="1" applyBorder="1" applyAlignment="1">
      <alignment horizontal="center" vertical="center"/>
    </xf>
    <xf numFmtId="164" fontId="38" fillId="14" borderId="16" xfId="1" applyNumberFormat="1" applyFont="1" applyFill="1" applyBorder="1" applyAlignment="1">
      <alignment horizontal="center" vertical="center"/>
    </xf>
    <xf numFmtId="0" fontId="50" fillId="15" borderId="16" xfId="0" applyFont="1" applyFill="1" applyBorder="1" applyAlignment="1">
      <alignment horizontal="center" vertical="center"/>
    </xf>
    <xf numFmtId="0" fontId="39" fillId="15" borderId="16" xfId="0" applyFont="1" applyFill="1" applyBorder="1" applyAlignment="1">
      <alignment horizontal="left" vertical="center"/>
    </xf>
    <xf numFmtId="164" fontId="38" fillId="15" borderId="16" xfId="1" applyNumberFormat="1" applyFont="1" applyFill="1" applyBorder="1" applyAlignment="1">
      <alignment horizontal="left" vertical="center"/>
    </xf>
    <xf numFmtId="0" fontId="39" fillId="14" borderId="16" xfId="0" applyFont="1" applyFill="1" applyBorder="1" applyAlignment="1">
      <alignment horizontal="left" vertical="center"/>
    </xf>
    <xf numFmtId="164" fontId="96" fillId="27" borderId="16" xfId="0" applyNumberFormat="1" applyFont="1" applyFill="1" applyBorder="1"/>
    <xf numFmtId="164" fontId="96" fillId="27" borderId="16" xfId="1" applyNumberFormat="1" applyFont="1" applyFill="1" applyBorder="1"/>
    <xf numFmtId="0" fontId="3" fillId="0" borderId="0" xfId="0" applyFont="1"/>
    <xf numFmtId="0" fontId="36" fillId="0" borderId="0" xfId="0" applyFont="1"/>
    <xf numFmtId="0" fontId="50" fillId="15" borderId="16" xfId="0" applyFont="1" applyFill="1" applyBorder="1" applyAlignment="1">
      <alignment horizontal="left" vertical="center"/>
    </xf>
    <xf numFmtId="0" fontId="50" fillId="14" borderId="16" xfId="0" applyFont="1" applyFill="1" applyBorder="1" applyAlignment="1">
      <alignment horizontal="left" vertical="center"/>
    </xf>
    <xf numFmtId="164" fontId="59" fillId="16" borderId="0" xfId="1" applyNumberFormat="1" applyFont="1" applyFill="1" applyAlignment="1">
      <alignment horizontal="left" vertical="center" wrapText="1"/>
    </xf>
    <xf numFmtId="0" fontId="59" fillId="31" borderId="49" xfId="0" applyFont="1" applyFill="1" applyBorder="1" applyAlignment="1">
      <alignment horizontal="left" vertical="center" wrapText="1"/>
    </xf>
    <xf numFmtId="0" fontId="59" fillId="31" borderId="53" xfId="0" applyFont="1" applyFill="1" applyBorder="1" applyAlignment="1">
      <alignment horizontal="left" vertical="center" wrapText="1"/>
    </xf>
    <xf numFmtId="0" fontId="45" fillId="0" borderId="0" xfId="1" applyNumberFormat="1" applyFont="1" applyFill="1" applyBorder="1" applyAlignment="1">
      <alignment vertical="center"/>
    </xf>
    <xf numFmtId="0" fontId="45" fillId="0" borderId="0" xfId="1" applyNumberFormat="1" applyFont="1" applyFill="1" applyBorder="1" applyAlignment="1">
      <alignment horizontal="center" vertical="center"/>
    </xf>
    <xf numFmtId="0" fontId="79" fillId="0" borderId="0" xfId="0" applyFont="1" applyAlignment="1">
      <alignment horizontal="center" vertical="center" wrapText="1"/>
    </xf>
    <xf numFmtId="0" fontId="79" fillId="0" borderId="0" xfId="0" applyFont="1" applyAlignment="1">
      <alignment vertical="center"/>
    </xf>
    <xf numFmtId="0" fontId="79" fillId="0" borderId="53" xfId="0" applyFont="1" applyBorder="1" applyAlignment="1">
      <alignment horizontal="left" vertical="center"/>
    </xf>
    <xf numFmtId="10" fontId="44" fillId="0" borderId="0" xfId="0" applyNumberFormat="1" applyFont="1" applyAlignment="1">
      <alignment vertical="center"/>
    </xf>
    <xf numFmtId="0" fontId="4" fillId="3" borderId="0" xfId="0" applyFont="1" applyFill="1" applyAlignment="1">
      <alignment horizontal="left" vertical="center" wrapText="1"/>
    </xf>
    <xf numFmtId="0" fontId="4" fillId="3" borderId="0" xfId="0" applyFont="1" applyFill="1" applyAlignment="1">
      <alignment vertical="center" wrapText="1"/>
    </xf>
    <xf numFmtId="0" fontId="4" fillId="3" borderId="0" xfId="0" applyFont="1" applyFill="1" applyAlignment="1">
      <alignment vertical="center"/>
    </xf>
    <xf numFmtId="0" fontId="44" fillId="4" borderId="0" xfId="0" applyFont="1" applyFill="1" applyAlignment="1">
      <alignment vertical="center"/>
    </xf>
    <xf numFmtId="164" fontId="44" fillId="4" borderId="0" xfId="0" applyNumberFormat="1" applyFont="1" applyFill="1" applyAlignment="1">
      <alignment vertical="center"/>
    </xf>
    <xf numFmtId="164" fontId="44" fillId="0" borderId="0" xfId="0" applyNumberFormat="1" applyFont="1" applyAlignment="1">
      <alignment vertical="center"/>
    </xf>
    <xf numFmtId="164" fontId="96" fillId="0" borderId="0" xfId="0" applyNumberFormat="1" applyFont="1"/>
    <xf numFmtId="0" fontId="58" fillId="3" borderId="0" xfId="0" applyFont="1" applyFill="1" applyAlignment="1">
      <alignment vertical="center"/>
    </xf>
    <xf numFmtId="0" fontId="58" fillId="3" borderId="0" xfId="0" applyFont="1" applyFill="1" applyAlignment="1">
      <alignment vertical="center" wrapText="1"/>
    </xf>
    <xf numFmtId="43" fontId="58" fillId="3" borderId="0" xfId="1" applyFont="1" applyFill="1" applyBorder="1" applyAlignment="1">
      <alignment vertical="center" wrapText="1"/>
    </xf>
    <xf numFmtId="0" fontId="44" fillId="4" borderId="0" xfId="0" applyFont="1" applyFill="1" applyAlignment="1">
      <alignment horizontal="left"/>
    </xf>
    <xf numFmtId="0" fontId="44" fillId="4" borderId="0" xfId="0" applyFont="1" applyFill="1"/>
    <xf numFmtId="164" fontId="44" fillId="4" borderId="0" xfId="1" applyNumberFormat="1" applyFont="1" applyFill="1" applyBorder="1" applyAlignment="1">
      <alignment wrapText="1"/>
    </xf>
    <xf numFmtId="164" fontId="44" fillId="0" borderId="0" xfId="1" applyNumberFormat="1" applyFont="1" applyFill="1" applyBorder="1" applyAlignment="1">
      <alignment wrapText="1"/>
    </xf>
    <xf numFmtId="0" fontId="43" fillId="0" borderId="0" xfId="0" applyFont="1" applyAlignment="1">
      <alignment horizontal="center" vertical="center"/>
    </xf>
    <xf numFmtId="164" fontId="0" fillId="0" borderId="0" xfId="1" applyNumberFormat="1" applyFont="1"/>
    <xf numFmtId="0" fontId="0" fillId="4" borderId="0" xfId="0" applyFill="1"/>
    <xf numFmtId="164" fontId="0" fillId="4" borderId="0" xfId="1" applyNumberFormat="1" applyFont="1" applyFill="1"/>
    <xf numFmtId="164" fontId="3" fillId="0" borderId="0" xfId="1" applyNumberFormat="1" applyFont="1" applyFill="1"/>
    <xf numFmtId="164" fontId="58" fillId="3" borderId="49" xfId="1" applyNumberFormat="1" applyFont="1" applyFill="1" applyBorder="1" applyAlignment="1">
      <alignment vertical="center" wrapText="1"/>
    </xf>
    <xf numFmtId="0" fontId="44" fillId="15" borderId="0" xfId="0" applyFont="1" applyFill="1" applyAlignment="1">
      <alignment horizontal="center" vertical="center" wrapText="1"/>
    </xf>
    <xf numFmtId="0" fontId="45" fillId="0" borderId="0" xfId="0" applyFont="1" applyAlignment="1">
      <alignment vertical="center" wrapText="1"/>
    </xf>
    <xf numFmtId="0" fontId="43" fillId="0" borderId="0" xfId="0" applyFont="1" applyAlignment="1">
      <alignment horizontal="left" vertical="center"/>
    </xf>
    <xf numFmtId="164" fontId="44" fillId="4" borderId="0" xfId="1" applyNumberFormat="1" applyFont="1" applyFill="1"/>
    <xf numFmtId="164" fontId="44" fillId="0" borderId="0" xfId="1" applyNumberFormat="1" applyFont="1"/>
    <xf numFmtId="164" fontId="44" fillId="0" borderId="0" xfId="0" applyNumberFormat="1" applyFont="1"/>
    <xf numFmtId="0" fontId="3" fillId="0" borderId="0" xfId="0" applyFont="1" applyAlignment="1">
      <alignment horizontal="center" vertical="center" wrapText="1"/>
    </xf>
    <xf numFmtId="0" fontId="0" fillId="0" borderId="0" xfId="0" applyAlignment="1">
      <alignment horizontal="center" vertical="center" wrapText="1"/>
    </xf>
    <xf numFmtId="0" fontId="0" fillId="14" borderId="0" xfId="0" applyFill="1" applyAlignment="1">
      <alignment vertical="center" wrapText="1"/>
    </xf>
    <xf numFmtId="0" fontId="0" fillId="14" borderId="0" xfId="0" applyFill="1" applyAlignment="1">
      <alignment horizontal="center" vertical="center" wrapText="1"/>
    </xf>
    <xf numFmtId="0" fontId="44" fillId="0" borderId="0" xfId="0" applyFont="1" applyAlignment="1">
      <alignment horizontal="center" wrapText="1"/>
    </xf>
    <xf numFmtId="10" fontId="44" fillId="0" borderId="0" xfId="0" applyNumberFormat="1" applyFont="1" applyAlignment="1">
      <alignment horizontal="center" wrapText="1"/>
    </xf>
    <xf numFmtId="10" fontId="44" fillId="0" borderId="0" xfId="0" applyNumberFormat="1" applyFont="1" applyAlignment="1">
      <alignment horizontal="center"/>
    </xf>
    <xf numFmtId="0" fontId="44" fillId="4" borderId="0" xfId="0" applyFont="1" applyFill="1" applyAlignment="1">
      <alignment horizontal="center" wrapText="1"/>
    </xf>
    <xf numFmtId="0" fontId="44" fillId="4" borderId="0" xfId="0" applyFont="1" applyFill="1" applyAlignment="1">
      <alignment horizontal="center"/>
    </xf>
    <xf numFmtId="10" fontId="44" fillId="4" borderId="0" xfId="0" applyNumberFormat="1" applyFont="1" applyFill="1" applyAlignment="1">
      <alignment horizontal="center"/>
    </xf>
    <xf numFmtId="168" fontId="44" fillId="4" borderId="0" xfId="1" applyNumberFormat="1" applyFont="1" applyFill="1" applyAlignment="1">
      <alignment horizontal="center"/>
    </xf>
    <xf numFmtId="0" fontId="44" fillId="4" borderId="0" xfId="1" applyNumberFormat="1" applyFont="1" applyFill="1" applyAlignment="1">
      <alignment horizontal="center"/>
    </xf>
    <xf numFmtId="0" fontId="37" fillId="12" borderId="13" xfId="0" applyFont="1" applyFill="1" applyBorder="1" applyAlignment="1">
      <alignment horizontal="center" vertical="center" wrapText="1"/>
    </xf>
    <xf numFmtId="0" fontId="37" fillId="12" borderId="0" xfId="0" applyFont="1" applyFill="1" applyAlignment="1">
      <alignment horizontal="center" vertical="center" wrapText="1"/>
    </xf>
    <xf numFmtId="0" fontId="37" fillId="12" borderId="14" xfId="0" applyFont="1" applyFill="1" applyBorder="1" applyAlignment="1">
      <alignment horizontal="center" vertical="center" wrapText="1"/>
    </xf>
    <xf numFmtId="0" fontId="28" fillId="0" borderId="0" xfId="6" applyFont="1" applyAlignment="1" applyProtection="1">
      <alignment vertical="center" wrapText="1"/>
      <protection locked="0"/>
    </xf>
    <xf numFmtId="0" fontId="27" fillId="0" borderId="0" xfId="6" applyFont="1" applyAlignment="1" applyProtection="1">
      <alignment vertical="center" wrapText="1"/>
      <protection locked="0"/>
    </xf>
    <xf numFmtId="0" fontId="19" fillId="0" borderId="0" xfId="6" applyFont="1" applyAlignment="1" applyProtection="1">
      <alignment vertical="center" wrapText="1"/>
      <protection locked="0"/>
    </xf>
    <xf numFmtId="0" fontId="22" fillId="0" borderId="0" xfId="6" applyFont="1" applyAlignment="1" applyProtection="1">
      <alignment vertical="center" wrapText="1"/>
      <protection locked="0"/>
    </xf>
    <xf numFmtId="0" fontId="24" fillId="8" borderId="4" xfId="6" applyFont="1" applyFill="1" applyBorder="1" applyAlignment="1" applyProtection="1">
      <alignment horizontal="center" vertical="center"/>
      <protection locked="0"/>
    </xf>
    <xf numFmtId="0" fontId="24" fillId="8" borderId="5" xfId="6" applyFont="1" applyFill="1" applyBorder="1" applyAlignment="1" applyProtection="1">
      <alignment horizontal="center" vertical="center"/>
      <protection locked="0"/>
    </xf>
    <xf numFmtId="0" fontId="24" fillId="8" borderId="6" xfId="6" applyFont="1" applyFill="1" applyBorder="1" applyAlignment="1" applyProtection="1">
      <alignment horizontal="center" vertical="center"/>
      <protection locked="0"/>
    </xf>
    <xf numFmtId="0" fontId="24" fillId="8" borderId="8" xfId="6" applyFont="1" applyFill="1" applyBorder="1" applyAlignment="1" applyProtection="1">
      <alignment horizontal="center" vertical="center"/>
      <protection locked="0"/>
    </xf>
    <xf numFmtId="0" fontId="24" fillId="8" borderId="9" xfId="6" applyFont="1" applyFill="1" applyBorder="1" applyAlignment="1" applyProtection="1">
      <alignment horizontal="center" vertical="center"/>
      <protection locked="0"/>
    </xf>
    <xf numFmtId="0" fontId="24" fillId="8" borderId="10" xfId="6" applyFont="1" applyFill="1" applyBorder="1" applyAlignment="1" applyProtection="1">
      <alignment horizontal="center" vertical="center"/>
      <protection locked="0"/>
    </xf>
    <xf numFmtId="0" fontId="24" fillId="8" borderId="7" xfId="6" applyFont="1" applyFill="1" applyBorder="1" applyAlignment="1" applyProtection="1">
      <alignment horizontal="center" vertical="center" wrapText="1"/>
      <protection locked="0"/>
    </xf>
    <xf numFmtId="0" fontId="25" fillId="8" borderId="4" xfId="6" applyFont="1" applyFill="1" applyBorder="1" applyAlignment="1" applyProtection="1">
      <alignment horizontal="center" vertical="center"/>
      <protection locked="0"/>
    </xf>
    <xf numFmtId="0" fontId="25" fillId="8" borderId="5" xfId="6" applyFont="1" applyFill="1" applyBorder="1" applyAlignment="1" applyProtection="1">
      <alignment horizontal="center" vertical="center"/>
      <protection locked="0"/>
    </xf>
    <xf numFmtId="0" fontId="25" fillId="8" borderId="8" xfId="6" applyFont="1" applyFill="1" applyBorder="1" applyAlignment="1" applyProtection="1">
      <alignment horizontal="center" vertical="center"/>
      <protection locked="0"/>
    </xf>
    <xf numFmtId="0" fontId="25" fillId="8" borderId="9" xfId="6" applyFont="1" applyFill="1" applyBorder="1" applyAlignment="1" applyProtection="1">
      <alignment horizontal="center" vertical="center"/>
      <protection locked="0"/>
    </xf>
    <xf numFmtId="0" fontId="24" fillId="8" borderId="7" xfId="6" applyFont="1" applyFill="1" applyBorder="1" applyAlignment="1" applyProtection="1">
      <alignment horizontal="center" vertical="center"/>
      <protection locked="0"/>
    </xf>
    <xf numFmtId="0" fontId="23" fillId="7" borderId="0" xfId="6" applyFont="1" applyFill="1" applyAlignment="1">
      <alignment horizontal="center" vertical="center" wrapText="1"/>
    </xf>
    <xf numFmtId="0" fontId="24" fillId="8" borderId="4" xfId="6" applyFont="1" applyFill="1" applyBorder="1" applyAlignment="1" applyProtection="1">
      <alignment horizontal="center" vertical="center" wrapText="1"/>
      <protection locked="0"/>
    </xf>
    <xf numFmtId="0" fontId="24" fillId="8" borderId="5" xfId="6" applyFont="1" applyFill="1" applyBorder="1" applyAlignment="1" applyProtection="1">
      <alignment horizontal="center" vertical="center" wrapText="1"/>
      <protection locked="0"/>
    </xf>
    <xf numFmtId="0" fontId="24" fillId="8" borderId="6" xfId="6" applyFont="1" applyFill="1" applyBorder="1" applyAlignment="1" applyProtection="1">
      <alignment horizontal="center" vertical="center" wrapText="1"/>
      <protection locked="0"/>
    </xf>
    <xf numFmtId="0" fontId="24" fillId="8" borderId="8" xfId="6" applyFont="1" applyFill="1" applyBorder="1" applyAlignment="1" applyProtection="1">
      <alignment horizontal="center" vertical="center" wrapText="1"/>
      <protection locked="0"/>
    </xf>
    <xf numFmtId="0" fontId="24" fillId="8" borderId="9" xfId="6" applyFont="1" applyFill="1" applyBorder="1" applyAlignment="1" applyProtection="1">
      <alignment horizontal="center" vertical="center" wrapText="1"/>
      <protection locked="0"/>
    </xf>
    <xf numFmtId="0" fontId="24" fillId="8" borderId="10" xfId="6" applyFont="1" applyFill="1" applyBorder="1" applyAlignment="1" applyProtection="1">
      <alignment horizontal="center" vertical="center" wrapText="1"/>
      <protection locked="0"/>
    </xf>
    <xf numFmtId="0" fontId="38" fillId="15" borderId="15" xfId="0" applyFont="1" applyFill="1" applyBorder="1" applyAlignment="1">
      <alignment horizontal="center" vertical="center"/>
    </xf>
    <xf numFmtId="0" fontId="38" fillId="15" borderId="18" xfId="0" applyFont="1" applyFill="1" applyBorder="1" applyAlignment="1">
      <alignment horizontal="center" vertical="center"/>
    </xf>
    <xf numFmtId="0" fontId="38" fillId="15" borderId="17" xfId="0" applyFont="1" applyFill="1" applyBorder="1" applyAlignment="1">
      <alignment horizontal="center" vertical="center"/>
    </xf>
    <xf numFmtId="0" fontId="38" fillId="15" borderId="15" xfId="0" applyFont="1" applyFill="1" applyBorder="1" applyAlignment="1">
      <alignment horizontal="left" vertical="center"/>
    </xf>
    <xf numFmtId="0" fontId="38" fillId="15" borderId="17" xfId="0" applyFont="1" applyFill="1" applyBorder="1" applyAlignment="1">
      <alignment horizontal="left" vertical="center"/>
    </xf>
    <xf numFmtId="0" fontId="38" fillId="14" borderId="15" xfId="0" applyFont="1" applyFill="1" applyBorder="1" applyAlignment="1">
      <alignment horizontal="center" vertical="center"/>
    </xf>
    <xf numFmtId="0" fontId="38" fillId="14" borderId="17" xfId="0" applyFont="1" applyFill="1" applyBorder="1" applyAlignment="1">
      <alignment horizontal="center" vertical="center"/>
    </xf>
    <xf numFmtId="0" fontId="38" fillId="14" borderId="15" xfId="0" applyFont="1" applyFill="1" applyBorder="1" applyAlignment="1">
      <alignment horizontal="left" vertical="center"/>
    </xf>
    <xf numFmtId="0" fontId="38" fillId="14" borderId="17" xfId="0" applyFont="1" applyFill="1" applyBorder="1" applyAlignment="1">
      <alignment horizontal="left" vertical="center"/>
    </xf>
    <xf numFmtId="0" fontId="38" fillId="15" borderId="15" xfId="0" applyFont="1" applyFill="1" applyBorder="1" applyAlignment="1">
      <alignment horizontal="center" vertical="center" wrapText="1"/>
    </xf>
    <xf numFmtId="0" fontId="38" fillId="15" borderId="18" xfId="0" applyFont="1" applyFill="1" applyBorder="1" applyAlignment="1">
      <alignment horizontal="center" vertical="center" wrapText="1"/>
    </xf>
    <xf numFmtId="0" fontId="38" fillId="15" borderId="17" xfId="0" applyFont="1" applyFill="1" applyBorder="1" applyAlignment="1">
      <alignment horizontal="center" vertical="center" wrapText="1"/>
    </xf>
    <xf numFmtId="0" fontId="38" fillId="15" borderId="18" xfId="0" applyFont="1" applyFill="1" applyBorder="1" applyAlignment="1">
      <alignment horizontal="left" vertical="center"/>
    </xf>
    <xf numFmtId="0" fontId="38" fillId="14" borderId="18" xfId="0" applyFont="1" applyFill="1" applyBorder="1" applyAlignment="1">
      <alignment horizontal="center" vertical="center"/>
    </xf>
    <xf numFmtId="0" fontId="38" fillId="14" borderId="18" xfId="0" applyFont="1" applyFill="1" applyBorder="1" applyAlignment="1">
      <alignment horizontal="left" vertical="center"/>
    </xf>
    <xf numFmtId="3" fontId="38" fillId="15" borderId="15" xfId="0" applyNumberFormat="1" applyFont="1" applyFill="1" applyBorder="1" applyAlignment="1">
      <alignment horizontal="center" vertical="center"/>
    </xf>
    <xf numFmtId="3" fontId="38" fillId="15" borderId="17" xfId="0" applyNumberFormat="1" applyFont="1" applyFill="1" applyBorder="1" applyAlignment="1">
      <alignment horizontal="center" vertical="center"/>
    </xf>
    <xf numFmtId="0" fontId="38" fillId="14" borderId="15" xfId="0" applyFont="1" applyFill="1" applyBorder="1" applyAlignment="1">
      <alignment horizontal="center" vertical="center" wrapText="1"/>
    </xf>
    <xf numFmtId="0" fontId="38" fillId="14" borderId="17" xfId="0" applyFont="1" applyFill="1" applyBorder="1" applyAlignment="1">
      <alignment horizontal="center" vertical="center" wrapText="1"/>
    </xf>
    <xf numFmtId="0" fontId="38" fillId="14" borderId="15" xfId="0" applyFont="1" applyFill="1" applyBorder="1" applyAlignment="1">
      <alignment horizontal="left" vertical="center" wrapText="1"/>
    </xf>
    <xf numFmtId="0" fontId="38" fillId="14" borderId="18" xfId="0" applyFont="1" applyFill="1" applyBorder="1" applyAlignment="1">
      <alignment horizontal="left" vertical="center" wrapText="1"/>
    </xf>
    <xf numFmtId="0" fontId="38" fillId="14" borderId="17" xfId="0" applyFont="1" applyFill="1" applyBorder="1" applyAlignment="1">
      <alignment horizontal="left" vertical="center" wrapText="1"/>
    </xf>
    <xf numFmtId="0" fontId="15" fillId="14" borderId="15" xfId="0" applyFont="1" applyFill="1" applyBorder="1" applyAlignment="1">
      <alignment horizontal="center" vertical="center"/>
    </xf>
    <xf numFmtId="0" fontId="15" fillId="14" borderId="17" xfId="0" applyFont="1" applyFill="1" applyBorder="1" applyAlignment="1">
      <alignment horizontal="center" vertical="center"/>
    </xf>
    <xf numFmtId="0" fontId="15" fillId="14" borderId="15" xfId="0" applyFont="1" applyFill="1" applyBorder="1" applyAlignment="1">
      <alignment horizontal="left" vertical="center"/>
    </xf>
    <xf numFmtId="0" fontId="15" fillId="14" borderId="17" xfId="0" applyFont="1" applyFill="1" applyBorder="1" applyAlignment="1">
      <alignment horizontal="left" vertical="center"/>
    </xf>
    <xf numFmtId="0" fontId="15" fillId="15" borderId="15" xfId="0" applyFont="1" applyFill="1" applyBorder="1" applyAlignment="1">
      <alignment horizontal="center" vertical="center"/>
    </xf>
    <xf numFmtId="0" fontId="15" fillId="15" borderId="17" xfId="0" applyFont="1" applyFill="1" applyBorder="1" applyAlignment="1">
      <alignment horizontal="center" vertical="center"/>
    </xf>
    <xf numFmtId="0" fontId="15" fillId="15" borderId="15" xfId="0" applyFont="1" applyFill="1" applyBorder="1" applyAlignment="1">
      <alignment horizontal="left" vertical="center"/>
    </xf>
    <xf numFmtId="0" fontId="15" fillId="15" borderId="17" xfId="0" applyFont="1" applyFill="1" applyBorder="1" applyAlignment="1">
      <alignment horizontal="left" vertical="center"/>
    </xf>
    <xf numFmtId="0" fontId="15" fillId="14" borderId="18" xfId="0" applyFont="1" applyFill="1" applyBorder="1" applyAlignment="1">
      <alignment horizontal="center" vertical="center"/>
    </xf>
    <xf numFmtId="0" fontId="15" fillId="14" borderId="15" xfId="0" applyFont="1" applyFill="1" applyBorder="1" applyAlignment="1">
      <alignment horizontal="left" vertical="center" wrapText="1"/>
    </xf>
    <xf numFmtId="0" fontId="15" fillId="14" borderId="18" xfId="0" applyFont="1" applyFill="1" applyBorder="1" applyAlignment="1">
      <alignment horizontal="left" vertical="center" wrapText="1"/>
    </xf>
    <xf numFmtId="0" fontId="15" fillId="14" borderId="17" xfId="0" applyFont="1" applyFill="1" applyBorder="1" applyAlignment="1">
      <alignment horizontal="left" vertical="center" wrapText="1"/>
    </xf>
    <xf numFmtId="0" fontId="15" fillId="15" borderId="18" xfId="0" applyFont="1" applyFill="1" applyBorder="1" applyAlignment="1">
      <alignment horizontal="center" vertical="center"/>
    </xf>
    <xf numFmtId="0" fontId="15" fillId="15" borderId="18" xfId="0" applyFont="1" applyFill="1" applyBorder="1" applyAlignment="1">
      <alignment horizontal="left" vertical="center"/>
    </xf>
    <xf numFmtId="0" fontId="15" fillId="14" borderId="18" xfId="0" applyFont="1" applyFill="1" applyBorder="1" applyAlignment="1">
      <alignment horizontal="left" vertical="center"/>
    </xf>
    <xf numFmtId="0" fontId="38" fillId="15" borderId="15" xfId="0" applyFont="1" applyFill="1" applyBorder="1" applyAlignment="1">
      <alignment horizontal="left" vertical="center" wrapText="1"/>
    </xf>
    <xf numFmtId="0" fontId="38" fillId="15" borderId="17" xfId="0" applyFont="1" applyFill="1" applyBorder="1" applyAlignment="1">
      <alignment horizontal="left" vertical="center" wrapText="1"/>
    </xf>
    <xf numFmtId="0" fontId="38" fillId="15" borderId="18" xfId="0" applyFont="1" applyFill="1" applyBorder="1" applyAlignment="1">
      <alignment horizontal="left" vertical="center" wrapText="1"/>
    </xf>
    <xf numFmtId="17" fontId="37" fillId="12" borderId="13" xfId="0" applyNumberFormat="1" applyFont="1" applyFill="1" applyBorder="1" applyAlignment="1">
      <alignment horizontal="center" vertical="center" wrapText="1"/>
    </xf>
    <xf numFmtId="0" fontId="38" fillId="14" borderId="18" xfId="0" applyFont="1" applyFill="1" applyBorder="1" applyAlignment="1">
      <alignment horizontal="center" vertical="center" wrapText="1"/>
    </xf>
    <xf numFmtId="0" fontId="4" fillId="3" borderId="0" xfId="0" applyFont="1" applyFill="1" applyAlignment="1">
      <alignment horizontal="center" vertical="center"/>
    </xf>
    <xf numFmtId="0" fontId="52" fillId="0" borderId="31" xfId="0" applyFont="1" applyBorder="1" applyAlignment="1">
      <alignment vertical="center"/>
    </xf>
    <xf numFmtId="0" fontId="52" fillId="0" borderId="34" xfId="0" applyFont="1" applyBorder="1" applyAlignment="1">
      <alignment vertical="center"/>
    </xf>
    <xf numFmtId="0" fontId="52" fillId="0" borderId="37" xfId="0" applyFont="1" applyBorder="1" applyAlignment="1">
      <alignment vertical="center"/>
    </xf>
    <xf numFmtId="0" fontId="52" fillId="0" borderId="31" xfId="0" applyFont="1" applyBorder="1" applyAlignment="1">
      <alignment vertical="center" wrapText="1"/>
    </xf>
    <xf numFmtId="0" fontId="52" fillId="0" borderId="34" xfId="0" applyFont="1" applyBorder="1" applyAlignment="1">
      <alignment vertical="center" wrapText="1"/>
    </xf>
    <xf numFmtId="0" fontId="52" fillId="0" borderId="37" xfId="0" applyFont="1" applyBorder="1" applyAlignment="1">
      <alignment vertical="center" wrapText="1"/>
    </xf>
    <xf numFmtId="0" fontId="52" fillId="0" borderId="42" xfId="0" applyFont="1" applyBorder="1" applyAlignment="1">
      <alignment vertical="center" wrapText="1"/>
    </xf>
    <xf numFmtId="0" fontId="14" fillId="4" borderId="44" xfId="0" applyFont="1" applyFill="1" applyBorder="1" applyAlignment="1">
      <alignment horizontal="left" vertical="center"/>
    </xf>
    <xf numFmtId="0" fontId="14" fillId="4" borderId="45" xfId="0" applyFont="1" applyFill="1" applyBorder="1" applyAlignment="1">
      <alignment horizontal="left" vertical="center"/>
    </xf>
    <xf numFmtId="0" fontId="52" fillId="0" borderId="31" xfId="0" applyFont="1" applyBorder="1" applyAlignment="1">
      <alignment horizontal="left" vertical="center"/>
    </xf>
    <xf numFmtId="0" fontId="52" fillId="0" borderId="34" xfId="0" applyFont="1" applyBorder="1" applyAlignment="1">
      <alignment horizontal="left" vertical="center"/>
    </xf>
    <xf numFmtId="0" fontId="52" fillId="0" borderId="37" xfId="0" applyFont="1" applyBorder="1" applyAlignment="1">
      <alignment horizontal="left" vertical="center"/>
    </xf>
    <xf numFmtId="0" fontId="52" fillId="0" borderId="40" xfId="0" applyFont="1" applyBorder="1" applyAlignment="1">
      <alignment horizontal="left" vertical="center"/>
    </xf>
    <xf numFmtId="0" fontId="9" fillId="16" borderId="46" xfId="0" applyFont="1" applyFill="1" applyBorder="1" applyAlignment="1">
      <alignment horizontal="center"/>
    </xf>
    <xf numFmtId="0" fontId="9" fillId="16" borderId="47" xfId="0" applyFont="1" applyFill="1" applyBorder="1" applyAlignment="1">
      <alignment horizontal="center"/>
    </xf>
    <xf numFmtId="0" fontId="9" fillId="22" borderId="46" xfId="0" applyFont="1" applyFill="1" applyBorder="1" applyAlignment="1">
      <alignment horizontal="center"/>
    </xf>
    <xf numFmtId="0" fontId="9" fillId="22" borderId="47" xfId="0" applyFont="1" applyFill="1" applyBorder="1" applyAlignment="1">
      <alignment horizontal="center"/>
    </xf>
    <xf numFmtId="0" fontId="9" fillId="22" borderId="48" xfId="0" applyFont="1" applyFill="1" applyBorder="1" applyAlignment="1">
      <alignment horizontal="center"/>
    </xf>
    <xf numFmtId="0" fontId="9" fillId="11" borderId="2" xfId="0" applyFont="1" applyFill="1" applyBorder="1" applyAlignment="1">
      <alignment horizontal="left" vertical="center"/>
    </xf>
    <xf numFmtId="0" fontId="8" fillId="16" borderId="46" xfId="0" applyFont="1" applyFill="1" applyBorder="1" applyAlignment="1">
      <alignment horizontal="center"/>
    </xf>
    <xf numFmtId="0" fontId="8" fillId="16" borderId="47" xfId="0" applyFont="1" applyFill="1" applyBorder="1" applyAlignment="1">
      <alignment horizontal="center"/>
    </xf>
    <xf numFmtId="0" fontId="8" fillId="16" borderId="48" xfId="0" applyFont="1" applyFill="1" applyBorder="1" applyAlignment="1">
      <alignment horizontal="center"/>
    </xf>
    <xf numFmtId="0" fontId="3" fillId="0" borderId="2" xfId="0" applyFont="1" applyBorder="1" applyAlignment="1">
      <alignment horizontal="center"/>
    </xf>
    <xf numFmtId="0" fontId="73" fillId="27" borderId="2" xfId="0" applyFont="1" applyFill="1" applyBorder="1" applyAlignment="1">
      <alignment horizontal="center"/>
    </xf>
    <xf numFmtId="0" fontId="4" fillId="3" borderId="76" xfId="0" applyFont="1" applyFill="1" applyBorder="1" applyAlignment="1">
      <alignment horizontal="center" vertical="center" wrapText="1"/>
    </xf>
    <xf numFmtId="0" fontId="4" fillId="3" borderId="73" xfId="0" applyFont="1" applyFill="1" applyBorder="1" applyAlignment="1">
      <alignment horizontal="center" vertical="center" wrapText="1"/>
    </xf>
    <xf numFmtId="0" fontId="4" fillId="3" borderId="74" xfId="0" applyFont="1" applyFill="1" applyBorder="1" applyAlignment="1">
      <alignment horizontal="center" vertical="center" wrapText="1"/>
    </xf>
    <xf numFmtId="0" fontId="44" fillId="0" borderId="0" xfId="0" applyFont="1" applyAlignment="1">
      <alignment horizontal="center"/>
    </xf>
    <xf numFmtId="164" fontId="59" fillId="15" borderId="0" xfId="1" applyNumberFormat="1" applyFont="1" applyFill="1" applyAlignment="1">
      <alignment horizontal="center" vertical="center" wrapText="1"/>
    </xf>
    <xf numFmtId="0" fontId="4" fillId="3" borderId="75" xfId="0" applyFont="1" applyFill="1" applyBorder="1" applyAlignment="1">
      <alignment horizontal="center" vertical="center" wrapText="1"/>
    </xf>
    <xf numFmtId="164" fontId="58" fillId="3" borderId="51" xfId="1" applyNumberFormat="1" applyFont="1" applyFill="1" applyBorder="1" applyAlignment="1">
      <alignment horizontal="center" vertical="center" wrapText="1"/>
    </xf>
    <xf numFmtId="164" fontId="58" fillId="3" borderId="49" xfId="1" applyNumberFormat="1" applyFont="1" applyFill="1" applyBorder="1" applyAlignment="1">
      <alignment horizontal="center" vertical="center" wrapText="1"/>
    </xf>
    <xf numFmtId="164" fontId="58" fillId="3" borderId="68" xfId="1" applyNumberFormat="1" applyFont="1" applyFill="1" applyBorder="1" applyAlignment="1">
      <alignment horizontal="center" vertical="center" wrapText="1"/>
    </xf>
    <xf numFmtId="164" fontId="58" fillId="3" borderId="53" xfId="1" applyNumberFormat="1" applyFont="1" applyFill="1" applyBorder="1" applyAlignment="1">
      <alignment horizontal="center" vertical="center" wrapText="1"/>
    </xf>
    <xf numFmtId="0" fontId="59" fillId="15" borderId="68" xfId="1" applyNumberFormat="1" applyFont="1" applyFill="1" applyBorder="1" applyAlignment="1">
      <alignment horizontal="left" vertical="center" wrapText="1"/>
    </xf>
    <xf numFmtId="0" fontId="59" fillId="15" borderId="53" xfId="1" applyNumberFormat="1" applyFont="1" applyFill="1" applyBorder="1" applyAlignment="1">
      <alignment horizontal="left" vertical="center" wrapText="1"/>
    </xf>
    <xf numFmtId="0" fontId="59" fillId="15" borderId="68" xfId="0" applyFont="1" applyFill="1" applyBorder="1" applyAlignment="1">
      <alignment horizontal="left" vertical="center" wrapText="1"/>
    </xf>
    <xf numFmtId="0" fontId="59" fillId="15" borderId="53" xfId="0" applyFont="1" applyFill="1" applyBorder="1" applyAlignment="1">
      <alignment horizontal="left" vertical="center" wrapText="1"/>
    </xf>
    <xf numFmtId="0" fontId="59" fillId="15" borderId="69" xfId="0" applyFont="1" applyFill="1" applyBorder="1" applyAlignment="1">
      <alignment horizontal="left" vertical="center" wrapText="1"/>
    </xf>
    <xf numFmtId="0" fontId="59" fillId="15" borderId="51" xfId="0" applyFont="1" applyFill="1" applyBorder="1" applyAlignment="1">
      <alignment horizontal="left" vertical="center" wrapText="1"/>
    </xf>
    <xf numFmtId="0" fontId="59" fillId="15" borderId="52" xfId="0" applyFont="1" applyFill="1" applyBorder="1" applyAlignment="1">
      <alignment horizontal="left" vertical="center" wrapText="1"/>
    </xf>
    <xf numFmtId="0" fontId="59" fillId="15" borderId="49" xfId="0" applyFont="1" applyFill="1" applyBorder="1" applyAlignment="1">
      <alignment horizontal="left" vertical="center" wrapText="1"/>
    </xf>
    <xf numFmtId="0" fontId="59" fillId="15" borderId="70" xfId="0" applyFont="1" applyFill="1" applyBorder="1" applyAlignment="1">
      <alignment horizontal="left" vertical="center" wrapText="1"/>
    </xf>
    <xf numFmtId="0" fontId="59" fillId="15" borderId="71" xfId="0" applyFont="1" applyFill="1" applyBorder="1" applyAlignment="1">
      <alignment horizontal="left" vertical="center" wrapText="1"/>
    </xf>
    <xf numFmtId="164" fontId="58" fillId="3" borderId="51" xfId="1" applyNumberFormat="1" applyFont="1" applyFill="1" applyBorder="1" applyAlignment="1">
      <alignment horizontal="left" vertical="center" wrapText="1"/>
    </xf>
    <xf numFmtId="164" fontId="58" fillId="3" borderId="49" xfId="1" applyNumberFormat="1" applyFont="1" applyFill="1" applyBorder="1" applyAlignment="1">
      <alignment horizontal="left" vertical="center" wrapText="1"/>
    </xf>
    <xf numFmtId="164" fontId="58" fillId="17" borderId="66" xfId="1" applyNumberFormat="1" applyFont="1" applyFill="1" applyBorder="1" applyAlignment="1">
      <alignment horizontal="left" vertical="center" wrapText="1"/>
    </xf>
    <xf numFmtId="164" fontId="58" fillId="17" borderId="67" xfId="1" applyNumberFormat="1" applyFont="1" applyFill="1" applyBorder="1" applyAlignment="1">
      <alignment horizontal="left" vertical="center" wrapText="1"/>
    </xf>
    <xf numFmtId="164" fontId="58" fillId="17" borderId="52" xfId="1" applyNumberFormat="1" applyFont="1" applyFill="1" applyBorder="1" applyAlignment="1">
      <alignment horizontal="left" vertical="center" wrapText="1"/>
    </xf>
    <xf numFmtId="164" fontId="58" fillId="17" borderId="0" xfId="1" applyNumberFormat="1" applyFont="1" applyFill="1" applyBorder="1" applyAlignment="1">
      <alignment horizontal="left" vertical="center" wrapText="1"/>
    </xf>
    <xf numFmtId="0" fontId="4" fillId="3" borderId="8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72" xfId="0" applyFont="1" applyFill="1" applyBorder="1" applyAlignment="1">
      <alignment horizontal="center" vertical="center" wrapText="1"/>
    </xf>
    <xf numFmtId="164" fontId="58" fillId="3" borderId="0" xfId="1" applyNumberFormat="1" applyFont="1" applyFill="1" applyBorder="1" applyAlignment="1">
      <alignment horizontal="center" vertical="center" wrapText="1"/>
    </xf>
    <xf numFmtId="1" fontId="38" fillId="14" borderId="15" xfId="1" applyNumberFormat="1" applyFont="1" applyFill="1" applyBorder="1" applyAlignment="1">
      <alignment horizontal="center" vertical="center"/>
    </xf>
    <xf numFmtId="1" fontId="38" fillId="14" borderId="18" xfId="1" applyNumberFormat="1" applyFont="1" applyFill="1" applyBorder="1" applyAlignment="1">
      <alignment horizontal="center" vertical="center"/>
    </xf>
    <xf numFmtId="1" fontId="38" fillId="14" borderId="17" xfId="1" applyNumberFormat="1" applyFont="1" applyFill="1" applyBorder="1" applyAlignment="1">
      <alignment horizontal="center" vertical="center"/>
    </xf>
    <xf numFmtId="0" fontId="24" fillId="7" borderId="20" xfId="0" applyFont="1" applyFill="1" applyBorder="1" applyAlignment="1" applyProtection="1">
      <alignment horizontal="center" vertical="center" wrapText="1"/>
      <protection locked="0"/>
    </xf>
    <xf numFmtId="0" fontId="24" fillId="7" borderId="21" xfId="0" applyFont="1" applyFill="1" applyBorder="1" applyAlignment="1" applyProtection="1">
      <alignment horizontal="center" vertical="center" wrapText="1"/>
      <protection locked="0"/>
    </xf>
    <xf numFmtId="0" fontId="24" fillId="7" borderId="22" xfId="0" applyFont="1" applyFill="1" applyBorder="1" applyAlignment="1" applyProtection="1">
      <alignment horizontal="center" vertical="center" wrapText="1"/>
      <protection locked="0"/>
    </xf>
    <xf numFmtId="0" fontId="38" fillId="14" borderId="24" xfId="0" applyFont="1" applyFill="1" applyBorder="1" applyAlignment="1">
      <alignment horizontal="center" vertical="center"/>
    </xf>
    <xf numFmtId="0" fontId="38" fillId="14" borderId="24" xfId="0" applyFont="1" applyFill="1" applyBorder="1" applyAlignment="1">
      <alignment horizontal="left" vertical="center" wrapText="1"/>
    </xf>
    <xf numFmtId="0" fontId="24" fillId="7" borderId="7" xfId="0" applyFont="1" applyFill="1" applyBorder="1" applyAlignment="1" applyProtection="1">
      <alignment horizontal="center" vertical="center" wrapText="1"/>
      <protection locked="0"/>
    </xf>
    <xf numFmtId="0" fontId="24" fillId="7" borderId="12" xfId="0" applyFont="1" applyFill="1" applyBorder="1" applyAlignment="1" applyProtection="1">
      <alignment horizontal="center" vertical="center" wrapText="1"/>
      <protection locked="0"/>
    </xf>
    <xf numFmtId="43" fontId="38" fillId="14" borderId="15" xfId="1" applyFont="1" applyFill="1" applyBorder="1" applyAlignment="1">
      <alignment horizontal="center" vertical="center"/>
    </xf>
    <xf numFmtId="43" fontId="38" fillId="14" borderId="17" xfId="1" applyFont="1" applyFill="1" applyBorder="1" applyAlignment="1">
      <alignment horizontal="center" vertical="center"/>
    </xf>
    <xf numFmtId="0" fontId="24" fillId="7" borderId="19" xfId="0" applyFont="1" applyFill="1" applyBorder="1" applyAlignment="1" applyProtection="1">
      <alignment horizontal="center" vertical="center" wrapText="1"/>
      <protection locked="0"/>
    </xf>
    <xf numFmtId="0" fontId="38" fillId="14" borderId="24" xfId="0" applyFont="1" applyFill="1" applyBorder="1" applyAlignment="1">
      <alignment horizontal="center" vertical="center" wrapText="1"/>
    </xf>
    <xf numFmtId="0" fontId="24" fillId="7" borderId="26" xfId="0" applyFont="1" applyFill="1" applyBorder="1" applyAlignment="1" applyProtection="1">
      <alignment horizontal="center" vertical="center" wrapText="1"/>
      <protection locked="0"/>
    </xf>
    <xf numFmtId="0" fontId="24" fillId="7" borderId="25" xfId="0" applyFont="1" applyFill="1" applyBorder="1" applyAlignment="1" applyProtection="1">
      <alignment horizontal="center" vertical="center" wrapText="1"/>
      <protection locked="0"/>
    </xf>
    <xf numFmtId="0" fontId="24" fillId="7" borderId="27" xfId="0" applyFont="1" applyFill="1" applyBorder="1" applyAlignment="1" applyProtection="1">
      <alignment horizontal="center" vertical="center" wrapText="1"/>
      <protection locked="0"/>
    </xf>
    <xf numFmtId="0" fontId="24" fillId="7" borderId="4" xfId="0" applyFont="1" applyFill="1" applyBorder="1" applyAlignment="1" applyProtection="1">
      <alignment horizontal="center" vertical="center" wrapText="1"/>
      <protection locked="0"/>
    </xf>
    <xf numFmtId="0" fontId="24" fillId="7" borderId="8" xfId="0" applyFont="1" applyFill="1" applyBorder="1" applyAlignment="1" applyProtection="1">
      <alignment horizontal="center" vertical="center" wrapText="1"/>
      <protection locked="0"/>
    </xf>
    <xf numFmtId="0" fontId="24" fillId="7" borderId="6" xfId="0" applyFont="1" applyFill="1" applyBorder="1" applyAlignment="1" applyProtection="1">
      <alignment horizontal="center" vertical="center" wrapText="1"/>
      <protection locked="0"/>
    </xf>
    <xf numFmtId="0" fontId="24" fillId="7" borderId="10" xfId="0" applyFont="1" applyFill="1" applyBorder="1" applyAlignment="1" applyProtection="1">
      <alignment horizontal="center" vertical="center" wrapText="1"/>
      <protection locked="0"/>
    </xf>
    <xf numFmtId="0" fontId="46" fillId="7" borderId="25" xfId="6" applyFont="1" applyFill="1" applyBorder="1" applyAlignment="1" applyProtection="1">
      <alignment horizontal="center" vertical="center" wrapText="1"/>
      <protection locked="0"/>
    </xf>
    <xf numFmtId="0" fontId="46" fillId="7" borderId="27" xfId="6" applyFont="1" applyFill="1" applyBorder="1" applyAlignment="1" applyProtection="1">
      <alignment horizontal="center" vertical="center" wrapText="1"/>
      <protection locked="0"/>
    </xf>
    <xf numFmtId="0" fontId="46" fillId="7" borderId="12" xfId="6" applyFont="1" applyFill="1" applyBorder="1" applyAlignment="1" applyProtection="1">
      <alignment horizontal="center" vertical="center" wrapText="1"/>
      <protection locked="0"/>
    </xf>
    <xf numFmtId="0" fontId="46" fillId="7" borderId="26" xfId="6" applyFont="1" applyFill="1" applyBorder="1" applyAlignment="1" applyProtection="1">
      <alignment horizontal="center" vertical="center" wrapText="1"/>
      <protection locked="0"/>
    </xf>
    <xf numFmtId="0" fontId="46" fillId="7" borderId="19" xfId="6" applyFont="1" applyFill="1" applyBorder="1" applyAlignment="1" applyProtection="1">
      <alignment horizontal="center" vertical="center" wrapText="1"/>
      <protection locked="0"/>
    </xf>
    <xf numFmtId="0" fontId="10" fillId="0" borderId="62" xfId="0" applyFont="1" applyBorder="1" applyAlignment="1">
      <alignment horizontal="center"/>
    </xf>
    <xf numFmtId="0" fontId="10" fillId="0" borderId="63" xfId="0" applyFont="1" applyBorder="1" applyAlignment="1">
      <alignment horizontal="center"/>
    </xf>
    <xf numFmtId="0" fontId="10" fillId="0" borderId="64" xfId="0" applyFont="1" applyBorder="1" applyAlignment="1">
      <alignment horizontal="center"/>
    </xf>
    <xf numFmtId="0" fontId="86" fillId="0" borderId="63" xfId="0" applyFont="1" applyBorder="1" applyAlignment="1">
      <alignment vertical="center" wrapText="1"/>
    </xf>
    <xf numFmtId="0" fontId="86" fillId="0" borderId="64" xfId="0" applyFont="1" applyBorder="1" applyAlignment="1">
      <alignment vertical="center" wrapText="1"/>
    </xf>
    <xf numFmtId="0" fontId="86" fillId="0" borderId="62" xfId="0" applyFont="1" applyBorder="1" applyAlignment="1">
      <alignment horizontal="center" vertical="center" wrapText="1"/>
    </xf>
    <xf numFmtId="0" fontId="86" fillId="0" borderId="63" xfId="0" applyFont="1" applyBorder="1" applyAlignment="1">
      <alignment horizontal="center" vertical="center" wrapText="1"/>
    </xf>
    <xf numFmtId="0" fontId="86" fillId="0" borderId="64" xfId="0" applyFont="1" applyBorder="1" applyAlignment="1">
      <alignment horizontal="center" vertical="center" wrapText="1"/>
    </xf>
    <xf numFmtId="9" fontId="86" fillId="0" borderId="62" xfId="0" applyNumberFormat="1" applyFont="1" applyBorder="1" applyAlignment="1">
      <alignment horizontal="center" vertical="center" wrapText="1"/>
    </xf>
    <xf numFmtId="9" fontId="86" fillId="0" borderId="63" xfId="0" applyNumberFormat="1" applyFont="1" applyBorder="1" applyAlignment="1">
      <alignment horizontal="center" vertical="center" wrapText="1"/>
    </xf>
    <xf numFmtId="9" fontId="86" fillId="0" borderId="64" xfId="0" applyNumberFormat="1" applyFont="1" applyBorder="1" applyAlignment="1">
      <alignment horizontal="center" vertical="center" wrapText="1"/>
    </xf>
    <xf numFmtId="0" fontId="86" fillId="0" borderId="62" xfId="0" applyFont="1" applyBorder="1" applyAlignment="1">
      <alignment vertical="center" wrapText="1"/>
    </xf>
    <xf numFmtId="0" fontId="84" fillId="4" borderId="62" xfId="0" applyFont="1" applyFill="1" applyBorder="1" applyAlignment="1">
      <alignment vertical="center" wrapText="1"/>
    </xf>
    <xf numFmtId="0" fontId="84" fillId="4" borderId="63" xfId="0" applyFont="1" applyFill="1" applyBorder="1" applyAlignment="1">
      <alignment vertical="center" wrapText="1"/>
    </xf>
    <xf numFmtId="0" fontId="84" fillId="4" borderId="64" xfId="0" applyFont="1" applyFill="1" applyBorder="1" applyAlignment="1">
      <alignment vertical="center" wrapText="1"/>
    </xf>
    <xf numFmtId="0" fontId="86" fillId="0" borderId="62" xfId="0" applyFont="1" applyBorder="1" applyAlignment="1">
      <alignment horizontal="justify" vertical="center" wrapText="1"/>
    </xf>
    <xf numFmtId="0" fontId="86" fillId="0" borderId="64" xfId="0" applyFont="1" applyBorder="1" applyAlignment="1">
      <alignment horizontal="justify" vertical="center" wrapText="1"/>
    </xf>
    <xf numFmtId="0" fontId="84" fillId="32" borderId="62" xfId="0" applyFont="1" applyFill="1" applyBorder="1" applyAlignment="1">
      <alignment horizontal="center" vertical="center" wrapText="1"/>
    </xf>
    <xf numFmtId="0" fontId="84" fillId="32" borderId="63" xfId="0" applyFont="1" applyFill="1" applyBorder="1" applyAlignment="1">
      <alignment horizontal="center" vertical="center" wrapText="1"/>
    </xf>
    <xf numFmtId="0" fontId="84" fillId="32" borderId="64" xfId="0" applyFont="1" applyFill="1" applyBorder="1" applyAlignment="1">
      <alignment horizontal="center" vertical="center" wrapText="1"/>
    </xf>
    <xf numFmtId="0" fontId="84" fillId="4" borderId="62" xfId="0" applyFont="1" applyFill="1" applyBorder="1" applyAlignment="1">
      <alignment horizontal="center" vertical="center" wrapText="1"/>
    </xf>
    <xf numFmtId="0" fontId="84" fillId="4" borderId="64" xfId="0" applyFont="1" applyFill="1" applyBorder="1" applyAlignment="1">
      <alignment horizontal="center" vertical="center" wrapText="1"/>
    </xf>
    <xf numFmtId="0" fontId="84" fillId="4" borderId="63" xfId="0" applyFont="1" applyFill="1" applyBorder="1" applyAlignment="1">
      <alignment horizontal="center" vertical="center" wrapText="1"/>
    </xf>
    <xf numFmtId="17" fontId="86" fillId="0" borderId="88" xfId="0" applyNumberFormat="1" applyFont="1" applyBorder="1" applyAlignment="1">
      <alignment horizontal="center" vertical="center" wrapText="1"/>
    </xf>
    <xf numFmtId="17" fontId="86" fillId="0" borderId="91" xfId="0" applyNumberFormat="1" applyFont="1" applyBorder="1" applyAlignment="1">
      <alignment horizontal="center" vertical="center" wrapText="1"/>
    </xf>
    <xf numFmtId="17" fontId="86" fillId="0" borderId="87" xfId="0" applyNumberFormat="1" applyFont="1" applyBorder="1" applyAlignment="1">
      <alignment horizontal="center" vertical="center" wrapText="1"/>
    </xf>
    <xf numFmtId="0" fontId="86" fillId="0" borderId="88" xfId="0" applyFont="1" applyBorder="1" applyAlignment="1">
      <alignment vertical="center" wrapText="1"/>
    </xf>
    <xf numFmtId="0" fontId="86" fillId="0" borderId="91" xfId="0" applyFont="1" applyBorder="1" applyAlignment="1">
      <alignment vertical="center" wrapText="1"/>
    </xf>
    <xf numFmtId="0" fontId="86" fillId="0" borderId="87" xfId="0" applyFont="1" applyBorder="1" applyAlignment="1">
      <alignment vertical="center" wrapText="1"/>
    </xf>
    <xf numFmtId="0" fontId="86" fillId="0" borderId="88" xfId="0" applyFont="1" applyBorder="1" applyAlignment="1">
      <alignment horizontal="center" vertical="center" wrapText="1"/>
    </xf>
    <xf numFmtId="0" fontId="86" fillId="0" borderId="87" xfId="0" applyFont="1" applyBorder="1" applyAlignment="1">
      <alignment horizontal="center" vertical="center" wrapText="1"/>
    </xf>
    <xf numFmtId="0" fontId="83" fillId="0" borderId="62" xfId="0" applyFont="1" applyBorder="1" applyAlignment="1">
      <alignment vertical="center" wrapText="1"/>
    </xf>
    <xf numFmtId="0" fontId="83" fillId="0" borderId="64" xfId="0" applyFont="1" applyBorder="1" applyAlignment="1">
      <alignment vertical="center" wrapText="1"/>
    </xf>
    <xf numFmtId="17" fontId="86" fillId="0" borderId="62" xfId="0" applyNumberFormat="1" applyFont="1" applyBorder="1" applyAlignment="1">
      <alignment vertical="center" wrapText="1"/>
    </xf>
    <xf numFmtId="17" fontId="86" fillId="0" borderId="64" xfId="0" applyNumberFormat="1" applyFont="1" applyBorder="1" applyAlignment="1">
      <alignment vertical="center" wrapText="1"/>
    </xf>
    <xf numFmtId="0" fontId="89" fillId="0" borderId="62" xfId="0" applyFont="1" applyBorder="1" applyAlignment="1">
      <alignment horizontal="justify" vertical="center" wrapText="1"/>
    </xf>
    <xf numFmtId="0" fontId="89" fillId="0" borderId="64" xfId="0" applyFont="1" applyBorder="1" applyAlignment="1">
      <alignment horizontal="justify" vertical="center" wrapText="1"/>
    </xf>
    <xf numFmtId="0" fontId="86" fillId="0" borderId="81" xfId="0" applyFont="1" applyBorder="1" applyAlignment="1">
      <alignment horizontal="justify" vertical="center" wrapText="1"/>
    </xf>
    <xf numFmtId="0" fontId="86" fillId="0" borderId="83" xfId="0" applyFont="1" applyBorder="1" applyAlignment="1">
      <alignment horizontal="justify" vertical="center" wrapText="1"/>
    </xf>
    <xf numFmtId="0" fontId="86" fillId="0" borderId="81" xfId="0" applyFont="1" applyBorder="1" applyAlignment="1">
      <alignment vertical="center" wrapText="1"/>
    </xf>
    <xf numFmtId="0" fontId="86" fillId="0" borderId="83" xfId="0" applyFont="1" applyBorder="1" applyAlignment="1">
      <alignment vertical="center" wrapText="1"/>
    </xf>
    <xf numFmtId="0" fontId="86" fillId="0" borderId="84" xfId="0" applyFont="1" applyBorder="1" applyAlignment="1">
      <alignment vertical="center" wrapText="1"/>
    </xf>
    <xf numFmtId="0" fontId="86" fillId="0" borderId="86" xfId="0" applyFont="1" applyBorder="1" applyAlignment="1">
      <alignment vertical="center" wrapText="1"/>
    </xf>
    <xf numFmtId="9" fontId="86" fillId="0" borderId="88" xfId="0" applyNumberFormat="1" applyFont="1" applyBorder="1" applyAlignment="1">
      <alignment horizontal="center" vertical="center" wrapText="1"/>
    </xf>
    <xf numFmtId="9" fontId="86" fillId="0" borderId="87" xfId="0" applyNumberFormat="1" applyFont="1" applyBorder="1" applyAlignment="1">
      <alignment horizontal="center" vertical="center" wrapText="1"/>
    </xf>
    <xf numFmtId="0" fontId="86" fillId="0" borderId="84" xfId="0" applyFont="1" applyBorder="1" applyAlignment="1">
      <alignment horizontal="justify" vertical="center" wrapText="1"/>
    </xf>
    <xf numFmtId="0" fontId="86" fillId="0" borderId="86" xfId="0" applyFont="1" applyBorder="1" applyAlignment="1">
      <alignment horizontal="justify" vertical="center" wrapText="1"/>
    </xf>
    <xf numFmtId="0" fontId="83" fillId="0" borderId="88" xfId="0" applyFont="1" applyBorder="1" applyAlignment="1">
      <alignment horizontal="center" vertical="center" wrapText="1"/>
    </xf>
    <xf numFmtId="0" fontId="83" fillId="0" borderId="91" xfId="0" applyFont="1" applyBorder="1" applyAlignment="1">
      <alignment horizontal="center" vertical="center" wrapText="1"/>
    </xf>
    <xf numFmtId="0" fontId="83" fillId="0" borderId="87" xfId="0" applyFont="1" applyBorder="1" applyAlignment="1">
      <alignment horizontal="center" vertical="center" wrapText="1"/>
    </xf>
    <xf numFmtId="0" fontId="86" fillId="0" borderId="90" xfId="0" applyFont="1" applyBorder="1" applyAlignment="1">
      <alignment vertical="center" wrapText="1"/>
    </xf>
    <xf numFmtId="0" fontId="86" fillId="0" borderId="89" xfId="0" applyFont="1" applyBorder="1" applyAlignment="1">
      <alignment vertical="center" wrapText="1"/>
    </xf>
    <xf numFmtId="9" fontId="86" fillId="0" borderId="81" xfId="0" applyNumberFormat="1" applyFont="1" applyBorder="1" applyAlignment="1">
      <alignment horizontal="center" vertical="center" wrapText="1"/>
    </xf>
    <xf numFmtId="9" fontId="86" fillId="0" borderId="83" xfId="0" applyNumberFormat="1" applyFont="1" applyBorder="1" applyAlignment="1">
      <alignment horizontal="center" vertical="center" wrapText="1"/>
    </xf>
    <xf numFmtId="9" fontId="86" fillId="0" borderId="90" xfId="0" applyNumberFormat="1" applyFont="1" applyBorder="1" applyAlignment="1">
      <alignment horizontal="center" vertical="center" wrapText="1"/>
    </xf>
    <xf numFmtId="9" fontId="86" fillId="0" borderId="89" xfId="0" applyNumberFormat="1" applyFont="1" applyBorder="1" applyAlignment="1">
      <alignment horizontal="center" vertical="center" wrapText="1"/>
    </xf>
    <xf numFmtId="9" fontId="86" fillId="0" borderId="84" xfId="0" applyNumberFormat="1" applyFont="1" applyBorder="1" applyAlignment="1">
      <alignment horizontal="center" vertical="center" wrapText="1"/>
    </xf>
    <xf numFmtId="9" fontId="86" fillId="0" borderId="86" xfId="0" applyNumberFormat="1" applyFont="1" applyBorder="1" applyAlignment="1">
      <alignment horizontal="center" vertical="center" wrapText="1"/>
    </xf>
    <xf numFmtId="0" fontId="86" fillId="0" borderId="88" xfId="0" applyFont="1" applyBorder="1" applyAlignment="1">
      <alignment horizontal="justify" vertical="center" wrapText="1"/>
    </xf>
    <xf numFmtId="0" fontId="86" fillId="0" borderId="87" xfId="0" applyFont="1" applyBorder="1" applyAlignment="1">
      <alignment horizontal="justify" vertical="center" wrapText="1"/>
    </xf>
    <xf numFmtId="0" fontId="84" fillId="4" borderId="84" xfId="0" applyFont="1" applyFill="1" applyBorder="1" applyAlignment="1">
      <alignment vertical="center" wrapText="1"/>
    </xf>
    <xf numFmtId="0" fontId="84" fillId="4" borderId="85" xfId="0" applyFont="1" applyFill="1" applyBorder="1" applyAlignment="1">
      <alignment vertical="center" wrapText="1"/>
    </xf>
    <xf numFmtId="0" fontId="84" fillId="4" borderId="86" xfId="0" applyFont="1" applyFill="1" applyBorder="1" applyAlignment="1">
      <alignment vertical="center" wrapText="1"/>
    </xf>
    <xf numFmtId="9" fontId="86" fillId="0" borderId="88" xfId="0" applyNumberFormat="1" applyFont="1" applyBorder="1" applyAlignment="1">
      <alignment vertical="center" wrapText="1"/>
    </xf>
    <xf numFmtId="9" fontId="86" fillId="0" borderId="87" xfId="0" applyNumberFormat="1" applyFont="1" applyBorder="1" applyAlignment="1">
      <alignment vertical="center" wrapText="1"/>
    </xf>
    <xf numFmtId="0" fontId="84" fillId="32" borderId="62" xfId="0" applyFont="1" applyFill="1" applyBorder="1" applyAlignment="1">
      <alignment vertical="center" wrapText="1"/>
    </xf>
    <xf numFmtId="0" fontId="84" fillId="32" borderId="63" xfId="0" applyFont="1" applyFill="1" applyBorder="1" applyAlignment="1">
      <alignment vertical="center" wrapText="1"/>
    </xf>
    <xf numFmtId="0" fontId="84" fillId="32" borderId="64" xfId="0" applyFont="1" applyFill="1" applyBorder="1" applyAlignment="1">
      <alignment vertical="center" wrapText="1"/>
    </xf>
    <xf numFmtId="9" fontId="86" fillId="0" borderId="91" xfId="0" applyNumberFormat="1" applyFont="1" applyBorder="1" applyAlignment="1">
      <alignment vertical="center" wrapText="1"/>
    </xf>
    <xf numFmtId="0" fontId="84" fillId="32" borderId="81" xfId="0" applyFont="1" applyFill="1" applyBorder="1" applyAlignment="1">
      <alignment horizontal="center" vertical="center" wrapText="1"/>
    </xf>
    <xf numFmtId="0" fontId="84" fillId="32" borderId="82" xfId="0" applyFont="1" applyFill="1" applyBorder="1" applyAlignment="1">
      <alignment horizontal="center" vertical="center" wrapText="1"/>
    </xf>
    <xf numFmtId="0" fontId="84" fillId="32" borderId="83" xfId="0" applyFont="1" applyFill="1" applyBorder="1" applyAlignment="1">
      <alignment horizontal="center" vertical="center" wrapText="1"/>
    </xf>
    <xf numFmtId="0" fontId="84" fillId="32" borderId="84" xfId="0" applyFont="1" applyFill="1" applyBorder="1" applyAlignment="1">
      <alignment horizontal="center" vertical="center" wrapText="1"/>
    </xf>
    <xf numFmtId="0" fontId="84" fillId="32" borderId="85" xfId="0" applyFont="1" applyFill="1" applyBorder="1" applyAlignment="1">
      <alignment horizontal="center" vertical="center" wrapText="1"/>
    </xf>
    <xf numFmtId="0" fontId="84" fillId="32" borderId="86" xfId="0" applyFont="1" applyFill="1" applyBorder="1" applyAlignment="1">
      <alignment horizontal="center" vertical="center" wrapText="1"/>
    </xf>
    <xf numFmtId="9" fontId="86" fillId="0" borderId="62" xfId="0" applyNumberFormat="1" applyFont="1" applyBorder="1" applyAlignment="1">
      <alignment vertical="center" wrapText="1"/>
    </xf>
    <xf numFmtId="9" fontId="86" fillId="0" borderId="64" xfId="0" applyNumberFormat="1" applyFont="1" applyBorder="1" applyAlignment="1">
      <alignment vertical="center" wrapText="1"/>
    </xf>
    <xf numFmtId="0" fontId="38" fillId="15" borderId="97" xfId="0" applyFont="1" applyFill="1" applyBorder="1" applyAlignment="1">
      <alignment horizontal="center" vertical="center"/>
    </xf>
    <xf numFmtId="0" fontId="38" fillId="15" borderId="0" xfId="0" applyFont="1" applyFill="1" applyAlignment="1">
      <alignment horizontal="center" vertical="center"/>
    </xf>
    <xf numFmtId="0" fontId="38" fillId="14" borderId="96" xfId="0" applyFont="1" applyFill="1" applyBorder="1" applyAlignment="1">
      <alignment horizontal="center" vertical="center"/>
    </xf>
    <xf numFmtId="0" fontId="37" fillId="12" borderId="99" xfId="0" applyFont="1" applyFill="1" applyBorder="1" applyAlignment="1">
      <alignment horizontal="center" vertical="center" wrapText="1"/>
    </xf>
    <xf numFmtId="0" fontId="37" fillId="12" borderId="100" xfId="0" applyFont="1" applyFill="1" applyBorder="1" applyAlignment="1">
      <alignment horizontal="center" vertical="center" wrapText="1"/>
    </xf>
    <xf numFmtId="0" fontId="37" fillId="12" borderId="101" xfId="0" applyFont="1" applyFill="1" applyBorder="1" applyAlignment="1">
      <alignment horizontal="center" vertical="center" wrapText="1"/>
    </xf>
    <xf numFmtId="0" fontId="38" fillId="11" borderId="99" xfId="0" applyFont="1" applyFill="1" applyBorder="1" applyAlignment="1">
      <alignment horizontal="center" vertical="center"/>
    </xf>
    <xf numFmtId="0" fontId="38" fillId="11" borderId="101" xfId="0" applyFont="1" applyFill="1" applyBorder="1" applyAlignment="1">
      <alignment horizontal="center" vertical="center"/>
    </xf>
    <xf numFmtId="0" fontId="37" fillId="12" borderId="97" xfId="0" applyFont="1" applyFill="1" applyBorder="1" applyAlignment="1">
      <alignment horizontal="center" vertical="center" wrapText="1"/>
    </xf>
    <xf numFmtId="0" fontId="95" fillId="24" borderId="99" xfId="0" applyFont="1" applyFill="1" applyBorder="1" applyAlignment="1">
      <alignment horizontal="center" vertical="center" wrapText="1"/>
    </xf>
    <xf numFmtId="0" fontId="95" fillId="24" borderId="100" xfId="0" applyFont="1" applyFill="1" applyBorder="1" applyAlignment="1">
      <alignment horizontal="center" vertical="center" wrapText="1"/>
    </xf>
    <xf numFmtId="0" fontId="95" fillId="24" borderId="101" xfId="0" applyFont="1" applyFill="1" applyBorder="1" applyAlignment="1">
      <alignment horizontal="center" vertical="center" wrapText="1"/>
    </xf>
    <xf numFmtId="164" fontId="37" fillId="12" borderId="98" xfId="1" applyNumberFormat="1" applyFont="1" applyFill="1" applyBorder="1" applyAlignment="1">
      <alignment horizontal="center" vertical="center" wrapText="1"/>
    </xf>
    <xf numFmtId="164" fontId="37" fillId="12" borderId="102" xfId="1" applyNumberFormat="1" applyFont="1" applyFill="1" applyBorder="1" applyAlignment="1">
      <alignment horizontal="center" vertical="center" wrapText="1"/>
    </xf>
    <xf numFmtId="0" fontId="37" fillId="12" borderId="98" xfId="0" applyFont="1" applyFill="1" applyBorder="1" applyAlignment="1">
      <alignment horizontal="center" vertical="center" wrapText="1"/>
    </xf>
    <xf numFmtId="0" fontId="37" fillId="12" borderId="102" xfId="0" applyFont="1" applyFill="1" applyBorder="1" applyAlignment="1">
      <alignment horizontal="center" vertical="center" wrapText="1"/>
    </xf>
  </cellXfs>
  <cellStyles count="11">
    <cellStyle name="Lien hypertexte" xfId="10" builtinId="8"/>
    <cellStyle name="Milliers" xfId="1" builtinId="3"/>
    <cellStyle name="Milliers 3" xfId="8"/>
    <cellStyle name="Normal" xfId="0" builtinId="0"/>
    <cellStyle name="Normal 2" xfId="6"/>
    <cellStyle name="Normal 2 2" xfId="4"/>
    <cellStyle name="Normal 3 2 2" xfId="5"/>
    <cellStyle name="Normal 8" xfId="7"/>
    <cellStyle name="Normal_flux 2020" xfId="9"/>
    <cellStyle name="Pourcentage" xfId="2" builtinId="5"/>
    <cellStyle name="Satisfaisant 2" xfId="3"/>
  </cellStyles>
  <dxfs count="0"/>
  <tableStyles count="0" defaultTableStyle="TableStyleMedium2" defaultPivotStyle="PivotStyleLight16"/>
  <colors>
    <mruColors>
      <color rgb="FFE2EFD9"/>
      <color rgb="FFA4E7E1"/>
      <color rgb="FF748A96"/>
      <color rgb="FF1BA4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microsoft.com/office/2017/10/relationships/person" Target="persons/perso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0</xdr:rowOff>
    </xdr:from>
    <xdr:ext cx="1962150" cy="542925"/>
    <xdr:pic>
      <xdr:nvPicPr>
        <xdr:cNvPr id="2" name="Image 3">
          <a:extLst>
            <a:ext uri="{FF2B5EF4-FFF2-40B4-BE49-F238E27FC236}">
              <a16:creationId xmlns:a16="http://schemas.microsoft.com/office/drawing/2014/main" id="{3BEDF744-FAF2-4FE2-A950-76FBD58984E7}"/>
            </a:ext>
          </a:extLst>
        </xdr:cNvPr>
        <xdr:cNvPicPr>
          <a:picLocks noChangeAspect="1"/>
        </xdr:cNvPicPr>
      </xdr:nvPicPr>
      <xdr:blipFill>
        <a:blip xmlns:r="http://schemas.openxmlformats.org/officeDocument/2006/relationships" r:embed="rId1"/>
        <a:stretch>
          <a:fillRect/>
        </a:stretch>
      </xdr:blipFill>
      <xdr:spPr>
        <a:xfrm>
          <a:off x="152400" y="0"/>
          <a:ext cx="1962150" cy="5429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5</xdr:col>
      <xdr:colOff>0</xdr:colOff>
      <xdr:row>4</xdr:row>
      <xdr:rowOff>0</xdr:rowOff>
    </xdr:from>
    <xdr:ext cx="65" cy="172227"/>
    <xdr:sp macro="" textlink="">
      <xdr:nvSpPr>
        <xdr:cNvPr id="2" name="ZoneTexte 1">
          <a:extLst>
            <a:ext uri="{FF2B5EF4-FFF2-40B4-BE49-F238E27FC236}">
              <a16:creationId xmlns:a16="http://schemas.microsoft.com/office/drawing/2014/main" id="{26181294-52CC-4604-B8C7-98E9F706F2F5}"/>
            </a:ext>
          </a:extLst>
        </xdr:cNvPr>
        <xdr:cNvSpPr txBox="1"/>
      </xdr:nvSpPr>
      <xdr:spPr>
        <a:xfrm>
          <a:off x="13535025" y="723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6</xdr:row>
      <xdr:rowOff>0</xdr:rowOff>
    </xdr:from>
    <xdr:ext cx="65" cy="172227"/>
    <xdr:sp macro="" textlink="">
      <xdr:nvSpPr>
        <xdr:cNvPr id="2" name="ZoneTexte 1">
          <a:extLst>
            <a:ext uri="{FF2B5EF4-FFF2-40B4-BE49-F238E27FC236}">
              <a16:creationId xmlns:a16="http://schemas.microsoft.com/office/drawing/2014/main" id="{DFEA1AA6-8102-42AF-BB4E-780C562A3715}"/>
            </a:ext>
          </a:extLst>
        </xdr:cNvPr>
        <xdr:cNvSpPr txBox="1"/>
      </xdr:nvSpPr>
      <xdr:spPr>
        <a:xfrm>
          <a:off x="9677400" y="15348299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wsDr>
</file>

<file path=xl/persons/person.xml><?xml version="1.0" encoding="utf-8"?>
<personList xmlns="http://schemas.microsoft.com/office/spreadsheetml/2018/threadedcomments" xmlns:x="http://schemas.openxmlformats.org/spreadsheetml/2006/main">
  <person displayName="Caleb Bonyi MUKADI" id="{194077F1-0C75-4CF5-B148-12EACFDEA4BB}" userId="Caleb Bonyi MUKADI" providerId="None"/>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8" dT="2024-08-05T14:29:19.03" personId="{194077F1-0C75-4CF5-B148-12EACFDEA4BB}" id="{12E562CB-4BE3-4B80-9236-4EDF54FAAF3D}">
    <text>Ces flux seront considérés dans le référentiel</text>
  </threadedComment>
  <threadedComment ref="B99" dT="2024-08-05T14:29:48.63" personId="{194077F1-0C75-4CF5-B148-12EACFDEA4BB}" id="{0ABCC48B-591C-4D2E-B837-DBA62915E3C6}">
    <text>Ce flux sera considéré dans le référentiel</text>
  </threadedComment>
</ThreadedComment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www.gecamines.cd/wp-content/uploads/2023/12/ETATS-FINANCIERS-GCM-AGO-2022.pdf" TargetMode="External"/></Relationships>
</file>

<file path=xl/worksheets/_rels/sheet47.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B2:C61"/>
  <sheetViews>
    <sheetView zoomScale="90" zoomScaleNormal="90" workbookViewId="0">
      <selection activeCell="C33" sqref="C33"/>
    </sheetView>
  </sheetViews>
  <sheetFormatPr baseColWidth="10" defaultRowHeight="13.8"/>
  <cols>
    <col min="2" max="2" width="4.69921875" customWidth="1"/>
    <col min="3" max="3" width="109.69921875" bestFit="1" customWidth="1"/>
  </cols>
  <sheetData>
    <row r="2" spans="2:3" ht="14.4" thickBot="1">
      <c r="B2" s="1" t="s">
        <v>3</v>
      </c>
      <c r="C2" s="1" t="s">
        <v>4</v>
      </c>
    </row>
    <row r="3" spans="2:3" ht="14.4" thickTop="1">
      <c r="B3" s="93">
        <v>0</v>
      </c>
      <c r="C3" s="3" t="s">
        <v>6388</v>
      </c>
    </row>
    <row r="4" spans="2:3">
      <c r="B4" s="521">
        <f>B3+1</f>
        <v>1</v>
      </c>
      <c r="C4" s="2" t="s">
        <v>3330</v>
      </c>
    </row>
    <row r="5" spans="2:3">
      <c r="B5" s="93">
        <f t="shared" ref="B5:B59" si="0">B4+1</f>
        <v>2</v>
      </c>
      <c r="C5" s="3" t="s">
        <v>2202</v>
      </c>
    </row>
    <row r="6" spans="2:3">
      <c r="B6" s="521">
        <f t="shared" si="0"/>
        <v>3</v>
      </c>
      <c r="C6" s="2" t="s">
        <v>2203</v>
      </c>
    </row>
    <row r="7" spans="2:3">
      <c r="B7" s="93">
        <f t="shared" si="0"/>
        <v>4</v>
      </c>
      <c r="C7" s="3" t="s">
        <v>2204</v>
      </c>
    </row>
    <row r="8" spans="2:3">
      <c r="B8" s="521">
        <f t="shared" si="0"/>
        <v>5</v>
      </c>
      <c r="C8" s="2" t="s">
        <v>2205</v>
      </c>
    </row>
    <row r="9" spans="2:3">
      <c r="B9" s="93">
        <f t="shared" si="0"/>
        <v>6</v>
      </c>
      <c r="C9" s="3" t="s">
        <v>2206</v>
      </c>
    </row>
    <row r="10" spans="2:3">
      <c r="B10" s="521">
        <f t="shared" si="0"/>
        <v>7</v>
      </c>
      <c r="C10" s="2" t="s">
        <v>2207</v>
      </c>
    </row>
    <row r="11" spans="2:3">
      <c r="B11" s="93">
        <f t="shared" si="0"/>
        <v>8</v>
      </c>
      <c r="C11" s="3" t="s">
        <v>2208</v>
      </c>
    </row>
    <row r="12" spans="2:3">
      <c r="B12" s="521">
        <f t="shared" si="0"/>
        <v>9</v>
      </c>
      <c r="C12" s="2" t="s">
        <v>2209</v>
      </c>
    </row>
    <row r="13" spans="2:3">
      <c r="B13" s="93">
        <f t="shared" si="0"/>
        <v>10</v>
      </c>
      <c r="C13" s="3" t="s">
        <v>2210</v>
      </c>
    </row>
    <row r="14" spans="2:3">
      <c r="B14" s="521">
        <f t="shared" si="0"/>
        <v>11</v>
      </c>
      <c r="C14" s="2" t="s">
        <v>2211</v>
      </c>
    </row>
    <row r="15" spans="2:3">
      <c r="B15" s="93">
        <f t="shared" si="0"/>
        <v>12</v>
      </c>
      <c r="C15" s="3" t="s">
        <v>2212</v>
      </c>
    </row>
    <row r="16" spans="2:3">
      <c r="B16" s="521">
        <f t="shared" si="0"/>
        <v>13</v>
      </c>
      <c r="C16" s="2" t="s">
        <v>2213</v>
      </c>
    </row>
    <row r="17" spans="2:3">
      <c r="B17" s="93">
        <f t="shared" si="0"/>
        <v>14</v>
      </c>
      <c r="C17" s="3" t="s">
        <v>2214</v>
      </c>
    </row>
    <row r="18" spans="2:3">
      <c r="B18" s="521">
        <f t="shared" si="0"/>
        <v>15</v>
      </c>
      <c r="C18" s="2" t="s">
        <v>2325</v>
      </c>
    </row>
    <row r="19" spans="2:3">
      <c r="B19" s="93">
        <f t="shared" si="0"/>
        <v>16</v>
      </c>
      <c r="C19" s="3" t="s">
        <v>2324</v>
      </c>
    </row>
    <row r="20" spans="2:3">
      <c r="B20" s="521">
        <f t="shared" si="0"/>
        <v>17</v>
      </c>
      <c r="C20" s="2" t="s">
        <v>2326</v>
      </c>
    </row>
    <row r="21" spans="2:3">
      <c r="B21" s="93">
        <f t="shared" si="0"/>
        <v>18</v>
      </c>
      <c r="C21" s="3" t="s">
        <v>2437</v>
      </c>
    </row>
    <row r="22" spans="2:3">
      <c r="B22" s="521">
        <f t="shared" si="0"/>
        <v>19</v>
      </c>
      <c r="C22" s="2" t="s">
        <v>2438</v>
      </c>
    </row>
    <row r="23" spans="2:3">
      <c r="B23" s="93">
        <f t="shared" si="0"/>
        <v>20</v>
      </c>
      <c r="C23" s="3" t="s">
        <v>2946</v>
      </c>
    </row>
    <row r="24" spans="2:3">
      <c r="B24" s="521">
        <f t="shared" si="0"/>
        <v>21</v>
      </c>
      <c r="C24" s="2" t="s">
        <v>2947</v>
      </c>
    </row>
    <row r="25" spans="2:3">
      <c r="B25" s="93">
        <f t="shared" si="0"/>
        <v>22</v>
      </c>
      <c r="C25" s="3" t="s">
        <v>2945</v>
      </c>
    </row>
    <row r="26" spans="2:3">
      <c r="B26" s="521">
        <f t="shared" si="0"/>
        <v>23</v>
      </c>
      <c r="C26" s="2" t="s">
        <v>3284</v>
      </c>
    </row>
    <row r="27" spans="2:3">
      <c r="B27" s="93">
        <f t="shared" si="0"/>
        <v>24</v>
      </c>
      <c r="C27" s="3" t="s">
        <v>3136</v>
      </c>
    </row>
    <row r="28" spans="2:3">
      <c r="B28" s="521">
        <f t="shared" si="0"/>
        <v>25</v>
      </c>
      <c r="C28" s="2" t="s">
        <v>3135</v>
      </c>
    </row>
    <row r="29" spans="2:3">
      <c r="B29" s="93">
        <f t="shared" si="0"/>
        <v>26</v>
      </c>
      <c r="C29" s="3" t="s">
        <v>3142</v>
      </c>
    </row>
    <row r="30" spans="2:3">
      <c r="B30" s="521">
        <f t="shared" si="0"/>
        <v>27</v>
      </c>
      <c r="C30" s="2" t="s">
        <v>3148</v>
      </c>
    </row>
    <row r="31" spans="2:3">
      <c r="B31" s="93">
        <f t="shared" si="0"/>
        <v>28</v>
      </c>
      <c r="C31" s="3" t="s">
        <v>3155</v>
      </c>
    </row>
    <row r="32" spans="2:3">
      <c r="B32" s="521">
        <f t="shared" si="0"/>
        <v>29</v>
      </c>
      <c r="C32" s="2" t="s">
        <v>3175</v>
      </c>
    </row>
    <row r="33" spans="2:3">
      <c r="B33" s="93">
        <f t="shared" si="0"/>
        <v>30</v>
      </c>
      <c r="C33" s="3" t="s">
        <v>3245</v>
      </c>
    </row>
    <row r="34" spans="2:3">
      <c r="B34" s="521">
        <f t="shared" si="0"/>
        <v>31</v>
      </c>
      <c r="C34" s="2" t="s">
        <v>3775</v>
      </c>
    </row>
    <row r="35" spans="2:3">
      <c r="B35" s="93">
        <f t="shared" si="0"/>
        <v>32</v>
      </c>
      <c r="C35" s="3" t="s">
        <v>3805</v>
      </c>
    </row>
    <row r="36" spans="2:3">
      <c r="B36" s="521">
        <f t="shared" si="0"/>
        <v>33</v>
      </c>
      <c r="C36" s="2" t="s">
        <v>3806</v>
      </c>
    </row>
    <row r="37" spans="2:3">
      <c r="B37" s="93">
        <f t="shared" si="0"/>
        <v>34</v>
      </c>
      <c r="C37" s="3" t="s">
        <v>3807</v>
      </c>
    </row>
    <row r="38" spans="2:3">
      <c r="B38" s="521">
        <f t="shared" si="0"/>
        <v>35</v>
      </c>
      <c r="C38" s="2" t="s">
        <v>3808</v>
      </c>
    </row>
    <row r="39" spans="2:3">
      <c r="B39" s="93">
        <f t="shared" si="0"/>
        <v>36</v>
      </c>
      <c r="C39" s="3" t="s">
        <v>3809</v>
      </c>
    </row>
    <row r="40" spans="2:3">
      <c r="B40" s="521">
        <f t="shared" si="0"/>
        <v>37</v>
      </c>
      <c r="C40" s="2" t="s">
        <v>3810</v>
      </c>
    </row>
    <row r="41" spans="2:3">
      <c r="B41" s="93">
        <f t="shared" si="0"/>
        <v>38</v>
      </c>
      <c r="C41" s="3" t="s">
        <v>3811</v>
      </c>
    </row>
    <row r="42" spans="2:3">
      <c r="B42" s="521">
        <f t="shared" si="0"/>
        <v>39</v>
      </c>
      <c r="C42" s="2" t="s">
        <v>3812</v>
      </c>
    </row>
    <row r="43" spans="2:3">
      <c r="B43" s="93">
        <f t="shared" si="0"/>
        <v>40</v>
      </c>
      <c r="C43" s="3" t="s">
        <v>3813</v>
      </c>
    </row>
    <row r="44" spans="2:3">
      <c r="B44" s="521">
        <f t="shared" si="0"/>
        <v>41</v>
      </c>
      <c r="C44" s="2" t="s">
        <v>3814</v>
      </c>
    </row>
    <row r="45" spans="2:3">
      <c r="B45" s="93">
        <f t="shared" si="0"/>
        <v>42</v>
      </c>
      <c r="C45" s="3" t="s">
        <v>3815</v>
      </c>
    </row>
    <row r="46" spans="2:3">
      <c r="B46" s="521">
        <f t="shared" si="0"/>
        <v>43</v>
      </c>
      <c r="C46" s="2" t="s">
        <v>3816</v>
      </c>
    </row>
    <row r="47" spans="2:3">
      <c r="B47" s="93">
        <f t="shared" si="0"/>
        <v>44</v>
      </c>
      <c r="C47" s="3" t="s">
        <v>3817</v>
      </c>
    </row>
    <row r="48" spans="2:3">
      <c r="B48" s="521">
        <f t="shared" si="0"/>
        <v>45</v>
      </c>
      <c r="C48" s="2" t="s">
        <v>3818</v>
      </c>
    </row>
    <row r="49" spans="2:3">
      <c r="B49" s="93">
        <f t="shared" si="0"/>
        <v>46</v>
      </c>
      <c r="C49" s="3" t="s">
        <v>3819</v>
      </c>
    </row>
    <row r="50" spans="2:3">
      <c r="B50" s="521">
        <f t="shared" si="0"/>
        <v>47</v>
      </c>
      <c r="C50" s="2" t="s">
        <v>6387</v>
      </c>
    </row>
    <row r="51" spans="2:3">
      <c r="B51" s="93">
        <f t="shared" si="0"/>
        <v>48</v>
      </c>
      <c r="C51" s="3" t="s">
        <v>6386</v>
      </c>
    </row>
    <row r="52" spans="2:3">
      <c r="B52" s="521">
        <f t="shared" si="0"/>
        <v>49</v>
      </c>
      <c r="C52" s="2" t="s">
        <v>6385</v>
      </c>
    </row>
    <row r="53" spans="2:3">
      <c r="B53" s="93">
        <f t="shared" si="0"/>
        <v>50</v>
      </c>
      <c r="C53" s="3" t="s">
        <v>6384</v>
      </c>
    </row>
    <row r="54" spans="2:3">
      <c r="B54" s="521">
        <f t="shared" si="0"/>
        <v>51</v>
      </c>
      <c r="C54" s="2" t="s">
        <v>6383</v>
      </c>
    </row>
    <row r="55" spans="2:3">
      <c r="B55" s="93">
        <f t="shared" si="0"/>
        <v>52</v>
      </c>
      <c r="C55" s="3" t="s">
        <v>6382</v>
      </c>
    </row>
    <row r="56" spans="2:3">
      <c r="B56" s="521">
        <f t="shared" si="0"/>
        <v>53</v>
      </c>
      <c r="C56" s="2" t="s">
        <v>6381</v>
      </c>
    </row>
    <row r="57" spans="2:3">
      <c r="B57" s="93">
        <f t="shared" si="0"/>
        <v>54</v>
      </c>
      <c r="C57" s="3" t="s">
        <v>6380</v>
      </c>
    </row>
    <row r="58" spans="2:3">
      <c r="B58" s="521">
        <f t="shared" si="0"/>
        <v>55</v>
      </c>
      <c r="C58" s="2" t="s">
        <v>6379</v>
      </c>
    </row>
    <row r="59" spans="2:3">
      <c r="B59" s="93">
        <f t="shared" si="0"/>
        <v>56</v>
      </c>
      <c r="C59" s="3" t="s">
        <v>6378</v>
      </c>
    </row>
    <row r="60" spans="2:3">
      <c r="B60" s="521">
        <f t="shared" ref="B60" si="1">B59+1</f>
        <v>57</v>
      </c>
      <c r="C60" s="2" t="s">
        <v>6533</v>
      </c>
    </row>
    <row r="61" spans="2:3">
      <c r="B61" s="93">
        <v>58</v>
      </c>
      <c r="C61" s="3" t="s">
        <v>6534</v>
      </c>
    </row>
  </sheetData>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03"/>
  <sheetViews>
    <sheetView zoomScale="70" zoomScaleNormal="70" workbookViewId="0">
      <selection activeCell="A2" sqref="A2"/>
    </sheetView>
  </sheetViews>
  <sheetFormatPr baseColWidth="10" defaultRowHeight="13.8"/>
  <cols>
    <col min="1" max="1" width="8.296875" customWidth="1"/>
    <col min="2" max="2" width="60.296875" bestFit="1" customWidth="1"/>
    <col min="3" max="3" width="17.3984375" customWidth="1"/>
    <col min="4" max="4" width="24" customWidth="1"/>
    <col min="5" max="5" width="22" customWidth="1"/>
    <col min="6" max="6" width="29.09765625" customWidth="1"/>
    <col min="8" max="8" width="55.69921875" bestFit="1" customWidth="1"/>
  </cols>
  <sheetData>
    <row r="2" spans="1:8" ht="18.600000000000001">
      <c r="A2" s="65" t="s">
        <v>6388</v>
      </c>
      <c r="D2" s="494"/>
      <c r="E2" s="494"/>
    </row>
    <row r="3" spans="1:8">
      <c r="D3" s="494"/>
      <c r="E3" s="494"/>
    </row>
    <row r="4" spans="1:8">
      <c r="D4" s="495"/>
      <c r="E4" s="495"/>
    </row>
    <row r="5" spans="1:8" ht="21.45" customHeight="1">
      <c r="A5" s="10" t="s">
        <v>6363</v>
      </c>
    </row>
    <row r="6" spans="1:8" ht="21.45" customHeight="1" thickBot="1">
      <c r="A6" s="545" t="s">
        <v>609</v>
      </c>
      <c r="B6" s="545" t="s">
        <v>610</v>
      </c>
      <c r="C6" s="545" t="s">
        <v>611</v>
      </c>
      <c r="D6" s="545" t="s">
        <v>6389</v>
      </c>
      <c r="E6" s="545" t="s">
        <v>6390</v>
      </c>
      <c r="F6" s="546" t="s">
        <v>6391</v>
      </c>
      <c r="G6" s="545" t="s">
        <v>6392</v>
      </c>
      <c r="H6" s="545" t="s">
        <v>6393</v>
      </c>
    </row>
    <row r="7" spans="1:8">
      <c r="A7" s="546"/>
      <c r="B7" s="546"/>
      <c r="C7" s="546"/>
      <c r="D7" s="546"/>
      <c r="E7" s="546"/>
      <c r="F7" s="547"/>
      <c r="G7" s="546"/>
      <c r="H7" s="546"/>
    </row>
    <row r="8" spans="1:8">
      <c r="A8" s="71">
        <v>1</v>
      </c>
      <c r="B8" s="90" t="s">
        <v>97</v>
      </c>
      <c r="C8" s="71" t="s">
        <v>618</v>
      </c>
      <c r="D8" s="71" t="s">
        <v>6394</v>
      </c>
      <c r="E8" s="71" t="s">
        <v>1096</v>
      </c>
      <c r="F8" s="87" t="s">
        <v>6395</v>
      </c>
      <c r="G8" s="71" t="s">
        <v>1088</v>
      </c>
      <c r="H8" s="71" t="s">
        <v>6396</v>
      </c>
    </row>
    <row r="9" spans="1:8">
      <c r="A9" s="76">
        <v>2</v>
      </c>
      <c r="B9" s="77" t="s">
        <v>624</v>
      </c>
      <c r="C9" s="76" t="s">
        <v>625</v>
      </c>
      <c r="D9" s="76" t="s">
        <v>4939</v>
      </c>
      <c r="E9" s="76" t="s">
        <v>1091</v>
      </c>
      <c r="F9" s="76" t="s">
        <v>6397</v>
      </c>
      <c r="G9" s="76" t="s">
        <v>1088</v>
      </c>
      <c r="H9" s="76" t="s">
        <v>619</v>
      </c>
    </row>
    <row r="10" spans="1:8">
      <c r="A10" s="74">
        <v>3</v>
      </c>
      <c r="B10" s="73" t="s">
        <v>629</v>
      </c>
      <c r="C10" s="74" t="s">
        <v>630</v>
      </c>
      <c r="D10" s="74" t="s">
        <v>6398</v>
      </c>
      <c r="E10" s="74" t="s">
        <v>1096</v>
      </c>
      <c r="F10" s="74" t="s">
        <v>6399</v>
      </c>
      <c r="G10" s="74" t="s">
        <v>1088</v>
      </c>
      <c r="H10" s="74" t="s">
        <v>6400</v>
      </c>
    </row>
    <row r="11" spans="1:8">
      <c r="A11" s="76">
        <v>4</v>
      </c>
      <c r="B11" s="77" t="s">
        <v>634</v>
      </c>
      <c r="C11" s="76" t="s">
        <v>630</v>
      </c>
      <c r="D11" s="76"/>
      <c r="E11" s="76"/>
      <c r="F11" s="76" t="s">
        <v>6401</v>
      </c>
      <c r="G11" s="76" t="s">
        <v>1088</v>
      </c>
      <c r="H11" s="76" t="s">
        <v>6402</v>
      </c>
    </row>
    <row r="12" spans="1:8">
      <c r="A12" s="74">
        <v>5</v>
      </c>
      <c r="B12" s="73" t="s">
        <v>643</v>
      </c>
      <c r="C12" s="74" t="s">
        <v>644</v>
      </c>
      <c r="D12" s="74" t="s">
        <v>4939</v>
      </c>
      <c r="E12" s="74" t="s">
        <v>1091</v>
      </c>
      <c r="F12" s="74" t="s">
        <v>6403</v>
      </c>
      <c r="G12" s="74" t="s">
        <v>1088</v>
      </c>
      <c r="H12" s="74" t="s">
        <v>6404</v>
      </c>
    </row>
    <row r="13" spans="1:8">
      <c r="A13" s="76">
        <v>6</v>
      </c>
      <c r="B13" s="77" t="s">
        <v>648</v>
      </c>
      <c r="C13" s="76" t="s">
        <v>649</v>
      </c>
      <c r="D13" s="76" t="s">
        <v>6405</v>
      </c>
      <c r="E13" s="76" t="s">
        <v>1091</v>
      </c>
      <c r="F13" s="76" t="s">
        <v>6406</v>
      </c>
      <c r="G13" s="76" t="s">
        <v>1088</v>
      </c>
      <c r="H13" s="76" t="s">
        <v>6407</v>
      </c>
    </row>
    <row r="14" spans="1:8">
      <c r="A14" s="74">
        <v>7</v>
      </c>
      <c r="B14" s="73" t="s">
        <v>654</v>
      </c>
      <c r="C14" s="74" t="s">
        <v>655</v>
      </c>
      <c r="D14" s="74" t="s">
        <v>619</v>
      </c>
      <c r="E14" s="74" t="s">
        <v>619</v>
      </c>
      <c r="F14" s="74" t="s">
        <v>619</v>
      </c>
      <c r="G14" s="74" t="s">
        <v>619</v>
      </c>
      <c r="H14" s="74" t="s">
        <v>619</v>
      </c>
    </row>
    <row r="15" spans="1:8">
      <c r="A15" s="76">
        <v>8</v>
      </c>
      <c r="B15" s="77" t="s">
        <v>656</v>
      </c>
      <c r="C15" s="76" t="s">
        <v>657</v>
      </c>
      <c r="D15" s="76" t="s">
        <v>6408</v>
      </c>
      <c r="E15" s="76" t="s">
        <v>6409</v>
      </c>
      <c r="F15" s="76" t="s">
        <v>6410</v>
      </c>
      <c r="G15" s="76" t="s">
        <v>1088</v>
      </c>
      <c r="H15" s="76" t="s">
        <v>6411</v>
      </c>
    </row>
    <row r="16" spans="1:8">
      <c r="A16" s="74">
        <v>9</v>
      </c>
      <c r="B16" s="73" t="s">
        <v>662</v>
      </c>
      <c r="C16" s="74" t="s">
        <v>663</v>
      </c>
      <c r="D16" s="74" t="s">
        <v>4939</v>
      </c>
      <c r="E16" s="74" t="s">
        <v>1091</v>
      </c>
      <c r="F16" s="74" t="s">
        <v>6412</v>
      </c>
      <c r="G16" s="74" t="s">
        <v>1088</v>
      </c>
      <c r="H16" s="74" t="s">
        <v>619</v>
      </c>
    </row>
    <row r="17" spans="1:8">
      <c r="A17" s="76">
        <v>10</v>
      </c>
      <c r="B17" s="77" t="s">
        <v>666</v>
      </c>
      <c r="C17" s="76" t="s">
        <v>667</v>
      </c>
      <c r="D17" s="76" t="s">
        <v>4971</v>
      </c>
      <c r="E17" s="76" t="s">
        <v>1096</v>
      </c>
      <c r="F17" s="76" t="s">
        <v>6413</v>
      </c>
      <c r="G17" s="76" t="s">
        <v>619</v>
      </c>
      <c r="H17" s="76" t="s">
        <v>619</v>
      </c>
    </row>
    <row r="18" spans="1:8">
      <c r="A18" s="74">
        <v>11</v>
      </c>
      <c r="B18" s="73" t="s">
        <v>670</v>
      </c>
      <c r="C18" s="74" t="s">
        <v>671</v>
      </c>
      <c r="D18" s="74" t="s">
        <v>1193</v>
      </c>
      <c r="E18" s="74"/>
      <c r="F18" s="74" t="s">
        <v>619</v>
      </c>
      <c r="G18" s="74" t="s">
        <v>1088</v>
      </c>
      <c r="H18" s="74" t="s">
        <v>6414</v>
      </c>
    </row>
    <row r="19" spans="1:8">
      <c r="A19" s="76">
        <v>12</v>
      </c>
      <c r="B19" s="77" t="s">
        <v>674</v>
      </c>
      <c r="C19" s="76" t="s">
        <v>675</v>
      </c>
      <c r="D19" s="76" t="s">
        <v>6415</v>
      </c>
      <c r="E19" s="76"/>
      <c r="F19" s="76" t="s">
        <v>6416</v>
      </c>
      <c r="G19" s="76" t="s">
        <v>1088</v>
      </c>
      <c r="H19" s="76" t="s">
        <v>6417</v>
      </c>
    </row>
    <row r="20" spans="1:8">
      <c r="A20" s="74">
        <v>13</v>
      </c>
      <c r="B20" s="73" t="s">
        <v>682</v>
      </c>
      <c r="C20" s="74" t="s">
        <v>683</v>
      </c>
      <c r="D20" s="74" t="s">
        <v>4939</v>
      </c>
      <c r="E20" s="74" t="s">
        <v>1091</v>
      </c>
      <c r="F20" s="74" t="s">
        <v>6418</v>
      </c>
      <c r="G20" s="74" t="s">
        <v>1088</v>
      </c>
      <c r="H20" s="74" t="s">
        <v>6419</v>
      </c>
    </row>
    <row r="21" spans="1:8">
      <c r="A21" s="76">
        <v>14</v>
      </c>
      <c r="B21" s="77" t="s">
        <v>96</v>
      </c>
      <c r="C21" s="76" t="s">
        <v>688</v>
      </c>
      <c r="D21" s="76" t="s">
        <v>1193</v>
      </c>
      <c r="E21" s="76"/>
      <c r="F21" s="76" t="s">
        <v>6420</v>
      </c>
      <c r="G21" s="76" t="s">
        <v>1088</v>
      </c>
      <c r="H21" s="76" t="s">
        <v>6421</v>
      </c>
    </row>
    <row r="22" spans="1:8">
      <c r="A22" s="74">
        <v>15</v>
      </c>
      <c r="B22" s="73" t="s">
        <v>691</v>
      </c>
      <c r="C22" s="74" t="s">
        <v>692</v>
      </c>
      <c r="D22" s="74" t="s">
        <v>4939</v>
      </c>
      <c r="E22" s="74" t="s">
        <v>1091</v>
      </c>
      <c r="F22" s="74" t="s">
        <v>6422</v>
      </c>
      <c r="G22" s="74" t="s">
        <v>619</v>
      </c>
      <c r="H22" s="74" t="s">
        <v>619</v>
      </c>
    </row>
    <row r="23" spans="1:8">
      <c r="A23" s="76">
        <v>16</v>
      </c>
      <c r="B23" s="77" t="s">
        <v>700</v>
      </c>
      <c r="C23" s="76" t="s">
        <v>701</v>
      </c>
      <c r="D23" s="76" t="s">
        <v>6405</v>
      </c>
      <c r="E23" s="76" t="s">
        <v>1091</v>
      </c>
      <c r="F23" s="76" t="s">
        <v>6423</v>
      </c>
      <c r="G23" s="76" t="s">
        <v>1088</v>
      </c>
      <c r="H23" s="76" t="s">
        <v>6424</v>
      </c>
    </row>
    <row r="24" spans="1:8">
      <c r="A24" s="74">
        <v>17</v>
      </c>
      <c r="B24" s="73" t="s">
        <v>102</v>
      </c>
      <c r="C24" s="74" t="s">
        <v>707</v>
      </c>
      <c r="D24" s="74" t="s">
        <v>6405</v>
      </c>
      <c r="E24" s="74" t="s">
        <v>1091</v>
      </c>
      <c r="F24" s="74" t="s">
        <v>6425</v>
      </c>
      <c r="G24" s="74" t="s">
        <v>1088</v>
      </c>
      <c r="H24" s="74" t="s">
        <v>6426</v>
      </c>
    </row>
    <row r="25" spans="1:8">
      <c r="A25" s="76">
        <v>18</v>
      </c>
      <c r="B25" s="496" t="s">
        <v>17</v>
      </c>
      <c r="C25" s="76" t="s">
        <v>2445</v>
      </c>
      <c r="D25" s="76"/>
      <c r="E25" s="76"/>
      <c r="F25" s="76" t="s">
        <v>6427</v>
      </c>
      <c r="G25" s="76" t="s">
        <v>1088</v>
      </c>
      <c r="H25" s="76" t="s">
        <v>6428</v>
      </c>
    </row>
    <row r="26" spans="1:8">
      <c r="A26" s="74">
        <v>19</v>
      </c>
      <c r="B26" s="73" t="s">
        <v>229</v>
      </c>
      <c r="C26" s="74" t="s">
        <v>710</v>
      </c>
      <c r="D26" s="74" t="s">
        <v>4971</v>
      </c>
      <c r="E26" s="74" t="s">
        <v>1096</v>
      </c>
      <c r="F26" s="74"/>
      <c r="G26" s="74" t="s">
        <v>1081</v>
      </c>
      <c r="H26" s="74"/>
    </row>
    <row r="27" spans="1:8">
      <c r="A27" s="76">
        <v>20</v>
      </c>
      <c r="B27" s="77" t="s">
        <v>713</v>
      </c>
      <c r="C27" s="76" t="s">
        <v>714</v>
      </c>
      <c r="D27" s="76" t="s">
        <v>6429</v>
      </c>
      <c r="E27" s="76" t="s">
        <v>1091</v>
      </c>
      <c r="F27" s="76" t="s">
        <v>6430</v>
      </c>
      <c r="G27" s="76" t="s">
        <v>1081</v>
      </c>
      <c r="H27" s="76" t="s">
        <v>619</v>
      </c>
    </row>
    <row r="28" spans="1:8">
      <c r="A28" s="74">
        <v>21</v>
      </c>
      <c r="B28" s="73" t="s">
        <v>717</v>
      </c>
      <c r="C28" s="74" t="s">
        <v>718</v>
      </c>
      <c r="D28" s="74" t="s">
        <v>4939</v>
      </c>
      <c r="E28" s="74" t="s">
        <v>1091</v>
      </c>
      <c r="F28" s="74" t="s">
        <v>6431</v>
      </c>
      <c r="G28" s="74" t="s">
        <v>1088</v>
      </c>
      <c r="H28" s="74" t="s">
        <v>6426</v>
      </c>
    </row>
    <row r="29" spans="1:8">
      <c r="A29" s="76">
        <v>22</v>
      </c>
      <c r="B29" s="77" t="s">
        <v>721</v>
      </c>
      <c r="C29" s="76" t="s">
        <v>722</v>
      </c>
      <c r="D29" s="76" t="s">
        <v>4939</v>
      </c>
      <c r="E29" s="76" t="s">
        <v>1091</v>
      </c>
      <c r="F29" s="76" t="s">
        <v>6432</v>
      </c>
      <c r="G29" s="76" t="s">
        <v>619</v>
      </c>
      <c r="H29" s="76" t="s">
        <v>619</v>
      </c>
    </row>
    <row r="30" spans="1:8">
      <c r="A30" s="74">
        <v>23</v>
      </c>
      <c r="B30" s="73" t="s">
        <v>161</v>
      </c>
      <c r="C30" s="74" t="s">
        <v>726</v>
      </c>
      <c r="D30" s="74" t="s">
        <v>4939</v>
      </c>
      <c r="E30" s="74" t="s">
        <v>1091</v>
      </c>
      <c r="F30" s="74" t="s">
        <v>6433</v>
      </c>
      <c r="G30" s="74" t="s">
        <v>619</v>
      </c>
      <c r="H30" s="74" t="s">
        <v>619</v>
      </c>
    </row>
    <row r="31" spans="1:8">
      <c r="A31" s="76">
        <v>24</v>
      </c>
      <c r="B31" s="77" t="s">
        <v>729</v>
      </c>
      <c r="C31" s="76" t="s">
        <v>730</v>
      </c>
      <c r="D31" s="76" t="s">
        <v>6434</v>
      </c>
      <c r="E31" s="76" t="s">
        <v>1091</v>
      </c>
      <c r="F31" s="76" t="s">
        <v>6435</v>
      </c>
      <c r="G31" s="76" t="s">
        <v>1088</v>
      </c>
      <c r="H31" s="76" t="s">
        <v>6436</v>
      </c>
    </row>
    <row r="32" spans="1:8">
      <c r="A32" s="74">
        <v>25</v>
      </c>
      <c r="B32" s="73" t="s">
        <v>128</v>
      </c>
      <c r="C32" s="74" t="s">
        <v>736</v>
      </c>
      <c r="D32" s="74" t="s">
        <v>6437</v>
      </c>
      <c r="E32" s="74"/>
      <c r="F32" s="74" t="s">
        <v>619</v>
      </c>
      <c r="G32" s="74" t="s">
        <v>1088</v>
      </c>
      <c r="H32" s="74" t="s">
        <v>619</v>
      </c>
    </row>
    <row r="33" spans="1:8">
      <c r="A33" s="76">
        <v>26</v>
      </c>
      <c r="B33" s="77" t="s">
        <v>740</v>
      </c>
      <c r="C33" s="76" t="s">
        <v>741</v>
      </c>
      <c r="D33" s="76" t="s">
        <v>4939</v>
      </c>
      <c r="E33" s="76" t="s">
        <v>1091</v>
      </c>
      <c r="F33" s="76" t="s">
        <v>6438</v>
      </c>
      <c r="G33" s="76" t="s">
        <v>1088</v>
      </c>
      <c r="H33" s="76" t="s">
        <v>6439</v>
      </c>
    </row>
    <row r="34" spans="1:8">
      <c r="A34" s="74">
        <v>27</v>
      </c>
      <c r="B34" s="73" t="s">
        <v>115</v>
      </c>
      <c r="C34" s="74" t="s">
        <v>743</v>
      </c>
      <c r="D34" s="74" t="s">
        <v>4939</v>
      </c>
      <c r="E34" s="74" t="s">
        <v>1091</v>
      </c>
      <c r="F34" s="74" t="s">
        <v>619</v>
      </c>
      <c r="G34" s="74" t="s">
        <v>1088</v>
      </c>
      <c r="H34" s="74" t="s">
        <v>619</v>
      </c>
    </row>
    <row r="35" spans="1:8">
      <c r="A35" s="76">
        <v>28</v>
      </c>
      <c r="B35" s="77" t="s">
        <v>747</v>
      </c>
      <c r="C35" s="76" t="s">
        <v>748</v>
      </c>
      <c r="D35" s="76" t="s">
        <v>6437</v>
      </c>
      <c r="E35" s="76" t="s">
        <v>1091</v>
      </c>
      <c r="F35" s="76" t="s">
        <v>6440</v>
      </c>
      <c r="G35" s="76" t="s">
        <v>1088</v>
      </c>
      <c r="H35" s="76" t="s">
        <v>619</v>
      </c>
    </row>
    <row r="36" spans="1:8">
      <c r="A36" s="74">
        <v>29</v>
      </c>
      <c r="B36" s="73" t="s">
        <v>752</v>
      </c>
      <c r="C36" s="74" t="s">
        <v>753</v>
      </c>
      <c r="D36" s="74" t="s">
        <v>6441</v>
      </c>
      <c r="E36" s="74" t="s">
        <v>1096</v>
      </c>
      <c r="F36" s="74" t="s">
        <v>6442</v>
      </c>
      <c r="G36" s="74" t="s">
        <v>1088</v>
      </c>
      <c r="H36" s="74" t="s">
        <v>6443</v>
      </c>
    </row>
    <row r="37" spans="1:8">
      <c r="A37" s="76">
        <v>30</v>
      </c>
      <c r="B37" s="496" t="s">
        <v>131</v>
      </c>
      <c r="C37" s="76" t="s">
        <v>2447</v>
      </c>
      <c r="D37" s="76"/>
      <c r="E37" s="76"/>
      <c r="F37" s="76" t="s">
        <v>6444</v>
      </c>
      <c r="G37" s="76" t="s">
        <v>1088</v>
      </c>
      <c r="H37" s="76"/>
    </row>
    <row r="38" spans="1:8">
      <c r="A38" s="74">
        <v>31</v>
      </c>
      <c r="B38" s="73" t="s">
        <v>760</v>
      </c>
      <c r="C38" s="74" t="s">
        <v>761</v>
      </c>
      <c r="D38" s="74" t="s">
        <v>4939</v>
      </c>
      <c r="E38" s="74" t="s">
        <v>1091</v>
      </c>
      <c r="F38" s="74" t="s">
        <v>619</v>
      </c>
      <c r="G38" s="74" t="s">
        <v>619</v>
      </c>
      <c r="H38" s="74" t="s">
        <v>619</v>
      </c>
    </row>
    <row r="39" spans="1:8">
      <c r="A39" s="76">
        <v>32</v>
      </c>
      <c r="B39" s="77" t="s">
        <v>763</v>
      </c>
      <c r="C39" s="76" t="s">
        <v>764</v>
      </c>
      <c r="D39" s="76" t="s">
        <v>4939</v>
      </c>
      <c r="E39" s="76" t="s">
        <v>1091</v>
      </c>
      <c r="F39" s="76" t="s">
        <v>6445</v>
      </c>
      <c r="G39" s="76" t="s">
        <v>1088</v>
      </c>
      <c r="H39" s="76" t="s">
        <v>6446</v>
      </c>
    </row>
    <row r="40" spans="1:8">
      <c r="A40" s="74">
        <v>33</v>
      </c>
      <c r="B40" s="73" t="s">
        <v>767</v>
      </c>
      <c r="C40" s="74" t="s">
        <v>768</v>
      </c>
      <c r="D40" s="74" t="s">
        <v>6447</v>
      </c>
      <c r="E40" s="74" t="s">
        <v>1096</v>
      </c>
      <c r="F40" s="74" t="s">
        <v>619</v>
      </c>
      <c r="G40" s="74" t="s">
        <v>1088</v>
      </c>
      <c r="H40" s="74" t="s">
        <v>619</v>
      </c>
    </row>
    <row r="41" spans="1:8">
      <c r="A41" s="76">
        <v>34</v>
      </c>
      <c r="B41" s="77" t="s">
        <v>774</v>
      </c>
      <c r="C41" s="76" t="s">
        <v>775</v>
      </c>
      <c r="D41" s="76" t="s">
        <v>6437</v>
      </c>
      <c r="E41" s="76" t="s">
        <v>1091</v>
      </c>
      <c r="F41" s="76" t="s">
        <v>6448</v>
      </c>
      <c r="G41" s="76" t="s">
        <v>1081</v>
      </c>
      <c r="H41" s="76"/>
    </row>
    <row r="42" spans="1:8">
      <c r="A42" s="76">
        <v>36</v>
      </c>
      <c r="B42" s="77" t="s">
        <v>778</v>
      </c>
      <c r="C42" s="76" t="s">
        <v>779</v>
      </c>
      <c r="D42" s="76" t="s">
        <v>6447</v>
      </c>
      <c r="E42" s="76" t="s">
        <v>1096</v>
      </c>
      <c r="F42" s="76" t="s">
        <v>619</v>
      </c>
      <c r="G42" s="76" t="s">
        <v>1088</v>
      </c>
      <c r="H42" s="76" t="s">
        <v>619</v>
      </c>
    </row>
    <row r="43" spans="1:8">
      <c r="A43" s="74">
        <v>37</v>
      </c>
      <c r="B43" s="73" t="s">
        <v>783</v>
      </c>
      <c r="C43" s="74" t="s">
        <v>784</v>
      </c>
      <c r="D43" s="74" t="s">
        <v>6449</v>
      </c>
      <c r="E43" s="74" t="s">
        <v>6450</v>
      </c>
      <c r="F43" s="74" t="s">
        <v>6451</v>
      </c>
      <c r="G43" s="74" t="s">
        <v>619</v>
      </c>
      <c r="H43" s="74"/>
    </row>
    <row r="44" spans="1:8">
      <c r="A44" s="76">
        <v>38</v>
      </c>
      <c r="B44" s="77" t="s">
        <v>786</v>
      </c>
      <c r="C44" s="76" t="s">
        <v>787</v>
      </c>
      <c r="D44" s="76" t="s">
        <v>6437</v>
      </c>
      <c r="E44" s="76" t="s">
        <v>1091</v>
      </c>
      <c r="F44" s="76" t="s">
        <v>6452</v>
      </c>
      <c r="G44" s="76" t="s">
        <v>619</v>
      </c>
      <c r="H44" s="76"/>
    </row>
    <row r="45" spans="1:8">
      <c r="A45" s="74">
        <v>39</v>
      </c>
      <c r="B45" s="73" t="s">
        <v>549</v>
      </c>
      <c r="C45" s="74" t="s">
        <v>789</v>
      </c>
      <c r="D45" s="74"/>
      <c r="E45" s="74" t="s">
        <v>6450</v>
      </c>
      <c r="F45" s="74" t="s">
        <v>6453</v>
      </c>
      <c r="G45" s="74" t="s">
        <v>619</v>
      </c>
      <c r="H45" s="74"/>
    </row>
    <row r="46" spans="1:8">
      <c r="A46" s="74">
        <v>41</v>
      </c>
      <c r="B46" s="73" t="s">
        <v>227</v>
      </c>
      <c r="C46" s="74" t="s">
        <v>790</v>
      </c>
      <c r="D46" s="74" t="s">
        <v>6441</v>
      </c>
      <c r="E46" s="74" t="s">
        <v>1096</v>
      </c>
      <c r="F46" s="74" t="s">
        <v>619</v>
      </c>
      <c r="G46" s="74" t="s">
        <v>1088</v>
      </c>
      <c r="H46" s="74" t="s">
        <v>619</v>
      </c>
    </row>
    <row r="47" spans="1:8">
      <c r="A47" s="76">
        <v>42</v>
      </c>
      <c r="B47" s="77" t="s">
        <v>792</v>
      </c>
      <c r="C47" s="76" t="s">
        <v>793</v>
      </c>
      <c r="D47" s="76" t="s">
        <v>4939</v>
      </c>
      <c r="E47" s="76" t="s">
        <v>1091</v>
      </c>
      <c r="F47" s="76" t="s">
        <v>619</v>
      </c>
      <c r="G47" s="76" t="s">
        <v>619</v>
      </c>
      <c r="H47" s="76" t="s">
        <v>619</v>
      </c>
    </row>
    <row r="48" spans="1:8">
      <c r="A48" s="76">
        <v>44</v>
      </c>
      <c r="B48" s="496" t="s">
        <v>487</v>
      </c>
      <c r="C48" s="76" t="s">
        <v>6376</v>
      </c>
      <c r="D48" s="76"/>
      <c r="E48" s="76"/>
      <c r="F48" s="76"/>
      <c r="G48" s="76"/>
      <c r="H48" s="76"/>
    </row>
    <row r="49" spans="1:8">
      <c r="A49" s="74">
        <v>45</v>
      </c>
      <c r="B49" s="73" t="s">
        <v>801</v>
      </c>
      <c r="C49" s="74" t="s">
        <v>802</v>
      </c>
      <c r="D49" s="74" t="s">
        <v>4939</v>
      </c>
      <c r="E49" s="74" t="s">
        <v>1091</v>
      </c>
      <c r="F49" s="74" t="s">
        <v>6454</v>
      </c>
      <c r="G49" s="74" t="s">
        <v>6455</v>
      </c>
      <c r="H49" s="74" t="s">
        <v>619</v>
      </c>
    </row>
    <row r="50" spans="1:8">
      <c r="A50" s="76">
        <v>46</v>
      </c>
      <c r="B50" s="77" t="s">
        <v>176</v>
      </c>
      <c r="C50" s="76" t="s">
        <v>804</v>
      </c>
      <c r="D50" s="76" t="s">
        <v>6441</v>
      </c>
      <c r="E50" s="76" t="s">
        <v>1096</v>
      </c>
      <c r="F50" s="76">
        <v>0</v>
      </c>
      <c r="G50" s="76" t="s">
        <v>1081</v>
      </c>
      <c r="H50" s="76"/>
    </row>
    <row r="51" spans="1:8">
      <c r="A51" s="74">
        <v>47</v>
      </c>
      <c r="B51" s="73" t="s">
        <v>806</v>
      </c>
      <c r="C51" s="74" t="s">
        <v>807</v>
      </c>
      <c r="D51" s="74" t="s">
        <v>6437</v>
      </c>
      <c r="E51" s="74" t="s">
        <v>1091</v>
      </c>
      <c r="F51" s="74" t="s">
        <v>6456</v>
      </c>
      <c r="G51" s="74" t="s">
        <v>619</v>
      </c>
      <c r="H51" s="74"/>
    </row>
    <row r="52" spans="1:8">
      <c r="A52" s="76">
        <v>48</v>
      </c>
      <c r="B52" s="77" t="s">
        <v>812</v>
      </c>
      <c r="C52" s="76" t="s">
        <v>813</v>
      </c>
      <c r="D52" s="76" t="s">
        <v>6457</v>
      </c>
      <c r="E52" s="76" t="s">
        <v>6458</v>
      </c>
      <c r="F52" s="76" t="s">
        <v>6459</v>
      </c>
      <c r="G52" s="76" t="s">
        <v>1088</v>
      </c>
      <c r="H52" s="76" t="s">
        <v>6460</v>
      </c>
    </row>
    <row r="53" spans="1:8">
      <c r="A53" s="74">
        <v>49</v>
      </c>
      <c r="B53" s="497" t="s">
        <v>189</v>
      </c>
      <c r="C53" s="74" t="s">
        <v>934</v>
      </c>
      <c r="D53" s="74" t="s">
        <v>6437</v>
      </c>
      <c r="E53" s="74" t="s">
        <v>1091</v>
      </c>
      <c r="F53" s="74" t="s">
        <v>6461</v>
      </c>
      <c r="G53" s="74" t="s">
        <v>1088</v>
      </c>
      <c r="H53" s="74" t="s">
        <v>6462</v>
      </c>
    </row>
    <row r="54" spans="1:8">
      <c r="A54" s="76">
        <v>50</v>
      </c>
      <c r="B54" s="496" t="s">
        <v>1865</v>
      </c>
      <c r="C54" s="76" t="s">
        <v>3705</v>
      </c>
      <c r="D54" s="76"/>
      <c r="E54" s="76"/>
      <c r="F54" s="76" t="s">
        <v>6463</v>
      </c>
      <c r="G54" s="76" t="s">
        <v>1088</v>
      </c>
      <c r="H54" s="76" t="s">
        <v>6464</v>
      </c>
    </row>
    <row r="55" spans="1:8">
      <c r="A55" s="74">
        <v>51</v>
      </c>
      <c r="B55" s="73" t="s">
        <v>816</v>
      </c>
      <c r="C55" s="74" t="s">
        <v>817</v>
      </c>
      <c r="D55" s="74" t="s">
        <v>6437</v>
      </c>
      <c r="E55" s="74" t="s">
        <v>1091</v>
      </c>
      <c r="F55" s="74" t="s">
        <v>6465</v>
      </c>
      <c r="G55" s="74" t="s">
        <v>1088</v>
      </c>
      <c r="H55" s="74" t="s">
        <v>6466</v>
      </c>
    </row>
    <row r="56" spans="1:8">
      <c r="A56" s="76">
        <v>52</v>
      </c>
      <c r="B56" s="77" t="s">
        <v>818</v>
      </c>
      <c r="C56" s="76" t="s">
        <v>819</v>
      </c>
      <c r="D56" s="76" t="s">
        <v>4939</v>
      </c>
      <c r="E56" s="76" t="s">
        <v>1091</v>
      </c>
      <c r="F56" s="76" t="s">
        <v>6467</v>
      </c>
      <c r="G56" s="76" t="s">
        <v>1081</v>
      </c>
      <c r="H56" s="76" t="s">
        <v>6468</v>
      </c>
    </row>
    <row r="57" spans="1:8">
      <c r="A57" s="74">
        <v>53</v>
      </c>
      <c r="B57" s="73" t="s">
        <v>175</v>
      </c>
      <c r="C57" s="74" t="s">
        <v>824</v>
      </c>
      <c r="D57" s="74" t="s">
        <v>4939</v>
      </c>
      <c r="E57" s="74" t="s">
        <v>1091</v>
      </c>
      <c r="F57" s="74" t="s">
        <v>619</v>
      </c>
      <c r="G57" s="74" t="s">
        <v>619</v>
      </c>
      <c r="H57" s="74"/>
    </row>
    <row r="58" spans="1:8">
      <c r="A58" s="76">
        <v>54</v>
      </c>
      <c r="B58" s="77" t="s">
        <v>564</v>
      </c>
      <c r="C58" s="76" t="s">
        <v>562</v>
      </c>
      <c r="D58" s="76" t="s">
        <v>619</v>
      </c>
      <c r="E58" s="76" t="s">
        <v>619</v>
      </c>
      <c r="F58" s="76" t="s">
        <v>619</v>
      </c>
      <c r="G58" s="76" t="s">
        <v>619</v>
      </c>
      <c r="H58" s="76" t="s">
        <v>619</v>
      </c>
    </row>
    <row r="59" spans="1:8">
      <c r="A59" s="74">
        <v>55</v>
      </c>
      <c r="B59" s="73" t="s">
        <v>827</v>
      </c>
      <c r="C59" s="74" t="s">
        <v>828</v>
      </c>
      <c r="D59" s="74" t="s">
        <v>6437</v>
      </c>
      <c r="E59" s="74" t="s">
        <v>1091</v>
      </c>
      <c r="F59" s="74" t="s">
        <v>6469</v>
      </c>
      <c r="G59" s="74" t="s">
        <v>1081</v>
      </c>
      <c r="H59" s="74"/>
    </row>
    <row r="60" spans="1:8">
      <c r="A60" s="76">
        <v>56</v>
      </c>
      <c r="B60" s="77" t="s">
        <v>177</v>
      </c>
      <c r="C60" s="76" t="s">
        <v>832</v>
      </c>
      <c r="D60" s="76"/>
      <c r="E60" s="76" t="s">
        <v>1091</v>
      </c>
      <c r="F60" s="76" t="s">
        <v>6470</v>
      </c>
      <c r="G60" s="76" t="s">
        <v>619</v>
      </c>
      <c r="H60" s="76" t="s">
        <v>619</v>
      </c>
    </row>
    <row r="61" spans="1:8">
      <c r="A61" s="74">
        <v>57</v>
      </c>
      <c r="B61" s="73" t="s">
        <v>182</v>
      </c>
      <c r="C61" s="74" t="s">
        <v>837</v>
      </c>
      <c r="D61" s="74" t="s">
        <v>4939</v>
      </c>
      <c r="E61" s="74" t="s">
        <v>1091</v>
      </c>
      <c r="F61" s="74" t="s">
        <v>619</v>
      </c>
      <c r="G61" s="74" t="s">
        <v>1088</v>
      </c>
      <c r="H61" s="74" t="s">
        <v>6471</v>
      </c>
    </row>
    <row r="62" spans="1:8">
      <c r="A62" s="76">
        <v>58</v>
      </c>
      <c r="B62" s="77" t="s">
        <v>173</v>
      </c>
      <c r="C62" s="76" t="s">
        <v>840</v>
      </c>
      <c r="D62" s="76" t="s">
        <v>6441</v>
      </c>
      <c r="E62" s="76" t="s">
        <v>1096</v>
      </c>
      <c r="F62" s="76" t="s">
        <v>619</v>
      </c>
      <c r="G62" s="76" t="s">
        <v>1081</v>
      </c>
      <c r="H62" s="76"/>
    </row>
    <row r="63" spans="1:8">
      <c r="A63" s="76">
        <v>60</v>
      </c>
      <c r="B63" s="77" t="s">
        <v>842</v>
      </c>
      <c r="C63" s="76" t="s">
        <v>843</v>
      </c>
      <c r="D63" s="76" t="s">
        <v>4939</v>
      </c>
      <c r="E63" s="76" t="s">
        <v>1091</v>
      </c>
      <c r="F63" s="76" t="s">
        <v>619</v>
      </c>
      <c r="G63" s="76" t="s">
        <v>1088</v>
      </c>
      <c r="H63" s="76" t="s">
        <v>619</v>
      </c>
    </row>
    <row r="64" spans="1:8">
      <c r="A64" s="74">
        <v>61</v>
      </c>
      <c r="B64" s="73" t="s">
        <v>459</v>
      </c>
      <c r="C64" s="74" t="s">
        <v>847</v>
      </c>
      <c r="D64" s="74" t="s">
        <v>4939</v>
      </c>
      <c r="E64" s="74" t="s">
        <v>1091</v>
      </c>
      <c r="F64" s="74" t="s">
        <v>6472</v>
      </c>
      <c r="G64" s="74" t="s">
        <v>1081</v>
      </c>
      <c r="H64" s="74"/>
    </row>
    <row r="65" spans="1:8">
      <c r="A65" s="76">
        <v>62</v>
      </c>
      <c r="B65" s="496" t="s">
        <v>1864</v>
      </c>
      <c r="C65" s="76" t="s">
        <v>2459</v>
      </c>
      <c r="D65" s="76"/>
      <c r="E65" s="76"/>
      <c r="F65" s="76"/>
      <c r="G65" s="76"/>
      <c r="H65" s="76"/>
    </row>
    <row r="66" spans="1:8">
      <c r="A66" s="74">
        <v>63</v>
      </c>
      <c r="B66" s="73" t="s">
        <v>851</v>
      </c>
      <c r="C66" s="74" t="s">
        <v>852</v>
      </c>
      <c r="D66" s="74" t="s">
        <v>6473</v>
      </c>
      <c r="E66" s="74" t="s">
        <v>6474</v>
      </c>
      <c r="F66" s="74" t="s">
        <v>6475</v>
      </c>
      <c r="G66" s="74" t="s">
        <v>1088</v>
      </c>
      <c r="H66" s="74" t="s">
        <v>6476</v>
      </c>
    </row>
    <row r="67" spans="1:8">
      <c r="A67" s="74">
        <v>65</v>
      </c>
      <c r="B67" s="497" t="s">
        <v>1879</v>
      </c>
      <c r="C67" s="74" t="s">
        <v>2461</v>
      </c>
      <c r="D67" s="74"/>
      <c r="E67" s="74"/>
      <c r="F67" s="74" t="s">
        <v>6477</v>
      </c>
      <c r="G67" s="74" t="s">
        <v>1081</v>
      </c>
      <c r="H67" s="74"/>
    </row>
    <row r="68" spans="1:8">
      <c r="A68" s="76">
        <v>66</v>
      </c>
      <c r="B68" s="77" t="s">
        <v>28</v>
      </c>
      <c r="C68" s="76" t="s">
        <v>853</v>
      </c>
      <c r="D68" s="76" t="s">
        <v>619</v>
      </c>
      <c r="E68" s="76" t="s">
        <v>619</v>
      </c>
      <c r="F68" s="76" t="s">
        <v>619</v>
      </c>
      <c r="G68" s="76" t="s">
        <v>619</v>
      </c>
      <c r="H68" s="76" t="s">
        <v>619</v>
      </c>
    </row>
    <row r="69" spans="1:8">
      <c r="A69" s="74">
        <v>67</v>
      </c>
      <c r="B69" s="497" t="s">
        <v>85</v>
      </c>
      <c r="C69" s="74" t="s">
        <v>2462</v>
      </c>
      <c r="D69" s="74"/>
      <c r="E69" s="74"/>
      <c r="F69" s="74">
        <v>0</v>
      </c>
      <c r="G69" s="74" t="s">
        <v>1078</v>
      </c>
      <c r="H69" s="74" t="s">
        <v>6478</v>
      </c>
    </row>
    <row r="70" spans="1:8">
      <c r="A70" s="76">
        <v>68</v>
      </c>
      <c r="B70" s="77" t="s">
        <v>858</v>
      </c>
      <c r="C70" s="76" t="s">
        <v>859</v>
      </c>
      <c r="D70" s="76" t="s">
        <v>619</v>
      </c>
      <c r="E70" s="76" t="s">
        <v>619</v>
      </c>
      <c r="F70" s="76" t="s">
        <v>619</v>
      </c>
      <c r="G70" s="76" t="s">
        <v>619</v>
      </c>
      <c r="H70" s="76" t="s">
        <v>619</v>
      </c>
    </row>
    <row r="71" spans="1:8">
      <c r="A71" s="76">
        <v>70</v>
      </c>
      <c r="B71" s="77" t="s">
        <v>860</v>
      </c>
      <c r="C71" s="76" t="s">
        <v>861</v>
      </c>
      <c r="D71" s="76" t="s">
        <v>6437</v>
      </c>
      <c r="E71" s="76" t="s">
        <v>1091</v>
      </c>
      <c r="F71" s="76" t="s">
        <v>619</v>
      </c>
      <c r="G71" s="76" t="s">
        <v>619</v>
      </c>
      <c r="H71" s="76" t="s">
        <v>619</v>
      </c>
    </row>
    <row r="72" spans="1:8">
      <c r="A72" s="74">
        <v>71</v>
      </c>
      <c r="B72" s="73" t="s">
        <v>863</v>
      </c>
      <c r="C72" s="74" t="s">
        <v>864</v>
      </c>
      <c r="D72" s="74" t="s">
        <v>4925</v>
      </c>
      <c r="E72" s="74" t="s">
        <v>6408</v>
      </c>
      <c r="F72" s="74" t="s">
        <v>619</v>
      </c>
      <c r="G72" s="74" t="s">
        <v>1088</v>
      </c>
      <c r="H72" s="74" t="s">
        <v>6479</v>
      </c>
    </row>
    <row r="73" spans="1:8">
      <c r="A73" s="76">
        <v>74</v>
      </c>
      <c r="B73" s="77" t="s">
        <v>867</v>
      </c>
      <c r="C73" s="76" t="s">
        <v>868</v>
      </c>
      <c r="D73" s="76"/>
      <c r="E73" s="76" t="s">
        <v>6480</v>
      </c>
      <c r="F73" s="76">
        <v>0</v>
      </c>
      <c r="G73" s="76" t="s">
        <v>1088</v>
      </c>
      <c r="H73" s="76" t="s">
        <v>6481</v>
      </c>
    </row>
    <row r="74" spans="1:8">
      <c r="A74" s="74">
        <v>75</v>
      </c>
      <c r="B74" s="73" t="s">
        <v>874</v>
      </c>
      <c r="C74" s="74" t="s">
        <v>875</v>
      </c>
      <c r="D74" s="74"/>
      <c r="E74" s="74" t="s">
        <v>6408</v>
      </c>
      <c r="F74" s="74">
        <v>0</v>
      </c>
      <c r="G74" s="74" t="s">
        <v>1081</v>
      </c>
      <c r="H74" s="74"/>
    </row>
    <row r="75" spans="1:8">
      <c r="A75" s="76">
        <v>76</v>
      </c>
      <c r="B75" s="496" t="s">
        <v>1877</v>
      </c>
      <c r="C75" s="76" t="s">
        <v>3715</v>
      </c>
      <c r="D75" s="76"/>
      <c r="E75" s="76"/>
      <c r="F75" s="76"/>
      <c r="G75" s="76" t="s">
        <v>1081</v>
      </c>
      <c r="H75" s="76"/>
    </row>
    <row r="76" spans="1:8">
      <c r="A76" s="74">
        <v>77</v>
      </c>
      <c r="B76" s="497" t="s">
        <v>191</v>
      </c>
      <c r="C76" s="74" t="s">
        <v>2466</v>
      </c>
      <c r="D76" s="74"/>
      <c r="E76" s="74"/>
      <c r="F76" s="74"/>
      <c r="G76" s="74" t="s">
        <v>1081</v>
      </c>
      <c r="H76" s="74"/>
    </row>
    <row r="77" spans="1:8">
      <c r="A77" s="74">
        <v>79</v>
      </c>
      <c r="B77" s="73" t="s">
        <v>877</v>
      </c>
      <c r="C77" s="74" t="s">
        <v>878</v>
      </c>
      <c r="D77" s="74" t="s">
        <v>4939</v>
      </c>
      <c r="E77" s="74" t="s">
        <v>1091</v>
      </c>
      <c r="F77" s="74" t="s">
        <v>619</v>
      </c>
      <c r="G77" s="74" t="s">
        <v>619</v>
      </c>
      <c r="H77" s="74" t="s">
        <v>619</v>
      </c>
    </row>
    <row r="78" spans="1:8">
      <c r="A78" s="76">
        <v>80</v>
      </c>
      <c r="B78" s="77" t="s">
        <v>881</v>
      </c>
      <c r="C78" s="76" t="s">
        <v>882</v>
      </c>
      <c r="D78" s="76" t="s">
        <v>6482</v>
      </c>
      <c r="E78" s="76" t="s">
        <v>3733</v>
      </c>
      <c r="F78" s="76" t="s">
        <v>619</v>
      </c>
      <c r="G78" s="76" t="s">
        <v>1081</v>
      </c>
      <c r="H78" s="76"/>
    </row>
    <row r="79" spans="1:8">
      <c r="A79" s="74">
        <v>85</v>
      </c>
      <c r="B79" s="73" t="s">
        <v>894</v>
      </c>
      <c r="C79" s="74" t="s">
        <v>895</v>
      </c>
      <c r="D79" s="74" t="s">
        <v>1193</v>
      </c>
      <c r="E79" s="74"/>
      <c r="F79" s="74" t="s">
        <v>619</v>
      </c>
      <c r="G79" s="74" t="s">
        <v>1088</v>
      </c>
      <c r="H79" s="74" t="s">
        <v>619</v>
      </c>
    </row>
    <row r="80" spans="1:8">
      <c r="A80" s="74">
        <v>87</v>
      </c>
      <c r="B80" s="73" t="s">
        <v>197</v>
      </c>
      <c r="C80" s="74" t="s">
        <v>902</v>
      </c>
      <c r="D80" s="74"/>
      <c r="E80" s="74"/>
      <c r="F80" s="74" t="s">
        <v>6483</v>
      </c>
      <c r="G80" s="74" t="s">
        <v>1088</v>
      </c>
      <c r="H80" s="74" t="s">
        <v>6484</v>
      </c>
    </row>
    <row r="81" spans="1:8">
      <c r="A81" s="76">
        <v>88</v>
      </c>
      <c r="B81" s="496" t="s">
        <v>1884</v>
      </c>
      <c r="C81" s="76" t="s">
        <v>2474</v>
      </c>
      <c r="D81" s="76"/>
      <c r="E81" s="76"/>
      <c r="F81" s="76" t="s">
        <v>6485</v>
      </c>
      <c r="G81" s="76"/>
      <c r="H81" s="76"/>
    </row>
    <row r="82" spans="1:8">
      <c r="A82" s="74">
        <v>89</v>
      </c>
      <c r="B82" s="73" t="s">
        <v>198</v>
      </c>
      <c r="C82" s="74" t="s">
        <v>907</v>
      </c>
      <c r="D82" s="74" t="s">
        <v>4939</v>
      </c>
      <c r="E82" s="74" t="s">
        <v>1091</v>
      </c>
      <c r="F82" s="74" t="s">
        <v>619</v>
      </c>
      <c r="G82" s="74" t="s">
        <v>619</v>
      </c>
      <c r="H82" s="74" t="s">
        <v>619</v>
      </c>
    </row>
    <row r="83" spans="1:8">
      <c r="A83" s="76">
        <v>92</v>
      </c>
      <c r="B83" s="77" t="s">
        <v>912</v>
      </c>
      <c r="C83" s="76" t="s">
        <v>913</v>
      </c>
      <c r="D83" s="76" t="s">
        <v>619</v>
      </c>
      <c r="E83" s="76" t="s">
        <v>619</v>
      </c>
      <c r="F83" s="76" t="s">
        <v>619</v>
      </c>
      <c r="G83" s="76" t="s">
        <v>619</v>
      </c>
      <c r="H83" s="76" t="s">
        <v>619</v>
      </c>
    </row>
    <row r="84" spans="1:8">
      <c r="A84" s="74">
        <v>95</v>
      </c>
      <c r="B84" s="73" t="s">
        <v>914</v>
      </c>
      <c r="C84" s="74" t="s">
        <v>915</v>
      </c>
      <c r="D84" s="74" t="s">
        <v>4939</v>
      </c>
      <c r="E84" s="74" t="s">
        <v>1091</v>
      </c>
      <c r="F84" s="74" t="s">
        <v>619</v>
      </c>
      <c r="G84" s="74" t="s">
        <v>619</v>
      </c>
      <c r="H84" s="74" t="s">
        <v>619</v>
      </c>
    </row>
    <row r="85" spans="1:8">
      <c r="A85" s="74">
        <v>97</v>
      </c>
      <c r="B85" s="73" t="s">
        <v>917</v>
      </c>
      <c r="C85" s="74" t="s">
        <v>918</v>
      </c>
      <c r="D85" s="74" t="s">
        <v>4939</v>
      </c>
      <c r="E85" s="74" t="s">
        <v>1091</v>
      </c>
      <c r="F85" s="74" t="s">
        <v>6486</v>
      </c>
      <c r="G85" s="74" t="s">
        <v>1081</v>
      </c>
      <c r="H85" s="74" t="s">
        <v>6487</v>
      </c>
    </row>
    <row r="86" spans="1:8">
      <c r="A86" s="76">
        <v>98</v>
      </c>
      <c r="B86" s="77" t="s">
        <v>922</v>
      </c>
      <c r="C86" s="76" t="s">
        <v>923</v>
      </c>
      <c r="D86" s="76" t="s">
        <v>6488</v>
      </c>
      <c r="E86" s="76"/>
      <c r="F86" s="76" t="s">
        <v>619</v>
      </c>
      <c r="G86" s="76" t="s">
        <v>1079</v>
      </c>
      <c r="H86" s="76"/>
    </row>
    <row r="87" spans="1:8">
      <c r="A87" s="74">
        <v>99</v>
      </c>
      <c r="B87" s="497" t="s">
        <v>136</v>
      </c>
      <c r="C87" s="74" t="s">
        <v>1080</v>
      </c>
      <c r="D87" s="74"/>
      <c r="E87" s="74"/>
      <c r="F87" s="74" t="s">
        <v>6489</v>
      </c>
      <c r="G87" s="74" t="s">
        <v>1088</v>
      </c>
      <c r="H87" s="74" t="s">
        <v>6490</v>
      </c>
    </row>
    <row r="88" spans="1:8">
      <c r="A88" s="76">
        <v>100</v>
      </c>
      <c r="B88" s="496" t="s">
        <v>160</v>
      </c>
      <c r="C88" s="76" t="s">
        <v>2484</v>
      </c>
      <c r="D88" s="76"/>
      <c r="E88" s="76"/>
      <c r="F88" s="76"/>
      <c r="G88" s="76" t="s">
        <v>1078</v>
      </c>
      <c r="H88" s="76" t="s">
        <v>6491</v>
      </c>
    </row>
    <row r="89" spans="1:8">
      <c r="A89" s="74">
        <v>105</v>
      </c>
      <c r="B89" s="73" t="s">
        <v>82</v>
      </c>
      <c r="C89" s="74" t="s">
        <v>926</v>
      </c>
      <c r="D89" s="74" t="s">
        <v>6492</v>
      </c>
      <c r="E89" s="74"/>
      <c r="F89" s="74" t="s">
        <v>6493</v>
      </c>
      <c r="G89" s="74" t="s">
        <v>1088</v>
      </c>
      <c r="H89" s="74" t="s">
        <v>619</v>
      </c>
    </row>
    <row r="90" spans="1:8">
      <c r="A90" s="76">
        <v>106</v>
      </c>
      <c r="B90" s="77" t="s">
        <v>72</v>
      </c>
      <c r="C90" s="76" t="s">
        <v>928</v>
      </c>
      <c r="D90" s="76" t="s">
        <v>6494</v>
      </c>
      <c r="E90" s="76"/>
      <c r="F90" s="76" t="s">
        <v>6495</v>
      </c>
      <c r="G90" s="76" t="s">
        <v>1088</v>
      </c>
      <c r="H90" s="76" t="s">
        <v>6496</v>
      </c>
    </row>
    <row r="91" spans="1:8">
      <c r="A91" s="74">
        <v>107</v>
      </c>
      <c r="B91" s="73" t="s">
        <v>92</v>
      </c>
      <c r="C91" s="74" t="s">
        <v>932</v>
      </c>
      <c r="D91" s="74" t="s">
        <v>4939</v>
      </c>
      <c r="E91" s="74" t="s">
        <v>1091</v>
      </c>
      <c r="F91" s="74" t="s">
        <v>6497</v>
      </c>
      <c r="G91" s="74" t="s">
        <v>1088</v>
      </c>
      <c r="H91" s="74" t="s">
        <v>6498</v>
      </c>
    </row>
    <row r="94" spans="1:8" ht="16.2">
      <c r="A94" s="10" t="s">
        <v>6377</v>
      </c>
    </row>
    <row r="95" spans="1:8" ht="14.4" thickBot="1">
      <c r="A95" s="545" t="s">
        <v>609</v>
      </c>
      <c r="B95" s="545" t="s">
        <v>610</v>
      </c>
      <c r="C95" s="545" t="s">
        <v>611</v>
      </c>
      <c r="D95" s="545" t="s">
        <v>6389</v>
      </c>
      <c r="E95" s="545" t="s">
        <v>6390</v>
      </c>
      <c r="F95" s="546" t="s">
        <v>6391</v>
      </c>
      <c r="G95" s="545" t="s">
        <v>6392</v>
      </c>
      <c r="H95" s="545" t="s">
        <v>6393</v>
      </c>
    </row>
    <row r="96" spans="1:8">
      <c r="A96" s="546"/>
      <c r="B96" s="546"/>
      <c r="C96" s="546"/>
      <c r="D96" s="546"/>
      <c r="E96" s="546"/>
      <c r="F96" s="547"/>
      <c r="G96" s="546"/>
      <c r="H96" s="546"/>
    </row>
    <row r="97" spans="1:8">
      <c r="A97" s="71">
        <v>1</v>
      </c>
      <c r="B97" s="90" t="s">
        <v>1023</v>
      </c>
      <c r="C97" s="71" t="s">
        <v>1024</v>
      </c>
      <c r="D97" s="71" t="s">
        <v>6499</v>
      </c>
      <c r="E97" s="71" t="s">
        <v>6500</v>
      </c>
      <c r="F97" s="87" t="s">
        <v>6501</v>
      </c>
      <c r="G97" s="71" t="s">
        <v>1088</v>
      </c>
      <c r="H97" s="71" t="s">
        <v>5151</v>
      </c>
    </row>
    <row r="98" spans="1:8">
      <c r="A98" s="76">
        <v>2</v>
      </c>
      <c r="B98" s="77" t="s">
        <v>1027</v>
      </c>
      <c r="C98" s="76" t="s">
        <v>1028</v>
      </c>
      <c r="D98" s="76" t="s">
        <v>6499</v>
      </c>
      <c r="E98" s="76" t="s">
        <v>6500</v>
      </c>
      <c r="F98" s="76" t="s">
        <v>6502</v>
      </c>
      <c r="G98" s="76" t="s">
        <v>1088</v>
      </c>
      <c r="H98" s="76" t="s">
        <v>5151</v>
      </c>
    </row>
    <row r="99" spans="1:8">
      <c r="A99" s="71">
        <v>3</v>
      </c>
      <c r="B99" s="73" t="s">
        <v>1029</v>
      </c>
      <c r="C99" s="74" t="s">
        <v>1030</v>
      </c>
      <c r="D99" s="74" t="s">
        <v>6499</v>
      </c>
      <c r="E99" s="74" t="s">
        <v>6500</v>
      </c>
      <c r="F99" s="74" t="s">
        <v>6503</v>
      </c>
      <c r="G99" s="74" t="s">
        <v>1088</v>
      </c>
      <c r="H99" s="74" t="s">
        <v>5151</v>
      </c>
    </row>
    <row r="100" spans="1:8">
      <c r="A100" s="76">
        <v>4</v>
      </c>
      <c r="B100" s="77" t="s">
        <v>1032</v>
      </c>
      <c r="C100" s="76" t="s">
        <v>1033</v>
      </c>
      <c r="D100" s="76" t="s">
        <v>6499</v>
      </c>
      <c r="E100" s="76" t="s">
        <v>6500</v>
      </c>
      <c r="F100" s="76" t="s">
        <v>6504</v>
      </c>
      <c r="G100" s="76" t="s">
        <v>1088</v>
      </c>
      <c r="H100" s="76" t="s">
        <v>5151</v>
      </c>
    </row>
    <row r="101" spans="1:8">
      <c r="A101" s="71">
        <v>5</v>
      </c>
      <c r="B101" s="73" t="s">
        <v>1035</v>
      </c>
      <c r="C101" s="74" t="s">
        <v>1036</v>
      </c>
      <c r="D101" s="74" t="s">
        <v>6499</v>
      </c>
      <c r="E101" s="74" t="s">
        <v>6500</v>
      </c>
      <c r="F101" s="74" t="s">
        <v>6505</v>
      </c>
      <c r="G101" s="74" t="s">
        <v>1088</v>
      </c>
      <c r="H101" s="74" t="s">
        <v>5151</v>
      </c>
    </row>
    <row r="102" spans="1:8">
      <c r="A102" s="76">
        <v>6</v>
      </c>
      <c r="B102" s="77" t="s">
        <v>1039</v>
      </c>
      <c r="C102" s="76" t="s">
        <v>1040</v>
      </c>
      <c r="D102" s="76" t="s">
        <v>6499</v>
      </c>
      <c r="E102" s="76" t="s">
        <v>6500</v>
      </c>
      <c r="F102" s="76" t="s">
        <v>619</v>
      </c>
      <c r="G102" s="76" t="s">
        <v>1088</v>
      </c>
      <c r="H102" s="76" t="s">
        <v>6506</v>
      </c>
    </row>
    <row r="103" spans="1:8">
      <c r="A103" s="71">
        <v>7</v>
      </c>
      <c r="B103" s="73" t="s">
        <v>1051</v>
      </c>
      <c r="C103" s="74" t="s">
        <v>1052</v>
      </c>
      <c r="D103" s="74" t="s">
        <v>6507</v>
      </c>
      <c r="E103" s="74" t="s">
        <v>6408</v>
      </c>
      <c r="F103" s="74" t="s">
        <v>6508</v>
      </c>
      <c r="G103" s="74" t="s">
        <v>1088</v>
      </c>
      <c r="H103" s="74" t="s">
        <v>6509</v>
      </c>
    </row>
  </sheetData>
  <autoFilter ref="A6:H91"/>
  <mergeCells count="16">
    <mergeCell ref="G6:G7"/>
    <mergeCell ref="H6:H7"/>
    <mergeCell ref="A95:A96"/>
    <mergeCell ref="B95:B96"/>
    <mergeCell ref="C95:C96"/>
    <mergeCell ref="D95:D96"/>
    <mergeCell ref="E95:E96"/>
    <mergeCell ref="F95:F96"/>
    <mergeCell ref="G95:G96"/>
    <mergeCell ref="H95:H96"/>
    <mergeCell ref="A6:A7"/>
    <mergeCell ref="B6:B7"/>
    <mergeCell ref="C6:C7"/>
    <mergeCell ref="D6:D7"/>
    <mergeCell ref="E6:E7"/>
    <mergeCell ref="F6:F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3:G49"/>
  <sheetViews>
    <sheetView zoomScale="80" zoomScaleNormal="80" workbookViewId="0">
      <selection activeCell="A3" sqref="A3"/>
    </sheetView>
  </sheetViews>
  <sheetFormatPr baseColWidth="10" defaultRowHeight="13.8"/>
  <cols>
    <col min="2" max="2" width="201.3984375" bestFit="1" customWidth="1"/>
  </cols>
  <sheetData>
    <row r="3" spans="1:7" ht="16.2">
      <c r="A3" s="10" t="s">
        <v>3330</v>
      </c>
    </row>
    <row r="5" spans="1:7" ht="14.4" thickBot="1">
      <c r="B5" s="1" t="s">
        <v>3285</v>
      </c>
    </row>
    <row r="6" spans="1:7" ht="14.4" thickTop="1">
      <c r="B6" s="7" t="s">
        <v>3286</v>
      </c>
    </row>
    <row r="7" spans="1:7">
      <c r="B7" s="6" t="s">
        <v>3287</v>
      </c>
    </row>
    <row r="8" spans="1:7">
      <c r="B8" s="7" t="s">
        <v>3288</v>
      </c>
    </row>
    <row r="9" spans="1:7">
      <c r="B9" s="6" t="s">
        <v>3289</v>
      </c>
    </row>
    <row r="10" spans="1:7">
      <c r="B10" s="7" t="s">
        <v>3290</v>
      </c>
    </row>
    <row r="11" spans="1:7">
      <c r="B11" s="6" t="s">
        <v>3291</v>
      </c>
    </row>
    <row r="12" spans="1:7">
      <c r="B12" s="7" t="s">
        <v>3292</v>
      </c>
      <c r="C12" s="238"/>
      <c r="D12" s="238"/>
      <c r="E12" s="238"/>
      <c r="F12" s="238"/>
      <c r="G12" s="238"/>
    </row>
    <row r="13" spans="1:7">
      <c r="B13" s="6" t="s">
        <v>3293</v>
      </c>
    </row>
    <row r="14" spans="1:7">
      <c r="B14" s="7" t="s">
        <v>3294</v>
      </c>
    </row>
    <row r="15" spans="1:7">
      <c r="B15" s="6" t="s">
        <v>3295</v>
      </c>
    </row>
    <row r="16" spans="1:7">
      <c r="B16" s="7" t="s">
        <v>3296</v>
      </c>
    </row>
    <row r="17" spans="2:2">
      <c r="B17" s="6" t="s">
        <v>3297</v>
      </c>
    </row>
    <row r="18" spans="2:2">
      <c r="B18" s="7" t="s">
        <v>3298</v>
      </c>
    </row>
    <row r="19" spans="2:2" ht="14.4" thickBot="1">
      <c r="B19" s="1" t="s">
        <v>3299</v>
      </c>
    </row>
    <row r="20" spans="2:2" ht="14.4" thickTop="1">
      <c r="B20" s="239" t="s">
        <v>3300</v>
      </c>
    </row>
    <row r="21" spans="2:2">
      <c r="B21" s="6" t="s">
        <v>3301</v>
      </c>
    </row>
    <row r="22" spans="2:2">
      <c r="B22" s="7" t="s">
        <v>3302</v>
      </c>
    </row>
    <row r="23" spans="2:2">
      <c r="B23" s="6" t="s">
        <v>3303</v>
      </c>
    </row>
    <row r="24" spans="2:2">
      <c r="B24" s="7" t="s">
        <v>3304</v>
      </c>
    </row>
    <row r="25" spans="2:2">
      <c r="B25" s="6" t="s">
        <v>3305</v>
      </c>
    </row>
    <row r="26" spans="2:2">
      <c r="B26" s="7" t="s">
        <v>3306</v>
      </c>
    </row>
    <row r="27" spans="2:2">
      <c r="B27" s="6" t="s">
        <v>3307</v>
      </c>
    </row>
    <row r="28" spans="2:2">
      <c r="B28" s="7" t="s">
        <v>3308</v>
      </c>
    </row>
    <row r="29" spans="2:2">
      <c r="B29" s="6" t="s">
        <v>3309</v>
      </c>
    </row>
    <row r="30" spans="2:2">
      <c r="B30" s="7" t="s">
        <v>3310</v>
      </c>
    </row>
    <row r="31" spans="2:2">
      <c r="B31" s="6" t="s">
        <v>3311</v>
      </c>
    </row>
    <row r="32" spans="2:2">
      <c r="B32" s="7" t="s">
        <v>3312</v>
      </c>
    </row>
    <row r="33" spans="2:2">
      <c r="B33" s="6" t="s">
        <v>3313</v>
      </c>
    </row>
    <row r="34" spans="2:2">
      <c r="B34" s="7" t="s">
        <v>3314</v>
      </c>
    </row>
    <row r="35" spans="2:2">
      <c r="B35" s="6" t="s">
        <v>3315</v>
      </c>
    </row>
    <row r="36" spans="2:2">
      <c r="B36" s="7" t="s">
        <v>3316</v>
      </c>
    </row>
    <row r="37" spans="2:2">
      <c r="B37" s="6" t="s">
        <v>3317</v>
      </c>
    </row>
    <row r="38" spans="2:2">
      <c r="B38" s="7" t="s">
        <v>3318</v>
      </c>
    </row>
    <row r="39" spans="2:2">
      <c r="B39" s="6" t="s">
        <v>3319</v>
      </c>
    </row>
    <row r="40" spans="2:2">
      <c r="B40" s="7" t="s">
        <v>3320</v>
      </c>
    </row>
    <row r="41" spans="2:2">
      <c r="B41" s="6" t="s">
        <v>3321</v>
      </c>
    </row>
    <row r="42" spans="2:2">
      <c r="B42" s="7" t="s">
        <v>3322</v>
      </c>
    </row>
    <row r="43" spans="2:2">
      <c r="B43" s="6" t="s">
        <v>3323</v>
      </c>
    </row>
    <row r="44" spans="2:2">
      <c r="B44" s="7" t="s">
        <v>3324</v>
      </c>
    </row>
    <row r="45" spans="2:2">
      <c r="B45" s="6" t="s">
        <v>3325</v>
      </c>
    </row>
    <row r="46" spans="2:2">
      <c r="B46" s="7" t="s">
        <v>3326</v>
      </c>
    </row>
    <row r="47" spans="2:2">
      <c r="B47" s="6" t="s">
        <v>3327</v>
      </c>
    </row>
    <row r="48" spans="2:2">
      <c r="B48" s="7" t="s">
        <v>3328</v>
      </c>
    </row>
    <row r="49" spans="2:2">
      <c r="B49" s="6" t="s">
        <v>3329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3:H29"/>
  <sheetViews>
    <sheetView zoomScale="90" zoomScaleNormal="90" zoomScaleSheetLayoutView="55" zoomScalePageLayoutView="70" workbookViewId="0">
      <selection activeCell="A3" sqref="A3"/>
    </sheetView>
  </sheetViews>
  <sheetFormatPr baseColWidth="10" defaultColWidth="128" defaultRowHeight="16.8"/>
  <cols>
    <col min="1" max="1" width="8" style="12" bestFit="1" customWidth="1"/>
    <col min="2" max="2" width="71.59765625" style="11" bestFit="1" customWidth="1"/>
    <col min="3" max="3" width="17.69921875" style="12" bestFit="1" customWidth="1"/>
    <col min="4" max="4" width="11.296875" style="12" bestFit="1" customWidth="1"/>
    <col min="5" max="5" width="19.3984375" style="12" customWidth="1"/>
    <col min="6" max="6" width="17.296875" style="12" bestFit="1" customWidth="1"/>
    <col min="7" max="7" width="43" style="11" bestFit="1" customWidth="1"/>
    <col min="8" max="8" width="17.69921875" style="11" customWidth="1"/>
    <col min="9" max="16384" width="128" style="11"/>
  </cols>
  <sheetData>
    <row r="3" spans="1:8">
      <c r="A3" s="10" t="s">
        <v>2202</v>
      </c>
    </row>
    <row r="7" spans="1:8" ht="17.399999999999999" thickBot="1">
      <c r="A7" s="1" t="s">
        <v>3</v>
      </c>
      <c r="B7" s="1" t="s">
        <v>6</v>
      </c>
      <c r="C7" s="1" t="s">
        <v>37</v>
      </c>
      <c r="D7" s="1" t="s">
        <v>8</v>
      </c>
      <c r="E7" s="1" t="s">
        <v>38</v>
      </c>
      <c r="F7" s="1" t="s">
        <v>2</v>
      </c>
      <c r="G7" s="1" t="s">
        <v>39</v>
      </c>
      <c r="H7" s="1" t="s">
        <v>40</v>
      </c>
    </row>
    <row r="8" spans="1:8" ht="17.399999999999999" thickTop="1">
      <c r="A8" s="16">
        <v>1</v>
      </c>
      <c r="B8" s="30" t="s">
        <v>41</v>
      </c>
      <c r="C8" s="28">
        <v>661</v>
      </c>
      <c r="D8" s="17" t="s">
        <v>13</v>
      </c>
      <c r="E8" s="18">
        <v>50186</v>
      </c>
      <c r="F8" s="19" t="s">
        <v>16</v>
      </c>
      <c r="G8" s="20" t="s">
        <v>42</v>
      </c>
      <c r="H8" s="21">
        <v>44586</v>
      </c>
    </row>
    <row r="9" spans="1:8">
      <c r="A9" s="22">
        <v>2</v>
      </c>
      <c r="B9" s="31" t="s">
        <v>43</v>
      </c>
      <c r="C9" s="29">
        <v>13102</v>
      </c>
      <c r="D9" s="23" t="s">
        <v>44</v>
      </c>
      <c r="E9" s="24">
        <v>45525</v>
      </c>
      <c r="F9" s="25" t="s">
        <v>14</v>
      </c>
      <c r="G9" s="26" t="s">
        <v>45</v>
      </c>
      <c r="H9" s="27">
        <v>44589</v>
      </c>
    </row>
    <row r="10" spans="1:8">
      <c r="A10" s="16">
        <v>3</v>
      </c>
      <c r="B10" s="30" t="s">
        <v>43</v>
      </c>
      <c r="C10" s="28">
        <v>13103</v>
      </c>
      <c r="D10" s="17" t="s">
        <v>44</v>
      </c>
      <c r="E10" s="18">
        <v>43698</v>
      </c>
      <c r="F10" s="19" t="s">
        <v>14</v>
      </c>
      <c r="G10" s="20" t="s">
        <v>46</v>
      </c>
      <c r="H10" s="21">
        <v>44589</v>
      </c>
    </row>
    <row r="11" spans="1:8">
      <c r="A11" s="22">
        <v>4</v>
      </c>
      <c r="B11" s="31" t="s">
        <v>47</v>
      </c>
      <c r="C11" s="29">
        <v>12336</v>
      </c>
      <c r="D11" s="23" t="s">
        <v>18</v>
      </c>
      <c r="E11" s="24">
        <v>46418</v>
      </c>
      <c r="F11" s="25" t="s">
        <v>16</v>
      </c>
      <c r="G11" s="26" t="s">
        <v>48</v>
      </c>
      <c r="H11" s="27">
        <v>44655</v>
      </c>
    </row>
    <row r="12" spans="1:8">
      <c r="A12" s="16">
        <v>5</v>
      </c>
      <c r="B12" s="30" t="s">
        <v>47</v>
      </c>
      <c r="C12" s="28">
        <v>12518</v>
      </c>
      <c r="D12" s="17" t="s">
        <v>18</v>
      </c>
      <c r="E12" s="18">
        <v>46418</v>
      </c>
      <c r="F12" s="19" t="s">
        <v>16</v>
      </c>
      <c r="G12" s="20" t="s">
        <v>48</v>
      </c>
      <c r="H12" s="21">
        <v>44655</v>
      </c>
    </row>
    <row r="13" spans="1:8">
      <c r="A13" s="22">
        <v>6</v>
      </c>
      <c r="B13" s="31" t="s">
        <v>27</v>
      </c>
      <c r="C13" s="29">
        <v>12688</v>
      </c>
      <c r="D13" s="23" t="s">
        <v>18</v>
      </c>
      <c r="E13" s="24">
        <v>46489</v>
      </c>
      <c r="F13" s="25" t="s">
        <v>14</v>
      </c>
      <c r="G13" s="26" t="s">
        <v>49</v>
      </c>
      <c r="H13" s="27">
        <v>44684</v>
      </c>
    </row>
    <row r="14" spans="1:8">
      <c r="A14" s="16">
        <v>7</v>
      </c>
      <c r="B14" s="30" t="s">
        <v>27</v>
      </c>
      <c r="C14" s="28">
        <v>12689</v>
      </c>
      <c r="D14" s="17" t="s">
        <v>18</v>
      </c>
      <c r="E14" s="18">
        <v>46489</v>
      </c>
      <c r="F14" s="19" t="s">
        <v>14</v>
      </c>
      <c r="G14" s="20" t="s">
        <v>50</v>
      </c>
      <c r="H14" s="21">
        <v>44684</v>
      </c>
    </row>
    <row r="15" spans="1:8">
      <c r="A15" s="22">
        <v>8</v>
      </c>
      <c r="B15" s="31" t="s">
        <v>51</v>
      </c>
      <c r="C15" s="29">
        <v>1298</v>
      </c>
      <c r="D15" s="23" t="s">
        <v>18</v>
      </c>
      <c r="E15" s="24">
        <v>44552</v>
      </c>
      <c r="F15" s="25" t="s">
        <v>22</v>
      </c>
      <c r="G15" s="26" t="s">
        <v>52</v>
      </c>
      <c r="H15" s="27">
        <v>44687</v>
      </c>
    </row>
    <row r="16" spans="1:8">
      <c r="A16" s="16">
        <v>9</v>
      </c>
      <c r="B16" s="30" t="s">
        <v>51</v>
      </c>
      <c r="C16" s="28">
        <v>1301</v>
      </c>
      <c r="D16" s="17" t="s">
        <v>18</v>
      </c>
      <c r="E16" s="18">
        <v>44552</v>
      </c>
      <c r="F16" s="19" t="s">
        <v>22</v>
      </c>
      <c r="G16" s="20" t="s">
        <v>53</v>
      </c>
      <c r="H16" s="21">
        <v>44718</v>
      </c>
    </row>
    <row r="17" spans="1:8">
      <c r="A17" s="22">
        <v>10</v>
      </c>
      <c r="B17" s="31" t="s">
        <v>51</v>
      </c>
      <c r="C17" s="29">
        <v>1302</v>
      </c>
      <c r="D17" s="23" t="s">
        <v>18</v>
      </c>
      <c r="E17" s="24">
        <v>44552</v>
      </c>
      <c r="F17" s="25" t="s">
        <v>22</v>
      </c>
      <c r="G17" s="26" t="s">
        <v>54</v>
      </c>
      <c r="H17" s="27">
        <v>44718</v>
      </c>
    </row>
    <row r="18" spans="1:8">
      <c r="A18" s="16">
        <v>11</v>
      </c>
      <c r="B18" s="30" t="s">
        <v>55</v>
      </c>
      <c r="C18" s="28">
        <v>78</v>
      </c>
      <c r="D18" s="17" t="s">
        <v>13</v>
      </c>
      <c r="E18" s="18">
        <v>48216</v>
      </c>
      <c r="F18" s="19" t="s">
        <v>56</v>
      </c>
      <c r="G18" s="20" t="s">
        <v>57</v>
      </c>
      <c r="H18" s="21">
        <v>44776</v>
      </c>
    </row>
    <row r="19" spans="1:8">
      <c r="A19" s="22">
        <v>12</v>
      </c>
      <c r="B19" s="31" t="s">
        <v>58</v>
      </c>
      <c r="C19" s="29">
        <v>4029</v>
      </c>
      <c r="D19" s="23" t="s">
        <v>18</v>
      </c>
      <c r="E19" s="24">
        <v>44397</v>
      </c>
      <c r="F19" s="25" t="s">
        <v>59</v>
      </c>
      <c r="G19" s="26" t="s">
        <v>60</v>
      </c>
      <c r="H19" s="27">
        <v>44776</v>
      </c>
    </row>
    <row r="20" spans="1:8">
      <c r="A20" s="16">
        <v>13</v>
      </c>
      <c r="B20" s="30" t="s">
        <v>58</v>
      </c>
      <c r="C20" s="28">
        <v>4030</v>
      </c>
      <c r="D20" s="17" t="s">
        <v>18</v>
      </c>
      <c r="E20" s="18">
        <v>44397</v>
      </c>
      <c r="F20" s="19" t="s">
        <v>59</v>
      </c>
      <c r="G20" s="20" t="s">
        <v>61</v>
      </c>
      <c r="H20" s="21">
        <v>44776</v>
      </c>
    </row>
    <row r="21" spans="1:8">
      <c r="A21" s="22">
        <v>14</v>
      </c>
      <c r="B21" s="31" t="s">
        <v>62</v>
      </c>
      <c r="C21" s="29">
        <v>8210</v>
      </c>
      <c r="D21" s="23" t="s">
        <v>30</v>
      </c>
      <c r="E21" s="24">
        <v>45854</v>
      </c>
      <c r="F21" s="25" t="s">
        <v>14</v>
      </c>
      <c r="G21" s="26" t="s">
        <v>63</v>
      </c>
      <c r="H21" s="27">
        <v>44776</v>
      </c>
    </row>
    <row r="22" spans="1:8">
      <c r="A22" s="16">
        <v>15</v>
      </c>
      <c r="B22" s="30" t="s">
        <v>64</v>
      </c>
      <c r="C22" s="28">
        <v>11516</v>
      </c>
      <c r="D22" s="17" t="s">
        <v>13</v>
      </c>
      <c r="E22" s="18">
        <v>50297</v>
      </c>
      <c r="F22" s="19" t="s">
        <v>14</v>
      </c>
      <c r="G22" s="20" t="s">
        <v>65</v>
      </c>
      <c r="H22" s="21">
        <v>44795</v>
      </c>
    </row>
    <row r="23" spans="1:8">
      <c r="A23" s="22">
        <v>16</v>
      </c>
      <c r="B23" s="31" t="s">
        <v>64</v>
      </c>
      <c r="C23" s="29">
        <v>11517</v>
      </c>
      <c r="D23" s="23" t="s">
        <v>13</v>
      </c>
      <c r="E23" s="24">
        <v>50297</v>
      </c>
      <c r="F23" s="25" t="s">
        <v>14</v>
      </c>
      <c r="G23" s="26" t="s">
        <v>66</v>
      </c>
      <c r="H23" s="27">
        <v>44795</v>
      </c>
    </row>
    <row r="24" spans="1:8">
      <c r="A24" s="16">
        <v>17</v>
      </c>
      <c r="B24" s="30" t="s">
        <v>67</v>
      </c>
      <c r="C24" s="28">
        <v>6585</v>
      </c>
      <c r="D24" s="17" t="s">
        <v>21</v>
      </c>
      <c r="E24" s="18">
        <v>45915</v>
      </c>
      <c r="F24" s="19" t="s">
        <v>16</v>
      </c>
      <c r="G24" s="20" t="s">
        <v>68</v>
      </c>
      <c r="H24" s="21">
        <v>44882</v>
      </c>
    </row>
    <row r="25" spans="1:8">
      <c r="A25" s="22">
        <v>18</v>
      </c>
      <c r="B25" s="31" t="s">
        <v>67</v>
      </c>
      <c r="C25" s="29">
        <v>7659</v>
      </c>
      <c r="D25" s="23" t="s">
        <v>21</v>
      </c>
      <c r="E25" s="24">
        <v>44089</v>
      </c>
      <c r="F25" s="25" t="s">
        <v>16</v>
      </c>
      <c r="G25" s="26" t="s">
        <v>69</v>
      </c>
      <c r="H25" s="27">
        <v>44882</v>
      </c>
    </row>
    <row r="26" spans="1:8">
      <c r="A26" s="16">
        <v>19</v>
      </c>
      <c r="B26" s="30" t="s">
        <v>28</v>
      </c>
      <c r="C26" s="28">
        <v>13378</v>
      </c>
      <c r="D26" s="17" t="s">
        <v>18</v>
      </c>
      <c r="E26" s="18">
        <v>46645</v>
      </c>
      <c r="F26" s="19" t="s">
        <v>70</v>
      </c>
      <c r="G26" s="20" t="s">
        <v>71</v>
      </c>
      <c r="H26" s="21">
        <v>44898</v>
      </c>
    </row>
    <row r="27" spans="1:8">
      <c r="A27" s="22">
        <v>20</v>
      </c>
      <c r="B27" s="31" t="s">
        <v>72</v>
      </c>
      <c r="C27" s="29">
        <v>11880</v>
      </c>
      <c r="D27" s="23" t="s">
        <v>18</v>
      </c>
      <c r="E27" s="24">
        <v>42151</v>
      </c>
      <c r="F27" s="25" t="s">
        <v>73</v>
      </c>
      <c r="G27" s="26" t="s">
        <v>74</v>
      </c>
      <c r="H27" s="27">
        <v>44909</v>
      </c>
    </row>
    <row r="28" spans="1:8">
      <c r="A28" s="16">
        <v>21</v>
      </c>
      <c r="B28" s="30" t="s">
        <v>75</v>
      </c>
      <c r="C28" s="28">
        <v>235</v>
      </c>
      <c r="D28" s="17" t="s">
        <v>13</v>
      </c>
      <c r="E28" s="18">
        <v>44779</v>
      </c>
      <c r="F28" s="19" t="s">
        <v>56</v>
      </c>
      <c r="G28" s="20" t="s">
        <v>76</v>
      </c>
      <c r="H28" s="21">
        <v>44923</v>
      </c>
    </row>
    <row r="29" spans="1:8">
      <c r="A29" s="14"/>
      <c r="B29" s="15"/>
      <c r="C29" s="14"/>
      <c r="D29" s="14"/>
      <c r="E29" s="14"/>
      <c r="F29" s="14"/>
      <c r="G29" s="15"/>
      <c r="H29" s="15"/>
    </row>
  </sheetData>
  <autoFilter ref="A7:H28"/>
  <pageMargins left="0.31496062992125984" right="0.23622047244094491" top="0.89330357142857142" bottom="0.86614173228346458" header="0.15748031496062992" footer="0.55118110236220474"/>
  <pageSetup paperSize="9" scale="68" fitToHeight="0" orientation="landscape" r:id="rId1"/>
  <headerFooter>
    <oddHeader>&amp;L&amp;"Tahoma,Gras"&amp;12&amp;K0070C0REPUBLIQUE DEMOCRATIQUE DU CONGO&amp;15
          CADASTRE MINIER&amp;C&amp;"Tahoma,Gras"&amp;18REGISTRE DES ARRETES DE RENOUVELLEMENT RECUS
&amp;UEXERCICE 2022&amp;U
&amp;G</oddHeader>
    <oddFooter>&amp;L&amp;"Courier New,Normal"&amp;10&amp;K02-011DatePublication &amp;Dà&amp;T
LandFolio_&amp;G&amp;R&amp;"Courier New,Gras"&amp;P de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3:I1144"/>
  <sheetViews>
    <sheetView topLeftCell="A1105" workbookViewId="0">
      <selection activeCell="A6" sqref="A6:I1144"/>
    </sheetView>
  </sheetViews>
  <sheetFormatPr baseColWidth="10" defaultRowHeight="13.8"/>
  <cols>
    <col min="1" max="1" width="11" bestFit="1" customWidth="1"/>
    <col min="2" max="2" width="63.69921875" bestFit="1" customWidth="1"/>
    <col min="5" max="5" width="11" bestFit="1" customWidth="1"/>
    <col min="6" max="7" width="13.69921875" bestFit="1" customWidth="1"/>
  </cols>
  <sheetData>
    <row r="3" spans="1:9" ht="16.2">
      <c r="A3" s="10" t="s">
        <v>2203</v>
      </c>
    </row>
    <row r="6" spans="1:9" ht="14.4" thickBot="1">
      <c r="A6" s="1" t="s">
        <v>3</v>
      </c>
      <c r="B6" s="1" t="s">
        <v>6</v>
      </c>
      <c r="C6" s="1" t="s">
        <v>7</v>
      </c>
      <c r="D6" s="1" t="s">
        <v>8</v>
      </c>
      <c r="E6" s="1" t="s">
        <v>9</v>
      </c>
      <c r="F6" s="1" t="s">
        <v>10</v>
      </c>
      <c r="G6" s="1" t="s">
        <v>11</v>
      </c>
      <c r="H6" s="1" t="s">
        <v>2</v>
      </c>
      <c r="I6" s="1" t="s">
        <v>77</v>
      </c>
    </row>
    <row r="7" spans="1:9" ht="15" thickTop="1">
      <c r="A7" s="34">
        <v>9</v>
      </c>
      <c r="B7" s="32" t="s">
        <v>78</v>
      </c>
      <c r="C7" s="34">
        <v>17</v>
      </c>
      <c r="D7" s="34" t="s">
        <v>13</v>
      </c>
      <c r="E7" s="34">
        <v>216</v>
      </c>
      <c r="F7" s="35">
        <v>36104</v>
      </c>
      <c r="G7" s="35">
        <v>48216</v>
      </c>
      <c r="H7" s="34" t="s">
        <v>56</v>
      </c>
      <c r="I7" s="34" t="s">
        <v>79</v>
      </c>
    </row>
    <row r="8" spans="1:9" ht="14.4">
      <c r="A8" s="36">
        <v>10</v>
      </c>
      <c r="B8" s="33" t="s">
        <v>80</v>
      </c>
      <c r="C8" s="36">
        <v>18</v>
      </c>
      <c r="D8" s="36" t="s">
        <v>13</v>
      </c>
      <c r="E8" s="36">
        <v>203</v>
      </c>
      <c r="F8" s="37">
        <v>42632</v>
      </c>
      <c r="G8" s="37">
        <v>48109</v>
      </c>
      <c r="H8" s="36" t="s">
        <v>56</v>
      </c>
      <c r="I8" s="36" t="s">
        <v>79</v>
      </c>
    </row>
    <row r="9" spans="1:9" ht="14.4">
      <c r="A9" s="34">
        <v>13</v>
      </c>
      <c r="B9" s="32" t="s">
        <v>81</v>
      </c>
      <c r="C9" s="34">
        <v>21</v>
      </c>
      <c r="D9" s="34" t="s">
        <v>13</v>
      </c>
      <c r="E9" s="34">
        <v>351</v>
      </c>
      <c r="F9" s="35">
        <v>42556</v>
      </c>
      <c r="G9" s="35">
        <v>48033</v>
      </c>
      <c r="H9" s="34" t="s">
        <v>56</v>
      </c>
      <c r="I9" s="34" t="s">
        <v>79</v>
      </c>
    </row>
    <row r="10" spans="1:9" ht="14.4">
      <c r="A10" s="36">
        <v>17</v>
      </c>
      <c r="B10" s="33" t="s">
        <v>82</v>
      </c>
      <c r="C10" s="36">
        <v>32</v>
      </c>
      <c r="D10" s="36" t="s">
        <v>13</v>
      </c>
      <c r="E10" s="36">
        <v>29</v>
      </c>
      <c r="F10" s="37">
        <v>43357</v>
      </c>
      <c r="G10" s="37">
        <v>48835</v>
      </c>
      <c r="H10" s="36" t="s">
        <v>16</v>
      </c>
      <c r="I10" s="36" t="s">
        <v>79</v>
      </c>
    </row>
    <row r="11" spans="1:9" ht="14.4">
      <c r="A11" s="34">
        <v>18</v>
      </c>
      <c r="B11" s="32" t="s">
        <v>83</v>
      </c>
      <c r="C11" s="34">
        <v>36</v>
      </c>
      <c r="D11" s="34" t="s">
        <v>13</v>
      </c>
      <c r="E11" s="34">
        <v>115</v>
      </c>
      <c r="F11" s="35">
        <v>42632</v>
      </c>
      <c r="G11" s="35">
        <v>48109</v>
      </c>
      <c r="H11" s="34" t="s">
        <v>84</v>
      </c>
      <c r="I11" s="34" t="s">
        <v>79</v>
      </c>
    </row>
    <row r="12" spans="1:9" ht="14.4">
      <c r="A12" s="36">
        <v>22</v>
      </c>
      <c r="B12" s="33" t="s">
        <v>85</v>
      </c>
      <c r="C12" s="36">
        <v>40</v>
      </c>
      <c r="D12" s="36" t="s">
        <v>13</v>
      </c>
      <c r="E12" s="36">
        <v>241</v>
      </c>
      <c r="F12" s="37">
        <v>42632</v>
      </c>
      <c r="G12" s="37">
        <v>48109</v>
      </c>
      <c r="H12" s="36" t="s">
        <v>84</v>
      </c>
      <c r="I12" s="36" t="s">
        <v>79</v>
      </c>
    </row>
    <row r="13" spans="1:9" ht="14.4">
      <c r="A13" s="34">
        <v>23</v>
      </c>
      <c r="B13" s="32" t="s">
        <v>85</v>
      </c>
      <c r="C13" s="34">
        <v>41</v>
      </c>
      <c r="D13" s="34" t="s">
        <v>13</v>
      </c>
      <c r="E13" s="34">
        <v>171</v>
      </c>
      <c r="F13" s="35">
        <v>42632</v>
      </c>
      <c r="G13" s="35">
        <v>48109</v>
      </c>
      <c r="H13" s="34" t="s">
        <v>84</v>
      </c>
      <c r="I13" s="34" t="s">
        <v>79</v>
      </c>
    </row>
    <row r="14" spans="1:9" ht="14.4">
      <c r="A14" s="36">
        <v>24</v>
      </c>
      <c r="B14" s="33" t="s">
        <v>85</v>
      </c>
      <c r="C14" s="36">
        <v>42</v>
      </c>
      <c r="D14" s="36" t="s">
        <v>13</v>
      </c>
      <c r="E14" s="36">
        <v>284</v>
      </c>
      <c r="F14" s="37">
        <v>42632</v>
      </c>
      <c r="G14" s="37">
        <v>48109</v>
      </c>
      <c r="H14" s="36" t="s">
        <v>84</v>
      </c>
      <c r="I14" s="36" t="s">
        <v>79</v>
      </c>
    </row>
    <row r="15" spans="1:9" ht="14.4">
      <c r="A15" s="34">
        <v>25</v>
      </c>
      <c r="B15" s="32" t="s">
        <v>85</v>
      </c>
      <c r="C15" s="34">
        <v>43</v>
      </c>
      <c r="D15" s="34" t="s">
        <v>13</v>
      </c>
      <c r="E15" s="34">
        <v>251</v>
      </c>
      <c r="F15" s="35">
        <v>42632</v>
      </c>
      <c r="G15" s="35">
        <v>48109</v>
      </c>
      <c r="H15" s="34" t="s">
        <v>84</v>
      </c>
      <c r="I15" s="34" t="s">
        <v>79</v>
      </c>
    </row>
    <row r="16" spans="1:9" ht="14.4">
      <c r="A16" s="36">
        <v>26</v>
      </c>
      <c r="B16" s="33" t="s">
        <v>85</v>
      </c>
      <c r="C16" s="36">
        <v>44</v>
      </c>
      <c r="D16" s="36" t="s">
        <v>13</v>
      </c>
      <c r="E16" s="36">
        <v>271</v>
      </c>
      <c r="F16" s="37">
        <v>42632</v>
      </c>
      <c r="G16" s="37">
        <v>48109</v>
      </c>
      <c r="H16" s="36" t="s">
        <v>84</v>
      </c>
      <c r="I16" s="36" t="s">
        <v>79</v>
      </c>
    </row>
    <row r="17" spans="1:9" ht="14.4">
      <c r="A17" s="34">
        <v>27</v>
      </c>
      <c r="B17" s="32" t="s">
        <v>85</v>
      </c>
      <c r="C17" s="34">
        <v>68</v>
      </c>
      <c r="D17" s="34" t="s">
        <v>13</v>
      </c>
      <c r="E17" s="34">
        <v>140</v>
      </c>
      <c r="F17" s="35">
        <v>42739</v>
      </c>
      <c r="G17" s="35">
        <v>48216</v>
      </c>
      <c r="H17" s="34" t="s">
        <v>84</v>
      </c>
      <c r="I17" s="34" t="s">
        <v>79</v>
      </c>
    </row>
    <row r="18" spans="1:9" ht="14.4">
      <c r="A18" s="36">
        <v>35</v>
      </c>
      <c r="B18" s="33" t="s">
        <v>78</v>
      </c>
      <c r="C18" s="36">
        <v>76</v>
      </c>
      <c r="D18" s="36" t="s">
        <v>13</v>
      </c>
      <c r="E18" s="36">
        <v>324</v>
      </c>
      <c r="F18" s="37">
        <v>36254</v>
      </c>
      <c r="G18" s="37">
        <v>48216</v>
      </c>
      <c r="H18" s="36" t="s">
        <v>19</v>
      </c>
      <c r="I18" s="36" t="s">
        <v>79</v>
      </c>
    </row>
    <row r="19" spans="1:9" ht="14.4">
      <c r="A19" s="34">
        <v>46</v>
      </c>
      <c r="B19" s="32" t="s">
        <v>86</v>
      </c>
      <c r="C19" s="34">
        <v>101</v>
      </c>
      <c r="D19" s="34" t="s">
        <v>13</v>
      </c>
      <c r="E19" s="34">
        <v>59</v>
      </c>
      <c r="F19" s="35">
        <v>44475</v>
      </c>
      <c r="G19" s="35">
        <v>49953</v>
      </c>
      <c r="H19" s="34" t="s">
        <v>14</v>
      </c>
      <c r="I19" s="34" t="s">
        <v>79</v>
      </c>
    </row>
    <row r="20" spans="1:9" ht="14.4">
      <c r="A20" s="36">
        <v>58</v>
      </c>
      <c r="B20" s="33" t="s">
        <v>87</v>
      </c>
      <c r="C20" s="36">
        <v>123</v>
      </c>
      <c r="D20" s="36" t="s">
        <v>13</v>
      </c>
      <c r="E20" s="36">
        <v>448</v>
      </c>
      <c r="F20" s="37">
        <v>44091</v>
      </c>
      <c r="G20" s="37">
        <v>49568</v>
      </c>
      <c r="H20" s="36" t="s">
        <v>16</v>
      </c>
      <c r="I20" s="36" t="s">
        <v>79</v>
      </c>
    </row>
    <row r="21" spans="1:9" ht="14.4">
      <c r="A21" s="34">
        <v>59</v>
      </c>
      <c r="B21" s="32" t="s">
        <v>88</v>
      </c>
      <c r="C21" s="34">
        <v>132</v>
      </c>
      <c r="D21" s="34" t="s">
        <v>21</v>
      </c>
      <c r="E21" s="34">
        <v>2</v>
      </c>
      <c r="F21" s="35">
        <v>43956</v>
      </c>
      <c r="G21" s="35">
        <v>45781</v>
      </c>
      <c r="H21" s="34" t="s">
        <v>89</v>
      </c>
      <c r="I21" s="34" t="s">
        <v>79</v>
      </c>
    </row>
    <row r="22" spans="1:9" ht="14.4">
      <c r="A22" s="36">
        <v>66</v>
      </c>
      <c r="B22" s="33" t="s">
        <v>87</v>
      </c>
      <c r="C22" s="36">
        <v>159</v>
      </c>
      <c r="D22" s="36" t="s">
        <v>13</v>
      </c>
      <c r="E22" s="36">
        <v>435</v>
      </c>
      <c r="F22" s="37">
        <v>40768</v>
      </c>
      <c r="G22" s="37">
        <v>46246</v>
      </c>
      <c r="H22" s="36" t="s">
        <v>16</v>
      </c>
      <c r="I22" s="36" t="s">
        <v>79</v>
      </c>
    </row>
    <row r="23" spans="1:9" ht="14.4">
      <c r="A23" s="34">
        <v>67</v>
      </c>
      <c r="B23" s="32" t="s">
        <v>55</v>
      </c>
      <c r="C23" s="34">
        <v>180</v>
      </c>
      <c r="D23" s="34" t="s">
        <v>13</v>
      </c>
      <c r="E23" s="34">
        <v>302</v>
      </c>
      <c r="F23" s="35">
        <v>38093</v>
      </c>
      <c r="G23" s="35">
        <v>44666</v>
      </c>
      <c r="H23" s="34" t="s">
        <v>56</v>
      </c>
      <c r="I23" s="34" t="s">
        <v>79</v>
      </c>
    </row>
    <row r="24" spans="1:9" ht="14.4">
      <c r="A24" s="36">
        <v>77</v>
      </c>
      <c r="B24" s="33" t="s">
        <v>90</v>
      </c>
      <c r="C24" s="36">
        <v>238</v>
      </c>
      <c r="D24" s="36" t="s">
        <v>13</v>
      </c>
      <c r="E24" s="36">
        <v>42</v>
      </c>
      <c r="F24" s="37">
        <v>34645</v>
      </c>
      <c r="G24" s="37">
        <v>44872</v>
      </c>
      <c r="H24" s="36" t="s">
        <v>84</v>
      </c>
      <c r="I24" s="36" t="s">
        <v>79</v>
      </c>
    </row>
    <row r="25" spans="1:9" ht="14.4">
      <c r="A25" s="34">
        <v>78</v>
      </c>
      <c r="B25" s="32" t="s">
        <v>91</v>
      </c>
      <c r="C25" s="34">
        <v>251</v>
      </c>
      <c r="D25" s="34" t="s">
        <v>13</v>
      </c>
      <c r="E25" s="34">
        <v>36</v>
      </c>
      <c r="F25" s="35">
        <v>42329</v>
      </c>
      <c r="G25" s="35">
        <v>45490</v>
      </c>
      <c r="H25" s="34" t="s">
        <v>26</v>
      </c>
      <c r="I25" s="34" t="s">
        <v>79</v>
      </c>
    </row>
    <row r="26" spans="1:9" ht="14.4">
      <c r="A26" s="36">
        <v>79</v>
      </c>
      <c r="B26" s="33" t="s">
        <v>91</v>
      </c>
      <c r="C26" s="36">
        <v>252</v>
      </c>
      <c r="D26" s="36" t="s">
        <v>13</v>
      </c>
      <c r="E26" s="36">
        <v>25</v>
      </c>
      <c r="F26" s="37">
        <v>42329</v>
      </c>
      <c r="G26" s="37">
        <v>45490</v>
      </c>
      <c r="H26" s="36" t="s">
        <v>26</v>
      </c>
      <c r="I26" s="36" t="s">
        <v>79</v>
      </c>
    </row>
    <row r="27" spans="1:9" ht="14.4">
      <c r="A27" s="34">
        <v>85</v>
      </c>
      <c r="B27" s="32" t="s">
        <v>92</v>
      </c>
      <c r="C27" s="34">
        <v>271</v>
      </c>
      <c r="D27" s="34" t="s">
        <v>13</v>
      </c>
      <c r="E27" s="34">
        <v>20</v>
      </c>
      <c r="F27" s="35">
        <v>42476</v>
      </c>
      <c r="G27" s="35">
        <v>47953</v>
      </c>
      <c r="H27" s="34" t="s">
        <v>14</v>
      </c>
      <c r="I27" s="34" t="s">
        <v>79</v>
      </c>
    </row>
    <row r="28" spans="1:9" ht="14.4">
      <c r="A28" s="36">
        <v>86</v>
      </c>
      <c r="B28" s="33" t="s">
        <v>93</v>
      </c>
      <c r="C28" s="36">
        <v>312</v>
      </c>
      <c r="D28" s="36" t="s">
        <v>13</v>
      </c>
      <c r="E28" s="36">
        <v>10</v>
      </c>
      <c r="F28" s="37">
        <v>42411</v>
      </c>
      <c r="G28" s="37">
        <v>54101</v>
      </c>
      <c r="H28" s="36" t="s">
        <v>26</v>
      </c>
      <c r="I28" s="36" t="s">
        <v>79</v>
      </c>
    </row>
    <row r="29" spans="1:9" ht="14.4">
      <c r="A29" s="34">
        <v>88</v>
      </c>
      <c r="B29" s="32" t="s">
        <v>86</v>
      </c>
      <c r="C29" s="34">
        <v>330</v>
      </c>
      <c r="D29" s="34" t="s">
        <v>13</v>
      </c>
      <c r="E29" s="34">
        <v>28</v>
      </c>
      <c r="F29" s="35">
        <v>42764</v>
      </c>
      <c r="G29" s="35">
        <v>48241</v>
      </c>
      <c r="H29" s="34" t="s">
        <v>14</v>
      </c>
      <c r="I29" s="34" t="s">
        <v>79</v>
      </c>
    </row>
    <row r="30" spans="1:9" ht="14.4">
      <c r="A30" s="36">
        <v>94</v>
      </c>
      <c r="B30" s="33" t="s">
        <v>72</v>
      </c>
      <c r="C30" s="36">
        <v>366</v>
      </c>
      <c r="D30" s="36" t="s">
        <v>13</v>
      </c>
      <c r="E30" s="36">
        <v>3</v>
      </c>
      <c r="F30" s="37">
        <v>39676</v>
      </c>
      <c r="G30" s="37">
        <v>45153</v>
      </c>
      <c r="H30" s="36" t="s">
        <v>94</v>
      </c>
      <c r="I30" s="36" t="s">
        <v>79</v>
      </c>
    </row>
    <row r="31" spans="1:9" ht="14.4">
      <c r="A31" s="34">
        <v>96</v>
      </c>
      <c r="B31" s="32" t="s">
        <v>72</v>
      </c>
      <c r="C31" s="34">
        <v>382</v>
      </c>
      <c r="D31" s="34" t="s">
        <v>13</v>
      </c>
      <c r="E31" s="34">
        <v>3</v>
      </c>
      <c r="F31" s="35">
        <v>39676</v>
      </c>
      <c r="G31" s="35">
        <v>45153</v>
      </c>
      <c r="H31" s="34" t="s">
        <v>34</v>
      </c>
      <c r="I31" s="34" t="s">
        <v>79</v>
      </c>
    </row>
    <row r="32" spans="1:9" ht="14.4">
      <c r="A32" s="36">
        <v>97</v>
      </c>
      <c r="B32" s="33" t="s">
        <v>72</v>
      </c>
      <c r="C32" s="36">
        <v>389</v>
      </c>
      <c r="D32" s="36" t="s">
        <v>13</v>
      </c>
      <c r="E32" s="36">
        <v>10</v>
      </c>
      <c r="F32" s="37">
        <v>39676</v>
      </c>
      <c r="G32" s="37">
        <v>45153</v>
      </c>
      <c r="H32" s="36" t="s">
        <v>34</v>
      </c>
      <c r="I32" s="36" t="s">
        <v>79</v>
      </c>
    </row>
    <row r="33" spans="1:9" ht="14.4">
      <c r="A33" s="34">
        <v>98</v>
      </c>
      <c r="B33" s="32" t="s">
        <v>72</v>
      </c>
      <c r="C33" s="34">
        <v>395</v>
      </c>
      <c r="D33" s="34" t="s">
        <v>13</v>
      </c>
      <c r="E33" s="34">
        <v>6</v>
      </c>
      <c r="F33" s="35">
        <v>39676</v>
      </c>
      <c r="G33" s="35">
        <v>45153</v>
      </c>
      <c r="H33" s="34" t="s">
        <v>34</v>
      </c>
      <c r="I33" s="34" t="s">
        <v>79</v>
      </c>
    </row>
    <row r="34" spans="1:9" ht="14.4">
      <c r="A34" s="36">
        <v>99</v>
      </c>
      <c r="B34" s="33" t="s">
        <v>72</v>
      </c>
      <c r="C34" s="36">
        <v>397</v>
      </c>
      <c r="D34" s="36" t="s">
        <v>13</v>
      </c>
      <c r="E34" s="36">
        <v>4</v>
      </c>
      <c r="F34" s="37">
        <v>39676</v>
      </c>
      <c r="G34" s="37">
        <v>45153</v>
      </c>
      <c r="H34" s="36" t="s">
        <v>34</v>
      </c>
      <c r="I34" s="36" t="s">
        <v>79</v>
      </c>
    </row>
    <row r="35" spans="1:9" ht="14.4">
      <c r="A35" s="34">
        <v>100</v>
      </c>
      <c r="B35" s="32" t="s">
        <v>72</v>
      </c>
      <c r="C35" s="34">
        <v>398</v>
      </c>
      <c r="D35" s="34" t="s">
        <v>13</v>
      </c>
      <c r="E35" s="34">
        <v>18</v>
      </c>
      <c r="F35" s="35">
        <v>39676</v>
      </c>
      <c r="G35" s="35">
        <v>45153</v>
      </c>
      <c r="H35" s="34" t="s">
        <v>34</v>
      </c>
      <c r="I35" s="34" t="s">
        <v>79</v>
      </c>
    </row>
    <row r="36" spans="1:9" ht="14.4">
      <c r="A36" s="36">
        <v>101</v>
      </c>
      <c r="B36" s="33" t="s">
        <v>72</v>
      </c>
      <c r="C36" s="36">
        <v>399</v>
      </c>
      <c r="D36" s="36" t="s">
        <v>13</v>
      </c>
      <c r="E36" s="36">
        <v>19</v>
      </c>
      <c r="F36" s="37">
        <v>39676</v>
      </c>
      <c r="G36" s="37">
        <v>45153</v>
      </c>
      <c r="H36" s="36" t="s">
        <v>34</v>
      </c>
      <c r="I36" s="36" t="s">
        <v>79</v>
      </c>
    </row>
    <row r="37" spans="1:9" ht="14.4">
      <c r="A37" s="34">
        <v>102</v>
      </c>
      <c r="B37" s="32" t="s">
        <v>72</v>
      </c>
      <c r="C37" s="34">
        <v>402</v>
      </c>
      <c r="D37" s="34" t="s">
        <v>13</v>
      </c>
      <c r="E37" s="34">
        <v>4</v>
      </c>
      <c r="F37" s="35">
        <v>39676</v>
      </c>
      <c r="G37" s="35">
        <v>45153</v>
      </c>
      <c r="H37" s="34" t="s">
        <v>34</v>
      </c>
      <c r="I37" s="34" t="s">
        <v>79</v>
      </c>
    </row>
    <row r="38" spans="1:9" ht="14.4">
      <c r="A38" s="36">
        <v>103</v>
      </c>
      <c r="B38" s="33" t="s">
        <v>72</v>
      </c>
      <c r="C38" s="36">
        <v>407</v>
      </c>
      <c r="D38" s="36" t="s">
        <v>13</v>
      </c>
      <c r="E38" s="36">
        <v>20</v>
      </c>
      <c r="F38" s="37">
        <v>39676</v>
      </c>
      <c r="G38" s="37">
        <v>45153</v>
      </c>
      <c r="H38" s="36" t="s">
        <v>34</v>
      </c>
      <c r="I38" s="36" t="s">
        <v>79</v>
      </c>
    </row>
    <row r="39" spans="1:9" ht="14.4">
      <c r="A39" s="34">
        <v>104</v>
      </c>
      <c r="B39" s="32" t="s">
        <v>72</v>
      </c>
      <c r="C39" s="34">
        <v>408</v>
      </c>
      <c r="D39" s="34" t="s">
        <v>13</v>
      </c>
      <c r="E39" s="34">
        <v>4</v>
      </c>
      <c r="F39" s="35">
        <v>39676</v>
      </c>
      <c r="G39" s="35">
        <v>45153</v>
      </c>
      <c r="H39" s="34" t="s">
        <v>34</v>
      </c>
      <c r="I39" s="34" t="s">
        <v>79</v>
      </c>
    </row>
    <row r="40" spans="1:9" ht="14.4">
      <c r="A40" s="36">
        <v>105</v>
      </c>
      <c r="B40" s="33" t="s">
        <v>72</v>
      </c>
      <c r="C40" s="36">
        <v>409</v>
      </c>
      <c r="D40" s="36" t="s">
        <v>13</v>
      </c>
      <c r="E40" s="36">
        <v>13</v>
      </c>
      <c r="F40" s="37">
        <v>39676</v>
      </c>
      <c r="G40" s="37">
        <v>45153</v>
      </c>
      <c r="H40" s="36" t="s">
        <v>34</v>
      </c>
      <c r="I40" s="36" t="s">
        <v>79</v>
      </c>
    </row>
    <row r="41" spans="1:9" ht="14.4">
      <c r="A41" s="34">
        <v>106</v>
      </c>
      <c r="B41" s="32" t="s">
        <v>72</v>
      </c>
      <c r="C41" s="34">
        <v>410</v>
      </c>
      <c r="D41" s="34" t="s">
        <v>13</v>
      </c>
      <c r="E41" s="34">
        <v>52</v>
      </c>
      <c r="F41" s="35">
        <v>39676</v>
      </c>
      <c r="G41" s="35">
        <v>45153</v>
      </c>
      <c r="H41" s="34" t="s">
        <v>34</v>
      </c>
      <c r="I41" s="34" t="s">
        <v>79</v>
      </c>
    </row>
    <row r="42" spans="1:9" ht="14.4">
      <c r="A42" s="36">
        <v>118</v>
      </c>
      <c r="B42" s="33" t="s">
        <v>95</v>
      </c>
      <c r="C42" s="36">
        <v>463</v>
      </c>
      <c r="D42" s="36" t="s">
        <v>13</v>
      </c>
      <c r="E42" s="36">
        <v>44</v>
      </c>
      <c r="F42" s="37">
        <v>39906</v>
      </c>
      <c r="G42" s="37">
        <v>45384</v>
      </c>
      <c r="H42" s="36" t="s">
        <v>14</v>
      </c>
      <c r="I42" s="36" t="s">
        <v>79</v>
      </c>
    </row>
    <row r="43" spans="1:9" ht="14.4">
      <c r="A43" s="34">
        <v>120</v>
      </c>
      <c r="B43" s="32" t="s">
        <v>96</v>
      </c>
      <c r="C43" s="34">
        <v>465</v>
      </c>
      <c r="D43" s="34" t="s">
        <v>13</v>
      </c>
      <c r="E43" s="34">
        <v>30</v>
      </c>
      <c r="F43" s="35">
        <v>40102</v>
      </c>
      <c r="G43" s="35">
        <v>45384</v>
      </c>
      <c r="H43" s="34" t="s">
        <v>14</v>
      </c>
      <c r="I43" s="34" t="s">
        <v>79</v>
      </c>
    </row>
    <row r="44" spans="1:9" ht="14.4">
      <c r="A44" s="36">
        <v>121</v>
      </c>
      <c r="B44" s="33" t="s">
        <v>95</v>
      </c>
      <c r="C44" s="36">
        <v>467</v>
      </c>
      <c r="D44" s="36" t="s">
        <v>13</v>
      </c>
      <c r="E44" s="36">
        <v>151</v>
      </c>
      <c r="F44" s="37">
        <v>39906</v>
      </c>
      <c r="G44" s="37">
        <v>45384</v>
      </c>
      <c r="H44" s="36" t="s">
        <v>16</v>
      </c>
      <c r="I44" s="36" t="s">
        <v>79</v>
      </c>
    </row>
    <row r="45" spans="1:9" ht="14.4">
      <c r="A45" s="34">
        <v>122</v>
      </c>
      <c r="B45" s="32" t="s">
        <v>95</v>
      </c>
      <c r="C45" s="34">
        <v>468</v>
      </c>
      <c r="D45" s="34" t="s">
        <v>13</v>
      </c>
      <c r="E45" s="34">
        <v>27</v>
      </c>
      <c r="F45" s="35">
        <v>39906</v>
      </c>
      <c r="G45" s="35">
        <v>45384</v>
      </c>
      <c r="H45" s="34" t="s">
        <v>14</v>
      </c>
      <c r="I45" s="34" t="s">
        <v>79</v>
      </c>
    </row>
    <row r="46" spans="1:9" ht="14.4">
      <c r="A46" s="36">
        <v>123</v>
      </c>
      <c r="B46" s="33" t="s">
        <v>95</v>
      </c>
      <c r="C46" s="36">
        <v>469</v>
      </c>
      <c r="D46" s="36" t="s">
        <v>13</v>
      </c>
      <c r="E46" s="36">
        <v>275</v>
      </c>
      <c r="F46" s="37">
        <v>39906</v>
      </c>
      <c r="G46" s="37">
        <v>45384</v>
      </c>
      <c r="H46" s="36" t="s">
        <v>16</v>
      </c>
      <c r="I46" s="36" t="s">
        <v>79</v>
      </c>
    </row>
    <row r="47" spans="1:9" ht="14.4">
      <c r="A47" s="34">
        <v>125</v>
      </c>
      <c r="B47" s="32" t="s">
        <v>43</v>
      </c>
      <c r="C47" s="34">
        <v>481</v>
      </c>
      <c r="D47" s="34" t="s">
        <v>13</v>
      </c>
      <c r="E47" s="34">
        <v>53</v>
      </c>
      <c r="F47" s="35">
        <v>39907</v>
      </c>
      <c r="G47" s="35">
        <v>45385</v>
      </c>
      <c r="H47" s="34" t="s">
        <v>14</v>
      </c>
      <c r="I47" s="34" t="s">
        <v>79</v>
      </c>
    </row>
    <row r="48" spans="1:9" ht="14.4">
      <c r="A48" s="36">
        <v>137</v>
      </c>
      <c r="B48" s="33" t="s">
        <v>43</v>
      </c>
      <c r="C48" s="36">
        <v>523</v>
      </c>
      <c r="D48" s="36" t="s">
        <v>13</v>
      </c>
      <c r="E48" s="36">
        <v>6</v>
      </c>
      <c r="F48" s="37">
        <v>39907</v>
      </c>
      <c r="G48" s="37">
        <v>45385</v>
      </c>
      <c r="H48" s="36" t="s">
        <v>14</v>
      </c>
      <c r="I48" s="36" t="s">
        <v>79</v>
      </c>
    </row>
    <row r="49" spans="1:9" ht="14.4">
      <c r="A49" s="34">
        <v>138</v>
      </c>
      <c r="B49" s="32" t="s">
        <v>43</v>
      </c>
      <c r="C49" s="34">
        <v>524</v>
      </c>
      <c r="D49" s="34" t="s">
        <v>13</v>
      </c>
      <c r="E49" s="34">
        <v>6</v>
      </c>
      <c r="F49" s="35">
        <v>39907</v>
      </c>
      <c r="G49" s="35">
        <v>45385</v>
      </c>
      <c r="H49" s="34" t="s">
        <v>14</v>
      </c>
      <c r="I49" s="34" t="s">
        <v>79</v>
      </c>
    </row>
    <row r="50" spans="1:9" ht="14.4">
      <c r="A50" s="36">
        <v>139</v>
      </c>
      <c r="B50" s="33" t="s">
        <v>97</v>
      </c>
      <c r="C50" s="36">
        <v>525</v>
      </c>
      <c r="D50" s="36" t="s">
        <v>13</v>
      </c>
      <c r="E50" s="36">
        <v>13</v>
      </c>
      <c r="F50" s="37">
        <v>39444</v>
      </c>
      <c r="G50" s="37">
        <v>45385</v>
      </c>
      <c r="H50" s="36" t="s">
        <v>16</v>
      </c>
      <c r="I50" s="36" t="s">
        <v>79</v>
      </c>
    </row>
    <row r="51" spans="1:9" ht="14.4">
      <c r="A51" s="34">
        <v>140</v>
      </c>
      <c r="B51" s="32" t="s">
        <v>98</v>
      </c>
      <c r="C51" s="34">
        <v>526</v>
      </c>
      <c r="D51" s="34" t="s">
        <v>13</v>
      </c>
      <c r="E51" s="34">
        <v>6</v>
      </c>
      <c r="F51" s="35">
        <v>39907</v>
      </c>
      <c r="G51" s="35">
        <v>45385</v>
      </c>
      <c r="H51" s="34" t="s">
        <v>14</v>
      </c>
      <c r="I51" s="34" t="s">
        <v>79</v>
      </c>
    </row>
    <row r="52" spans="1:9" ht="14.4">
      <c r="A52" s="36">
        <v>141</v>
      </c>
      <c r="B52" s="33" t="s">
        <v>99</v>
      </c>
      <c r="C52" s="36">
        <v>527</v>
      </c>
      <c r="D52" s="36" t="s">
        <v>13</v>
      </c>
      <c r="E52" s="36">
        <v>34</v>
      </c>
      <c r="F52" s="37">
        <v>39907</v>
      </c>
      <c r="G52" s="37">
        <v>45385</v>
      </c>
      <c r="H52" s="36" t="s">
        <v>14</v>
      </c>
      <c r="I52" s="36" t="s">
        <v>79</v>
      </c>
    </row>
    <row r="53" spans="1:9" ht="14.4">
      <c r="A53" s="34">
        <v>142</v>
      </c>
      <c r="B53" s="32" t="s">
        <v>43</v>
      </c>
      <c r="C53" s="34">
        <v>528</v>
      </c>
      <c r="D53" s="34" t="s">
        <v>13</v>
      </c>
      <c r="E53" s="34">
        <v>25</v>
      </c>
      <c r="F53" s="35">
        <v>39907</v>
      </c>
      <c r="G53" s="35">
        <v>45385</v>
      </c>
      <c r="H53" s="34" t="s">
        <v>14</v>
      </c>
      <c r="I53" s="34" t="s">
        <v>79</v>
      </c>
    </row>
    <row r="54" spans="1:9" ht="14.4">
      <c r="A54" s="36">
        <v>143</v>
      </c>
      <c r="B54" s="33" t="s">
        <v>43</v>
      </c>
      <c r="C54" s="36">
        <v>529</v>
      </c>
      <c r="D54" s="36" t="s">
        <v>13</v>
      </c>
      <c r="E54" s="36">
        <v>2</v>
      </c>
      <c r="F54" s="37">
        <v>39907</v>
      </c>
      <c r="G54" s="37">
        <v>45385</v>
      </c>
      <c r="H54" s="36" t="s">
        <v>16</v>
      </c>
      <c r="I54" s="36" t="s">
        <v>79</v>
      </c>
    </row>
    <row r="55" spans="1:9" ht="14.4">
      <c r="A55" s="34">
        <v>144</v>
      </c>
      <c r="B55" s="32" t="s">
        <v>43</v>
      </c>
      <c r="C55" s="34">
        <v>530</v>
      </c>
      <c r="D55" s="34" t="s">
        <v>13</v>
      </c>
      <c r="E55" s="34">
        <v>4</v>
      </c>
      <c r="F55" s="35">
        <v>39907</v>
      </c>
      <c r="G55" s="35">
        <v>45385</v>
      </c>
      <c r="H55" s="34" t="s">
        <v>14</v>
      </c>
      <c r="I55" s="34" t="s">
        <v>79</v>
      </c>
    </row>
    <row r="56" spans="1:9" ht="14.4">
      <c r="A56" s="36">
        <v>145</v>
      </c>
      <c r="B56" s="33" t="s">
        <v>43</v>
      </c>
      <c r="C56" s="36">
        <v>531</v>
      </c>
      <c r="D56" s="36" t="s">
        <v>13</v>
      </c>
      <c r="E56" s="36">
        <v>13</v>
      </c>
      <c r="F56" s="37">
        <v>39907</v>
      </c>
      <c r="G56" s="37">
        <v>45385</v>
      </c>
      <c r="H56" s="36" t="s">
        <v>14</v>
      </c>
      <c r="I56" s="36" t="s">
        <v>79</v>
      </c>
    </row>
    <row r="57" spans="1:9" ht="14.4">
      <c r="A57" s="34">
        <v>146</v>
      </c>
      <c r="B57" s="32" t="s">
        <v>43</v>
      </c>
      <c r="C57" s="34">
        <v>532</v>
      </c>
      <c r="D57" s="34" t="s">
        <v>13</v>
      </c>
      <c r="E57" s="34">
        <v>1</v>
      </c>
      <c r="F57" s="35">
        <v>39907</v>
      </c>
      <c r="G57" s="35">
        <v>45385</v>
      </c>
      <c r="H57" s="34" t="s">
        <v>14</v>
      </c>
      <c r="I57" s="34" t="s">
        <v>79</v>
      </c>
    </row>
    <row r="58" spans="1:9" ht="14.4">
      <c r="A58" s="36">
        <v>147</v>
      </c>
      <c r="B58" s="33" t="s">
        <v>100</v>
      </c>
      <c r="C58" s="36">
        <v>533</v>
      </c>
      <c r="D58" s="36" t="s">
        <v>13</v>
      </c>
      <c r="E58" s="36">
        <v>25</v>
      </c>
      <c r="F58" s="37">
        <v>39907</v>
      </c>
      <c r="G58" s="37">
        <v>45385</v>
      </c>
      <c r="H58" s="36" t="s">
        <v>14</v>
      </c>
      <c r="I58" s="36" t="s">
        <v>79</v>
      </c>
    </row>
    <row r="59" spans="1:9" ht="14.4">
      <c r="A59" s="34">
        <v>148</v>
      </c>
      <c r="B59" s="32" t="s">
        <v>101</v>
      </c>
      <c r="C59" s="34">
        <v>535</v>
      </c>
      <c r="D59" s="34" t="s">
        <v>13</v>
      </c>
      <c r="E59" s="34">
        <v>8</v>
      </c>
      <c r="F59" s="35">
        <v>39907</v>
      </c>
      <c r="G59" s="35">
        <v>45385</v>
      </c>
      <c r="H59" s="34" t="s">
        <v>16</v>
      </c>
      <c r="I59" s="34" t="s">
        <v>79</v>
      </c>
    </row>
    <row r="60" spans="1:9" ht="14.4">
      <c r="A60" s="36">
        <v>149</v>
      </c>
      <c r="B60" s="33" t="s">
        <v>43</v>
      </c>
      <c r="C60" s="36">
        <v>536</v>
      </c>
      <c r="D60" s="36" t="s">
        <v>13</v>
      </c>
      <c r="E60" s="36">
        <v>13</v>
      </c>
      <c r="F60" s="37">
        <v>39907</v>
      </c>
      <c r="G60" s="37">
        <v>45385</v>
      </c>
      <c r="H60" s="36" t="s">
        <v>16</v>
      </c>
      <c r="I60" s="36" t="s">
        <v>79</v>
      </c>
    </row>
    <row r="61" spans="1:9" ht="14.4">
      <c r="A61" s="34">
        <v>150</v>
      </c>
      <c r="B61" s="32" t="s">
        <v>43</v>
      </c>
      <c r="C61" s="34">
        <v>537</v>
      </c>
      <c r="D61" s="34" t="s">
        <v>13</v>
      </c>
      <c r="E61" s="34">
        <v>10</v>
      </c>
      <c r="F61" s="35">
        <v>39907</v>
      </c>
      <c r="G61" s="35">
        <v>45385</v>
      </c>
      <c r="H61" s="34" t="s">
        <v>14</v>
      </c>
      <c r="I61" s="34" t="s">
        <v>79</v>
      </c>
    </row>
    <row r="62" spans="1:9" ht="14.4">
      <c r="A62" s="36">
        <v>151</v>
      </c>
      <c r="B62" s="33" t="s">
        <v>43</v>
      </c>
      <c r="C62" s="36">
        <v>538</v>
      </c>
      <c r="D62" s="36" t="s">
        <v>13</v>
      </c>
      <c r="E62" s="36">
        <v>6</v>
      </c>
      <c r="F62" s="37">
        <v>39907</v>
      </c>
      <c r="G62" s="37">
        <v>45385</v>
      </c>
      <c r="H62" s="36" t="s">
        <v>14</v>
      </c>
      <c r="I62" s="36" t="s">
        <v>79</v>
      </c>
    </row>
    <row r="63" spans="1:9" ht="14.4">
      <c r="A63" s="34">
        <v>152</v>
      </c>
      <c r="B63" s="32" t="s">
        <v>43</v>
      </c>
      <c r="C63" s="34">
        <v>539</v>
      </c>
      <c r="D63" s="34" t="s">
        <v>13</v>
      </c>
      <c r="E63" s="34">
        <v>16</v>
      </c>
      <c r="F63" s="35">
        <v>39907</v>
      </c>
      <c r="G63" s="35">
        <v>45385</v>
      </c>
      <c r="H63" s="34" t="s">
        <v>14</v>
      </c>
      <c r="I63" s="34" t="s">
        <v>79</v>
      </c>
    </row>
    <row r="64" spans="1:9" ht="14.4">
      <c r="A64" s="36">
        <v>153</v>
      </c>
      <c r="B64" s="33" t="s">
        <v>43</v>
      </c>
      <c r="C64" s="36">
        <v>540</v>
      </c>
      <c r="D64" s="36" t="s">
        <v>13</v>
      </c>
      <c r="E64" s="36">
        <v>6</v>
      </c>
      <c r="F64" s="37">
        <v>39907</v>
      </c>
      <c r="G64" s="37">
        <v>45385</v>
      </c>
      <c r="H64" s="36" t="s">
        <v>14</v>
      </c>
      <c r="I64" s="36" t="s">
        <v>79</v>
      </c>
    </row>
    <row r="65" spans="1:9" ht="14.4">
      <c r="A65" s="34">
        <v>157</v>
      </c>
      <c r="B65" s="32" t="s">
        <v>15</v>
      </c>
      <c r="C65" s="34">
        <v>577</v>
      </c>
      <c r="D65" s="34" t="s">
        <v>13</v>
      </c>
      <c r="E65" s="34">
        <v>6</v>
      </c>
      <c r="F65" s="35">
        <v>40798</v>
      </c>
      <c r="G65" s="35">
        <v>46276</v>
      </c>
      <c r="H65" s="34" t="s">
        <v>14</v>
      </c>
      <c r="I65" s="34" t="s">
        <v>79</v>
      </c>
    </row>
    <row r="66" spans="1:9" ht="14.4">
      <c r="A66" s="36">
        <v>158</v>
      </c>
      <c r="B66" s="33" t="s">
        <v>102</v>
      </c>
      <c r="C66" s="36">
        <v>578</v>
      </c>
      <c r="D66" s="36" t="s">
        <v>13</v>
      </c>
      <c r="E66" s="36">
        <v>8</v>
      </c>
      <c r="F66" s="37">
        <v>44465</v>
      </c>
      <c r="G66" s="37">
        <v>49943</v>
      </c>
      <c r="H66" s="36" t="s">
        <v>14</v>
      </c>
      <c r="I66" s="36" t="s">
        <v>79</v>
      </c>
    </row>
    <row r="67" spans="1:9" ht="14.4">
      <c r="A67" s="34">
        <v>161</v>
      </c>
      <c r="B67" s="32" t="s">
        <v>103</v>
      </c>
      <c r="C67" s="34">
        <v>606</v>
      </c>
      <c r="D67" s="34" t="s">
        <v>13</v>
      </c>
      <c r="E67" s="34">
        <v>48</v>
      </c>
      <c r="F67" s="35">
        <v>44592</v>
      </c>
      <c r="G67" s="35">
        <v>50070</v>
      </c>
      <c r="H67" s="34" t="s">
        <v>14</v>
      </c>
      <c r="I67" s="34" t="s">
        <v>79</v>
      </c>
    </row>
    <row r="68" spans="1:9" ht="14.4">
      <c r="A68" s="36">
        <v>169</v>
      </c>
      <c r="B68" s="33" t="s">
        <v>104</v>
      </c>
      <c r="C68" s="36">
        <v>625</v>
      </c>
      <c r="D68" s="36" t="s">
        <v>13</v>
      </c>
      <c r="E68" s="36">
        <v>36</v>
      </c>
      <c r="F68" s="37">
        <v>43796</v>
      </c>
      <c r="G68" s="37">
        <v>52927</v>
      </c>
      <c r="H68" s="36" t="s">
        <v>26</v>
      </c>
      <c r="I68" s="36" t="s">
        <v>79</v>
      </c>
    </row>
    <row r="69" spans="1:9" ht="14.4">
      <c r="A69" s="34">
        <v>178</v>
      </c>
      <c r="B69" s="32" t="s">
        <v>105</v>
      </c>
      <c r="C69" s="34">
        <v>643</v>
      </c>
      <c r="D69" s="34" t="s">
        <v>13</v>
      </c>
      <c r="E69" s="34">
        <v>207</v>
      </c>
      <c r="F69" s="35">
        <v>44687</v>
      </c>
      <c r="G69" s="35">
        <v>50165</v>
      </c>
      <c r="H69" s="34" t="s">
        <v>16</v>
      </c>
      <c r="I69" s="34" t="s">
        <v>79</v>
      </c>
    </row>
    <row r="70" spans="1:9" ht="14.4">
      <c r="A70" s="36">
        <v>181</v>
      </c>
      <c r="B70" s="33" t="s">
        <v>105</v>
      </c>
      <c r="C70" s="36">
        <v>658</v>
      </c>
      <c r="D70" s="36" t="s">
        <v>13</v>
      </c>
      <c r="E70" s="36">
        <v>2</v>
      </c>
      <c r="F70" s="37">
        <v>44708</v>
      </c>
      <c r="G70" s="37">
        <v>50186</v>
      </c>
      <c r="H70" s="36" t="s">
        <v>16</v>
      </c>
      <c r="I70" s="36" t="s">
        <v>79</v>
      </c>
    </row>
    <row r="71" spans="1:9" ht="14.4">
      <c r="A71" s="34">
        <v>183</v>
      </c>
      <c r="B71" s="32" t="s">
        <v>41</v>
      </c>
      <c r="C71" s="34">
        <v>661</v>
      </c>
      <c r="D71" s="34" t="s">
        <v>13</v>
      </c>
      <c r="E71" s="34">
        <v>3</v>
      </c>
      <c r="F71" s="35">
        <v>37403</v>
      </c>
      <c r="G71" s="35">
        <v>50186</v>
      </c>
      <c r="H71" s="34" t="s">
        <v>16</v>
      </c>
      <c r="I71" s="34" t="s">
        <v>79</v>
      </c>
    </row>
    <row r="72" spans="1:9" ht="14.4">
      <c r="A72" s="36">
        <v>184</v>
      </c>
      <c r="B72" s="33" t="s">
        <v>105</v>
      </c>
      <c r="C72" s="36">
        <v>662</v>
      </c>
      <c r="D72" s="36" t="s">
        <v>13</v>
      </c>
      <c r="E72" s="36">
        <v>8</v>
      </c>
      <c r="F72" s="37">
        <v>44708</v>
      </c>
      <c r="G72" s="37">
        <v>50186</v>
      </c>
      <c r="H72" s="36" t="s">
        <v>16</v>
      </c>
      <c r="I72" s="36" t="s">
        <v>79</v>
      </c>
    </row>
    <row r="73" spans="1:9" ht="14.4">
      <c r="A73" s="34">
        <v>195</v>
      </c>
      <c r="B73" s="32" t="s">
        <v>106</v>
      </c>
      <c r="C73" s="34">
        <v>680</v>
      </c>
      <c r="D73" s="34" t="s">
        <v>13</v>
      </c>
      <c r="E73" s="34">
        <v>12</v>
      </c>
      <c r="F73" s="35">
        <v>44288</v>
      </c>
      <c r="G73" s="35">
        <v>53418</v>
      </c>
      <c r="H73" s="34" t="s">
        <v>16</v>
      </c>
      <c r="I73" s="34" t="s">
        <v>79</v>
      </c>
    </row>
    <row r="74" spans="1:9" ht="14.4">
      <c r="A74" s="36">
        <v>196</v>
      </c>
      <c r="B74" s="33" t="s">
        <v>106</v>
      </c>
      <c r="C74" s="36">
        <v>687</v>
      </c>
      <c r="D74" s="36" t="s">
        <v>13</v>
      </c>
      <c r="E74" s="36">
        <v>29</v>
      </c>
      <c r="F74" s="37">
        <v>44281</v>
      </c>
      <c r="G74" s="37">
        <v>53411</v>
      </c>
      <c r="H74" s="36" t="s">
        <v>16</v>
      </c>
      <c r="I74" s="36" t="s">
        <v>79</v>
      </c>
    </row>
    <row r="75" spans="1:9" ht="14.4">
      <c r="A75" s="34">
        <v>197</v>
      </c>
      <c r="B75" s="32" t="s">
        <v>107</v>
      </c>
      <c r="C75" s="34">
        <v>688</v>
      </c>
      <c r="D75" s="34" t="s">
        <v>13</v>
      </c>
      <c r="E75" s="34">
        <v>112</v>
      </c>
      <c r="F75" s="35">
        <v>44104</v>
      </c>
      <c r="G75" s="35">
        <v>53234</v>
      </c>
      <c r="H75" s="34" t="s">
        <v>16</v>
      </c>
      <c r="I75" s="34" t="s">
        <v>79</v>
      </c>
    </row>
    <row r="76" spans="1:9" ht="14.4">
      <c r="A76" s="36">
        <v>198</v>
      </c>
      <c r="B76" s="33" t="s">
        <v>107</v>
      </c>
      <c r="C76" s="36">
        <v>689</v>
      </c>
      <c r="D76" s="36" t="s">
        <v>13</v>
      </c>
      <c r="E76" s="36">
        <v>96</v>
      </c>
      <c r="F76" s="37">
        <v>44104</v>
      </c>
      <c r="G76" s="37">
        <v>53234</v>
      </c>
      <c r="H76" s="36" t="s">
        <v>16</v>
      </c>
      <c r="I76" s="36" t="s">
        <v>79</v>
      </c>
    </row>
    <row r="77" spans="1:9" ht="14.4">
      <c r="A77" s="34">
        <v>200</v>
      </c>
      <c r="B77" s="32" t="s">
        <v>107</v>
      </c>
      <c r="C77" s="34">
        <v>702</v>
      </c>
      <c r="D77" s="34" t="s">
        <v>13</v>
      </c>
      <c r="E77" s="34">
        <v>86</v>
      </c>
      <c r="F77" s="35">
        <v>44104</v>
      </c>
      <c r="G77" s="35">
        <v>53234</v>
      </c>
      <c r="H77" s="34" t="s">
        <v>16</v>
      </c>
      <c r="I77" s="34" t="s">
        <v>79</v>
      </c>
    </row>
    <row r="78" spans="1:9" ht="14.4">
      <c r="A78" s="36">
        <v>203</v>
      </c>
      <c r="B78" s="33" t="s">
        <v>108</v>
      </c>
      <c r="C78" s="36">
        <v>707</v>
      </c>
      <c r="D78" s="36" t="s">
        <v>13</v>
      </c>
      <c r="E78" s="36">
        <v>117</v>
      </c>
      <c r="F78" s="37">
        <v>43243</v>
      </c>
      <c r="G78" s="37">
        <v>52373</v>
      </c>
      <c r="H78" s="36" t="s">
        <v>16</v>
      </c>
      <c r="I78" s="36" t="s">
        <v>79</v>
      </c>
    </row>
    <row r="79" spans="1:9" ht="14.4">
      <c r="A79" s="34">
        <v>211</v>
      </c>
      <c r="B79" s="32" t="s">
        <v>109</v>
      </c>
      <c r="C79" s="34">
        <v>740</v>
      </c>
      <c r="D79" s="34" t="s">
        <v>13</v>
      </c>
      <c r="E79" s="34">
        <v>70</v>
      </c>
      <c r="F79" s="35">
        <v>43496</v>
      </c>
      <c r="G79" s="35">
        <v>52626</v>
      </c>
      <c r="H79" s="34" t="s">
        <v>14</v>
      </c>
      <c r="I79" s="34" t="s">
        <v>79</v>
      </c>
    </row>
    <row r="80" spans="1:9" ht="14.4">
      <c r="A80" s="36">
        <v>212</v>
      </c>
      <c r="B80" s="33" t="s">
        <v>110</v>
      </c>
      <c r="C80" s="36">
        <v>741</v>
      </c>
      <c r="D80" s="36" t="s">
        <v>13</v>
      </c>
      <c r="E80" s="36">
        <v>89</v>
      </c>
      <c r="F80" s="37">
        <v>43371</v>
      </c>
      <c r="G80" s="37">
        <v>52501</v>
      </c>
      <c r="H80" s="36" t="s">
        <v>14</v>
      </c>
      <c r="I80" s="36" t="s">
        <v>79</v>
      </c>
    </row>
    <row r="81" spans="1:9" ht="14.4">
      <c r="A81" s="34">
        <v>222</v>
      </c>
      <c r="B81" s="32" t="s">
        <v>110</v>
      </c>
      <c r="C81" s="34">
        <v>754</v>
      </c>
      <c r="D81" s="34" t="s">
        <v>13</v>
      </c>
      <c r="E81" s="34">
        <v>110</v>
      </c>
      <c r="F81" s="35">
        <v>43371</v>
      </c>
      <c r="G81" s="35">
        <v>52501</v>
      </c>
      <c r="H81" s="34" t="s">
        <v>14</v>
      </c>
      <c r="I81" s="34" t="s">
        <v>79</v>
      </c>
    </row>
    <row r="82" spans="1:9" ht="14.4">
      <c r="A82" s="36">
        <v>223</v>
      </c>
      <c r="B82" s="33" t="s">
        <v>110</v>
      </c>
      <c r="C82" s="36">
        <v>755</v>
      </c>
      <c r="D82" s="36" t="s">
        <v>13</v>
      </c>
      <c r="E82" s="36">
        <v>109</v>
      </c>
      <c r="F82" s="37">
        <v>43371</v>
      </c>
      <c r="G82" s="37">
        <v>52501</v>
      </c>
      <c r="H82" s="36" t="s">
        <v>14</v>
      </c>
      <c r="I82" s="36" t="s">
        <v>79</v>
      </c>
    </row>
    <row r="83" spans="1:9" ht="14.4">
      <c r="A83" s="34">
        <v>240</v>
      </c>
      <c r="B83" s="32" t="s">
        <v>108</v>
      </c>
      <c r="C83" s="34">
        <v>803</v>
      </c>
      <c r="D83" s="34" t="s">
        <v>13</v>
      </c>
      <c r="E83" s="34">
        <v>15</v>
      </c>
      <c r="F83" s="35">
        <v>44281</v>
      </c>
      <c r="G83" s="35">
        <v>53411</v>
      </c>
      <c r="H83" s="34" t="s">
        <v>16</v>
      </c>
      <c r="I83" s="34" t="s">
        <v>79</v>
      </c>
    </row>
    <row r="84" spans="1:9" ht="14.4">
      <c r="A84" s="36">
        <v>241</v>
      </c>
      <c r="B84" s="33" t="s">
        <v>108</v>
      </c>
      <c r="C84" s="36">
        <v>804</v>
      </c>
      <c r="D84" s="36" t="s">
        <v>13</v>
      </c>
      <c r="E84" s="36">
        <v>11</v>
      </c>
      <c r="F84" s="37">
        <v>44281</v>
      </c>
      <c r="G84" s="37">
        <v>53411</v>
      </c>
      <c r="H84" s="36" t="s">
        <v>16</v>
      </c>
      <c r="I84" s="36" t="s">
        <v>79</v>
      </c>
    </row>
    <row r="85" spans="1:9" ht="14.4">
      <c r="A85" s="34">
        <v>242</v>
      </c>
      <c r="B85" s="32" t="s">
        <v>108</v>
      </c>
      <c r="C85" s="34">
        <v>805</v>
      </c>
      <c r="D85" s="34" t="s">
        <v>13</v>
      </c>
      <c r="E85" s="34">
        <v>16</v>
      </c>
      <c r="F85" s="35">
        <v>44281</v>
      </c>
      <c r="G85" s="35">
        <v>53411</v>
      </c>
      <c r="H85" s="34" t="s">
        <v>14</v>
      </c>
      <c r="I85" s="34" t="s">
        <v>79</v>
      </c>
    </row>
    <row r="86" spans="1:9" ht="14.4">
      <c r="A86" s="36">
        <v>243</v>
      </c>
      <c r="B86" s="33" t="s">
        <v>108</v>
      </c>
      <c r="C86" s="36">
        <v>806</v>
      </c>
      <c r="D86" s="36" t="s">
        <v>13</v>
      </c>
      <c r="E86" s="36">
        <v>18</v>
      </c>
      <c r="F86" s="37">
        <v>44281</v>
      </c>
      <c r="G86" s="37">
        <v>53411</v>
      </c>
      <c r="H86" s="36" t="s">
        <v>14</v>
      </c>
      <c r="I86" s="36" t="s">
        <v>79</v>
      </c>
    </row>
    <row r="87" spans="1:9" ht="14.4">
      <c r="A87" s="34">
        <v>245</v>
      </c>
      <c r="B87" s="32" t="s">
        <v>106</v>
      </c>
      <c r="C87" s="34">
        <v>809</v>
      </c>
      <c r="D87" s="34" t="s">
        <v>13</v>
      </c>
      <c r="E87" s="34">
        <v>52</v>
      </c>
      <c r="F87" s="35">
        <v>44281</v>
      </c>
      <c r="G87" s="35">
        <v>53411</v>
      </c>
      <c r="H87" s="34" t="s">
        <v>14</v>
      </c>
      <c r="I87" s="34" t="s">
        <v>79</v>
      </c>
    </row>
    <row r="88" spans="1:9" ht="14.4">
      <c r="A88" s="36">
        <v>246</v>
      </c>
      <c r="B88" s="33" t="s">
        <v>106</v>
      </c>
      <c r="C88" s="36">
        <v>811</v>
      </c>
      <c r="D88" s="36" t="s">
        <v>13</v>
      </c>
      <c r="E88" s="36">
        <v>44</v>
      </c>
      <c r="F88" s="37">
        <v>44281</v>
      </c>
      <c r="G88" s="37">
        <v>53411</v>
      </c>
      <c r="H88" s="36" t="s">
        <v>14</v>
      </c>
      <c r="I88" s="36" t="s">
        <v>79</v>
      </c>
    </row>
    <row r="89" spans="1:9" ht="14.4">
      <c r="A89" s="34">
        <v>247</v>
      </c>
      <c r="B89" s="32" t="s">
        <v>111</v>
      </c>
      <c r="C89" s="34">
        <v>815</v>
      </c>
      <c r="D89" s="34" t="s">
        <v>13</v>
      </c>
      <c r="E89" s="34">
        <v>22</v>
      </c>
      <c r="F89" s="35">
        <v>42809</v>
      </c>
      <c r="G89" s="35">
        <v>53765</v>
      </c>
      <c r="H89" s="34" t="s">
        <v>16</v>
      </c>
      <c r="I89" s="34" t="s">
        <v>79</v>
      </c>
    </row>
    <row r="90" spans="1:9" ht="14.4">
      <c r="A90" s="36">
        <v>269</v>
      </c>
      <c r="B90" s="33" t="s">
        <v>43</v>
      </c>
      <c r="C90" s="36">
        <v>1050</v>
      </c>
      <c r="D90" s="36" t="s">
        <v>13</v>
      </c>
      <c r="E90" s="36">
        <v>75</v>
      </c>
      <c r="F90" s="37">
        <v>40372</v>
      </c>
      <c r="G90" s="37">
        <v>51329</v>
      </c>
      <c r="H90" s="36" t="s">
        <v>14</v>
      </c>
      <c r="I90" s="36" t="s">
        <v>79</v>
      </c>
    </row>
    <row r="91" spans="1:9" ht="14.4">
      <c r="A91" s="34">
        <v>270</v>
      </c>
      <c r="B91" s="32" t="s">
        <v>43</v>
      </c>
      <c r="C91" s="34">
        <v>1052</v>
      </c>
      <c r="D91" s="34" t="s">
        <v>13</v>
      </c>
      <c r="E91" s="34">
        <v>330</v>
      </c>
      <c r="F91" s="35">
        <v>40368</v>
      </c>
      <c r="G91" s="35">
        <v>51325</v>
      </c>
      <c r="H91" s="34" t="s">
        <v>14</v>
      </c>
      <c r="I91" s="34" t="s">
        <v>79</v>
      </c>
    </row>
    <row r="92" spans="1:9" ht="14.4">
      <c r="A92" s="36">
        <v>271</v>
      </c>
      <c r="B92" s="33" t="s">
        <v>43</v>
      </c>
      <c r="C92" s="36">
        <v>1054</v>
      </c>
      <c r="D92" s="36" t="s">
        <v>13</v>
      </c>
      <c r="E92" s="36">
        <v>132</v>
      </c>
      <c r="F92" s="37">
        <v>42999</v>
      </c>
      <c r="G92" s="37">
        <v>53955</v>
      </c>
      <c r="H92" s="36" t="s">
        <v>14</v>
      </c>
      <c r="I92" s="36" t="s">
        <v>79</v>
      </c>
    </row>
    <row r="93" spans="1:9" ht="14.4">
      <c r="A93" s="34">
        <v>272</v>
      </c>
      <c r="B93" s="32" t="s">
        <v>43</v>
      </c>
      <c r="C93" s="34">
        <v>1059</v>
      </c>
      <c r="D93" s="34" t="s">
        <v>13</v>
      </c>
      <c r="E93" s="34">
        <v>307</v>
      </c>
      <c r="F93" s="35">
        <v>41552</v>
      </c>
      <c r="G93" s="35">
        <v>52508</v>
      </c>
      <c r="H93" s="34" t="s">
        <v>14</v>
      </c>
      <c r="I93" s="34" t="s">
        <v>79</v>
      </c>
    </row>
    <row r="94" spans="1:9" ht="14.4">
      <c r="A94" s="36">
        <v>273</v>
      </c>
      <c r="B94" s="33" t="s">
        <v>43</v>
      </c>
      <c r="C94" s="36">
        <v>1060</v>
      </c>
      <c r="D94" s="36" t="s">
        <v>13</v>
      </c>
      <c r="E94" s="36">
        <v>141</v>
      </c>
      <c r="F94" s="37">
        <v>40368</v>
      </c>
      <c r="G94" s="37">
        <v>51325</v>
      </c>
      <c r="H94" s="36" t="s">
        <v>14</v>
      </c>
      <c r="I94" s="36" t="s">
        <v>79</v>
      </c>
    </row>
    <row r="95" spans="1:9" ht="14.4">
      <c r="A95" s="34">
        <v>274</v>
      </c>
      <c r="B95" s="32" t="s">
        <v>43</v>
      </c>
      <c r="C95" s="34">
        <v>1063</v>
      </c>
      <c r="D95" s="34" t="s">
        <v>13</v>
      </c>
      <c r="E95" s="34">
        <v>251</v>
      </c>
      <c r="F95" s="35">
        <v>41552</v>
      </c>
      <c r="G95" s="35">
        <v>52508</v>
      </c>
      <c r="H95" s="34" t="s">
        <v>14</v>
      </c>
      <c r="I95" s="34" t="s">
        <v>79</v>
      </c>
    </row>
    <row r="96" spans="1:9" ht="14.4">
      <c r="A96" s="36">
        <v>275</v>
      </c>
      <c r="B96" s="33" t="s">
        <v>43</v>
      </c>
      <c r="C96" s="36">
        <v>1065</v>
      </c>
      <c r="D96" s="36" t="s">
        <v>13</v>
      </c>
      <c r="E96" s="36">
        <v>10</v>
      </c>
      <c r="F96" s="37">
        <v>40372</v>
      </c>
      <c r="G96" s="37">
        <v>51329</v>
      </c>
      <c r="H96" s="36" t="s">
        <v>14</v>
      </c>
      <c r="I96" s="36" t="s">
        <v>79</v>
      </c>
    </row>
    <row r="97" spans="1:9" ht="14.4">
      <c r="A97" s="34">
        <v>276</v>
      </c>
      <c r="B97" s="32" t="s">
        <v>43</v>
      </c>
      <c r="C97" s="34">
        <v>1066</v>
      </c>
      <c r="D97" s="34" t="s">
        <v>13</v>
      </c>
      <c r="E97" s="34">
        <v>94</v>
      </c>
      <c r="F97" s="35">
        <v>42999</v>
      </c>
      <c r="G97" s="35">
        <v>53955</v>
      </c>
      <c r="H97" s="34" t="s">
        <v>14</v>
      </c>
      <c r="I97" s="34" t="s">
        <v>79</v>
      </c>
    </row>
    <row r="98" spans="1:9" ht="14.4">
      <c r="A98" s="36">
        <v>277</v>
      </c>
      <c r="B98" s="33" t="s">
        <v>43</v>
      </c>
      <c r="C98" s="36">
        <v>1072</v>
      </c>
      <c r="D98" s="36" t="s">
        <v>13</v>
      </c>
      <c r="E98" s="36">
        <v>69</v>
      </c>
      <c r="F98" s="37">
        <v>40368</v>
      </c>
      <c r="G98" s="37">
        <v>51325</v>
      </c>
      <c r="H98" s="36" t="s">
        <v>14</v>
      </c>
      <c r="I98" s="36" t="s">
        <v>79</v>
      </c>
    </row>
    <row r="99" spans="1:9" ht="14.4">
      <c r="A99" s="34">
        <v>278</v>
      </c>
      <c r="B99" s="32" t="s">
        <v>43</v>
      </c>
      <c r="C99" s="34">
        <v>1074</v>
      </c>
      <c r="D99" s="34" t="s">
        <v>13</v>
      </c>
      <c r="E99" s="34">
        <v>389</v>
      </c>
      <c r="F99" s="35">
        <v>40372</v>
      </c>
      <c r="G99" s="35">
        <v>51329</v>
      </c>
      <c r="H99" s="34" t="s">
        <v>16</v>
      </c>
      <c r="I99" s="34" t="s">
        <v>79</v>
      </c>
    </row>
    <row r="100" spans="1:9" ht="14.4">
      <c r="A100" s="36">
        <v>279</v>
      </c>
      <c r="B100" s="33" t="s">
        <v>43</v>
      </c>
      <c r="C100" s="36">
        <v>1075</v>
      </c>
      <c r="D100" s="36" t="s">
        <v>13</v>
      </c>
      <c r="E100" s="36">
        <v>371</v>
      </c>
      <c r="F100" s="37">
        <v>40520</v>
      </c>
      <c r="G100" s="37">
        <v>51477</v>
      </c>
      <c r="H100" s="36" t="s">
        <v>16</v>
      </c>
      <c r="I100" s="36" t="s">
        <v>79</v>
      </c>
    </row>
    <row r="101" spans="1:9" ht="14.4">
      <c r="A101" s="34">
        <v>280</v>
      </c>
      <c r="B101" s="32" t="s">
        <v>43</v>
      </c>
      <c r="C101" s="34">
        <v>1076</v>
      </c>
      <c r="D101" s="34" t="s">
        <v>13</v>
      </c>
      <c r="E101" s="34">
        <v>339</v>
      </c>
      <c r="F101" s="35">
        <v>40372</v>
      </c>
      <c r="G101" s="35">
        <v>51329</v>
      </c>
      <c r="H101" s="34" t="s">
        <v>16</v>
      </c>
      <c r="I101" s="34" t="s">
        <v>79</v>
      </c>
    </row>
    <row r="102" spans="1:9" ht="14.4">
      <c r="A102" s="36">
        <v>282</v>
      </c>
      <c r="B102" s="33" t="s">
        <v>43</v>
      </c>
      <c r="C102" s="36">
        <v>1078</v>
      </c>
      <c r="D102" s="36" t="s">
        <v>13</v>
      </c>
      <c r="E102" s="36">
        <v>370</v>
      </c>
      <c r="F102" s="37">
        <v>41552</v>
      </c>
      <c r="G102" s="37">
        <v>52508</v>
      </c>
      <c r="H102" s="36" t="s">
        <v>14</v>
      </c>
      <c r="I102" s="36" t="s">
        <v>79</v>
      </c>
    </row>
    <row r="103" spans="1:9" ht="14.4">
      <c r="A103" s="34">
        <v>283</v>
      </c>
      <c r="B103" s="32" t="s">
        <v>43</v>
      </c>
      <c r="C103" s="34">
        <v>1079</v>
      </c>
      <c r="D103" s="34" t="s">
        <v>13</v>
      </c>
      <c r="E103" s="34">
        <v>374</v>
      </c>
      <c r="F103" s="35">
        <v>40368</v>
      </c>
      <c r="G103" s="35">
        <v>51325</v>
      </c>
      <c r="H103" s="34" t="s">
        <v>16</v>
      </c>
      <c r="I103" s="34" t="s">
        <v>79</v>
      </c>
    </row>
    <row r="104" spans="1:9" ht="14.4">
      <c r="A104" s="36">
        <v>284</v>
      </c>
      <c r="B104" s="33" t="s">
        <v>43</v>
      </c>
      <c r="C104" s="36">
        <v>1084</v>
      </c>
      <c r="D104" s="36" t="s">
        <v>13</v>
      </c>
      <c r="E104" s="36">
        <v>284</v>
      </c>
      <c r="F104" s="37">
        <v>41891</v>
      </c>
      <c r="G104" s="37">
        <v>52848</v>
      </c>
      <c r="H104" s="36" t="s">
        <v>70</v>
      </c>
      <c r="I104" s="36" t="s">
        <v>79</v>
      </c>
    </row>
    <row r="105" spans="1:9" ht="14.4">
      <c r="A105" s="34">
        <v>285</v>
      </c>
      <c r="B105" s="32" t="s">
        <v>43</v>
      </c>
      <c r="C105" s="34">
        <v>1086</v>
      </c>
      <c r="D105" s="34" t="s">
        <v>13</v>
      </c>
      <c r="E105" s="34">
        <v>332</v>
      </c>
      <c r="F105" s="35">
        <v>41891</v>
      </c>
      <c r="G105" s="35">
        <v>52848</v>
      </c>
      <c r="H105" s="34" t="s">
        <v>16</v>
      </c>
      <c r="I105" s="34" t="s">
        <v>79</v>
      </c>
    </row>
    <row r="106" spans="1:9" ht="14.4">
      <c r="A106" s="36">
        <v>286</v>
      </c>
      <c r="B106" s="33" t="s">
        <v>43</v>
      </c>
      <c r="C106" s="36">
        <v>1088</v>
      </c>
      <c r="D106" s="36" t="s">
        <v>13</v>
      </c>
      <c r="E106" s="36">
        <v>381</v>
      </c>
      <c r="F106" s="37">
        <v>41891</v>
      </c>
      <c r="G106" s="37">
        <v>52848</v>
      </c>
      <c r="H106" s="36" t="s">
        <v>70</v>
      </c>
      <c r="I106" s="36" t="s">
        <v>79</v>
      </c>
    </row>
    <row r="107" spans="1:9" ht="14.4">
      <c r="A107" s="34">
        <v>287</v>
      </c>
      <c r="B107" s="32" t="s">
        <v>43</v>
      </c>
      <c r="C107" s="34">
        <v>1089</v>
      </c>
      <c r="D107" s="34" t="s">
        <v>13</v>
      </c>
      <c r="E107" s="34">
        <v>20</v>
      </c>
      <c r="F107" s="35">
        <v>40393</v>
      </c>
      <c r="G107" s="35">
        <v>51350</v>
      </c>
      <c r="H107" s="34" t="s">
        <v>70</v>
      </c>
      <c r="I107" s="34" t="s">
        <v>79</v>
      </c>
    </row>
    <row r="108" spans="1:9" ht="14.4">
      <c r="A108" s="36">
        <v>288</v>
      </c>
      <c r="B108" s="33" t="s">
        <v>43</v>
      </c>
      <c r="C108" s="36">
        <v>1090</v>
      </c>
      <c r="D108" s="36" t="s">
        <v>13</v>
      </c>
      <c r="E108" s="36">
        <v>12</v>
      </c>
      <c r="F108" s="37">
        <v>40368</v>
      </c>
      <c r="G108" s="37">
        <v>51325</v>
      </c>
      <c r="H108" s="36" t="s">
        <v>70</v>
      </c>
      <c r="I108" s="36" t="s">
        <v>79</v>
      </c>
    </row>
    <row r="109" spans="1:9" ht="14.4">
      <c r="A109" s="34">
        <v>372</v>
      </c>
      <c r="B109" s="32" t="s">
        <v>112</v>
      </c>
      <c r="C109" s="34">
        <v>1283</v>
      </c>
      <c r="D109" s="34" t="s">
        <v>13</v>
      </c>
      <c r="E109" s="34">
        <v>19</v>
      </c>
      <c r="F109" s="35">
        <v>43080</v>
      </c>
      <c r="G109" s="35">
        <v>54036</v>
      </c>
      <c r="H109" s="34" t="s">
        <v>16</v>
      </c>
      <c r="I109" s="34" t="s">
        <v>79</v>
      </c>
    </row>
    <row r="110" spans="1:9" ht="14.4">
      <c r="A110" s="36">
        <v>373</v>
      </c>
      <c r="B110" s="33" t="s">
        <v>51</v>
      </c>
      <c r="C110" s="36">
        <v>1297</v>
      </c>
      <c r="D110" s="36" t="s">
        <v>13</v>
      </c>
      <c r="E110" s="36">
        <v>64</v>
      </c>
      <c r="F110" s="37">
        <v>44813</v>
      </c>
      <c r="G110" s="37">
        <v>53943</v>
      </c>
      <c r="H110" s="36" t="s">
        <v>22</v>
      </c>
      <c r="I110" s="36" t="s">
        <v>79</v>
      </c>
    </row>
    <row r="111" spans="1:9" ht="14.4">
      <c r="A111" s="34">
        <v>426</v>
      </c>
      <c r="B111" s="32" t="s">
        <v>15</v>
      </c>
      <c r="C111" s="34">
        <v>1411</v>
      </c>
      <c r="D111" s="34" t="s">
        <v>13</v>
      </c>
      <c r="E111" s="34">
        <v>63</v>
      </c>
      <c r="F111" s="35">
        <v>39982</v>
      </c>
      <c r="G111" s="35">
        <v>50938</v>
      </c>
      <c r="H111" s="34" t="s">
        <v>14</v>
      </c>
      <c r="I111" s="34" t="s">
        <v>79</v>
      </c>
    </row>
    <row r="112" spans="1:9" ht="14.4">
      <c r="A112" s="36">
        <v>429</v>
      </c>
      <c r="B112" s="33" t="s">
        <v>15</v>
      </c>
      <c r="C112" s="36">
        <v>1430</v>
      </c>
      <c r="D112" s="36" t="s">
        <v>13</v>
      </c>
      <c r="E112" s="36">
        <v>17</v>
      </c>
      <c r="F112" s="37">
        <v>40059</v>
      </c>
      <c r="G112" s="37">
        <v>51015</v>
      </c>
      <c r="H112" s="36" t="s">
        <v>16</v>
      </c>
      <c r="I112" s="36" t="s">
        <v>79</v>
      </c>
    </row>
    <row r="113" spans="1:9" ht="14.4">
      <c r="A113" s="34">
        <v>430</v>
      </c>
      <c r="B113" s="32" t="s">
        <v>15</v>
      </c>
      <c r="C113" s="34">
        <v>1431</v>
      </c>
      <c r="D113" s="34" t="s">
        <v>13</v>
      </c>
      <c r="E113" s="34">
        <v>12</v>
      </c>
      <c r="F113" s="35">
        <v>40801</v>
      </c>
      <c r="G113" s="35">
        <v>51758</v>
      </c>
      <c r="H113" s="34" t="s">
        <v>16</v>
      </c>
      <c r="I113" s="34" t="s">
        <v>79</v>
      </c>
    </row>
    <row r="114" spans="1:9" ht="14.4">
      <c r="A114" s="36">
        <v>431</v>
      </c>
      <c r="B114" s="33" t="s">
        <v>15</v>
      </c>
      <c r="C114" s="36">
        <v>1432</v>
      </c>
      <c r="D114" s="36" t="s">
        <v>13</v>
      </c>
      <c r="E114" s="36">
        <v>15</v>
      </c>
      <c r="F114" s="37">
        <v>41999</v>
      </c>
      <c r="G114" s="37">
        <v>52956</v>
      </c>
      <c r="H114" s="36" t="s">
        <v>16</v>
      </c>
      <c r="I114" s="36" t="s">
        <v>79</v>
      </c>
    </row>
    <row r="115" spans="1:9" ht="14.4">
      <c r="A115" s="34">
        <v>432</v>
      </c>
      <c r="B115" s="32" t="s">
        <v>15</v>
      </c>
      <c r="C115" s="34">
        <v>1434</v>
      </c>
      <c r="D115" s="34" t="s">
        <v>13</v>
      </c>
      <c r="E115" s="34">
        <v>5</v>
      </c>
      <c r="F115" s="35">
        <v>40801</v>
      </c>
      <c r="G115" s="35">
        <v>51758</v>
      </c>
      <c r="H115" s="34" t="s">
        <v>16</v>
      </c>
      <c r="I115" s="34" t="s">
        <v>79</v>
      </c>
    </row>
    <row r="116" spans="1:9" ht="14.4">
      <c r="A116" s="36">
        <v>433</v>
      </c>
      <c r="B116" s="33" t="s">
        <v>15</v>
      </c>
      <c r="C116" s="36">
        <v>1435</v>
      </c>
      <c r="D116" s="36" t="s">
        <v>13</v>
      </c>
      <c r="E116" s="36">
        <v>135</v>
      </c>
      <c r="F116" s="37">
        <v>39405</v>
      </c>
      <c r="G116" s="37">
        <v>50362</v>
      </c>
      <c r="H116" s="36" t="s">
        <v>16</v>
      </c>
      <c r="I116" s="36" t="s">
        <v>79</v>
      </c>
    </row>
    <row r="117" spans="1:9" ht="14.4">
      <c r="A117" s="34">
        <v>438</v>
      </c>
      <c r="B117" s="32" t="s">
        <v>113</v>
      </c>
      <c r="C117" s="34">
        <v>1447</v>
      </c>
      <c r="D117" s="34" t="s">
        <v>13</v>
      </c>
      <c r="E117" s="34">
        <v>32</v>
      </c>
      <c r="F117" s="35">
        <v>40124</v>
      </c>
      <c r="G117" s="35">
        <v>51080</v>
      </c>
      <c r="H117" s="34" t="s">
        <v>16</v>
      </c>
      <c r="I117" s="34" t="s">
        <v>79</v>
      </c>
    </row>
    <row r="118" spans="1:9" ht="14.4">
      <c r="A118" s="36">
        <v>440</v>
      </c>
      <c r="B118" s="33" t="s">
        <v>93</v>
      </c>
      <c r="C118" s="36">
        <v>1496</v>
      </c>
      <c r="D118" s="36" t="s">
        <v>13</v>
      </c>
      <c r="E118" s="36">
        <v>1</v>
      </c>
      <c r="F118" s="37">
        <v>42411</v>
      </c>
      <c r="G118" s="37">
        <v>54097</v>
      </c>
      <c r="H118" s="36" t="s">
        <v>26</v>
      </c>
      <c r="I118" s="36" t="s">
        <v>79</v>
      </c>
    </row>
    <row r="119" spans="1:9" ht="14.4">
      <c r="A119" s="34">
        <v>444</v>
      </c>
      <c r="B119" s="32" t="s">
        <v>15</v>
      </c>
      <c r="C119" s="34">
        <v>1524</v>
      </c>
      <c r="D119" s="34" t="s">
        <v>13</v>
      </c>
      <c r="E119" s="34">
        <v>38</v>
      </c>
      <c r="F119" s="35">
        <v>41999</v>
      </c>
      <c r="G119" s="35">
        <v>52956</v>
      </c>
      <c r="H119" s="34" t="s">
        <v>16</v>
      </c>
      <c r="I119" s="34" t="s">
        <v>79</v>
      </c>
    </row>
    <row r="120" spans="1:9" ht="14.4">
      <c r="A120" s="36">
        <v>445</v>
      </c>
      <c r="B120" s="33" t="s">
        <v>15</v>
      </c>
      <c r="C120" s="36">
        <v>1526</v>
      </c>
      <c r="D120" s="36" t="s">
        <v>13</v>
      </c>
      <c r="E120" s="36">
        <v>12</v>
      </c>
      <c r="F120" s="37">
        <v>38969</v>
      </c>
      <c r="G120" s="37">
        <v>49926</v>
      </c>
      <c r="H120" s="36" t="s">
        <v>16</v>
      </c>
      <c r="I120" s="36" t="s">
        <v>79</v>
      </c>
    </row>
    <row r="121" spans="1:9" ht="14.4">
      <c r="A121" s="34">
        <v>446</v>
      </c>
      <c r="B121" s="32" t="s">
        <v>15</v>
      </c>
      <c r="C121" s="34">
        <v>1538</v>
      </c>
      <c r="D121" s="34" t="s">
        <v>13</v>
      </c>
      <c r="E121" s="34">
        <v>17</v>
      </c>
      <c r="F121" s="35">
        <v>39839</v>
      </c>
      <c r="G121" s="35">
        <v>50795</v>
      </c>
      <c r="H121" s="34" t="s">
        <v>14</v>
      </c>
      <c r="I121" s="34" t="s">
        <v>79</v>
      </c>
    </row>
    <row r="122" spans="1:9" ht="14.4">
      <c r="A122" s="36">
        <v>456</v>
      </c>
      <c r="B122" s="33" t="s">
        <v>12</v>
      </c>
      <c r="C122" s="36">
        <v>1689</v>
      </c>
      <c r="D122" s="36" t="s">
        <v>13</v>
      </c>
      <c r="E122" s="36">
        <v>471</v>
      </c>
      <c r="F122" s="37">
        <v>43334</v>
      </c>
      <c r="G122" s="37">
        <v>52464</v>
      </c>
      <c r="H122" s="36" t="s">
        <v>14</v>
      </c>
      <c r="I122" s="36" t="s">
        <v>79</v>
      </c>
    </row>
    <row r="123" spans="1:9" ht="14.4">
      <c r="A123" s="34">
        <v>458</v>
      </c>
      <c r="B123" s="32" t="s">
        <v>12</v>
      </c>
      <c r="C123" s="34">
        <v>1697</v>
      </c>
      <c r="D123" s="34" t="s">
        <v>13</v>
      </c>
      <c r="E123" s="34">
        <v>471</v>
      </c>
      <c r="F123" s="35">
        <v>40935</v>
      </c>
      <c r="G123" s="35">
        <v>51892</v>
      </c>
      <c r="H123" s="34" t="s">
        <v>14</v>
      </c>
      <c r="I123" s="34" t="s">
        <v>79</v>
      </c>
    </row>
    <row r="124" spans="1:9" ht="14.4">
      <c r="A124" s="36">
        <v>472</v>
      </c>
      <c r="B124" s="33" t="s">
        <v>43</v>
      </c>
      <c r="C124" s="36">
        <v>1776</v>
      </c>
      <c r="D124" s="36" t="s">
        <v>13</v>
      </c>
      <c r="E124" s="36">
        <v>75</v>
      </c>
      <c r="F124" s="37">
        <v>42032</v>
      </c>
      <c r="G124" s="37">
        <v>52989</v>
      </c>
      <c r="H124" s="36" t="s">
        <v>70</v>
      </c>
      <c r="I124" s="36" t="s">
        <v>79</v>
      </c>
    </row>
    <row r="125" spans="1:9" ht="14.4">
      <c r="A125" s="34">
        <v>474</v>
      </c>
      <c r="B125" s="32" t="s">
        <v>114</v>
      </c>
      <c r="C125" s="34">
        <v>1785</v>
      </c>
      <c r="D125" s="34" t="s">
        <v>13</v>
      </c>
      <c r="E125" s="34">
        <v>27</v>
      </c>
      <c r="F125" s="35">
        <v>41733</v>
      </c>
      <c r="G125" s="35">
        <v>52690</v>
      </c>
      <c r="H125" s="34" t="s">
        <v>14</v>
      </c>
      <c r="I125" s="34" t="s">
        <v>79</v>
      </c>
    </row>
    <row r="126" spans="1:9" ht="14.4">
      <c r="A126" s="36">
        <v>489</v>
      </c>
      <c r="B126" s="33" t="s">
        <v>115</v>
      </c>
      <c r="C126" s="36">
        <v>1884</v>
      </c>
      <c r="D126" s="36" t="s">
        <v>13</v>
      </c>
      <c r="E126" s="36">
        <v>23</v>
      </c>
      <c r="F126" s="37">
        <v>43112</v>
      </c>
      <c r="G126" s="37">
        <v>54068</v>
      </c>
      <c r="H126" s="36" t="s">
        <v>14</v>
      </c>
      <c r="I126" s="36" t="s">
        <v>79</v>
      </c>
    </row>
    <row r="127" spans="1:9" ht="14.4">
      <c r="A127" s="34">
        <v>492</v>
      </c>
      <c r="B127" s="32" t="s">
        <v>15</v>
      </c>
      <c r="C127" s="34">
        <v>1891</v>
      </c>
      <c r="D127" s="34" t="s">
        <v>13</v>
      </c>
      <c r="E127" s="34">
        <v>24</v>
      </c>
      <c r="F127" s="35">
        <v>42038</v>
      </c>
      <c r="G127" s="35">
        <v>52995</v>
      </c>
      <c r="H127" s="34" t="s">
        <v>16</v>
      </c>
      <c r="I127" s="34" t="s">
        <v>79</v>
      </c>
    </row>
    <row r="128" spans="1:9" ht="14.4">
      <c r="A128" s="36">
        <v>494</v>
      </c>
      <c r="B128" s="33" t="s">
        <v>116</v>
      </c>
      <c r="C128" s="36">
        <v>1959</v>
      </c>
      <c r="D128" s="36" t="s">
        <v>18</v>
      </c>
      <c r="E128" s="36">
        <v>100</v>
      </c>
      <c r="F128" s="37">
        <v>43522</v>
      </c>
      <c r="G128" s="37">
        <v>45347</v>
      </c>
      <c r="H128" s="36" t="s">
        <v>14</v>
      </c>
      <c r="I128" s="36" t="s">
        <v>79</v>
      </c>
    </row>
    <row r="129" spans="1:9" ht="14.4">
      <c r="A129" s="34">
        <v>495</v>
      </c>
      <c r="B129" s="32" t="s">
        <v>116</v>
      </c>
      <c r="C129" s="34">
        <v>1960</v>
      </c>
      <c r="D129" s="34" t="s">
        <v>18</v>
      </c>
      <c r="E129" s="34">
        <v>76</v>
      </c>
      <c r="F129" s="35">
        <v>43522</v>
      </c>
      <c r="G129" s="35">
        <v>45347</v>
      </c>
      <c r="H129" s="34" t="s">
        <v>70</v>
      </c>
      <c r="I129" s="34" t="s">
        <v>79</v>
      </c>
    </row>
    <row r="130" spans="1:9" ht="14.4">
      <c r="A130" s="36">
        <v>497</v>
      </c>
      <c r="B130" s="33" t="s">
        <v>116</v>
      </c>
      <c r="C130" s="36">
        <v>1962</v>
      </c>
      <c r="D130" s="36" t="s">
        <v>13</v>
      </c>
      <c r="E130" s="36">
        <v>14</v>
      </c>
      <c r="F130" s="37">
        <v>43381</v>
      </c>
      <c r="G130" s="37">
        <v>52511</v>
      </c>
      <c r="H130" s="36" t="s">
        <v>16</v>
      </c>
      <c r="I130" s="36" t="s">
        <v>79</v>
      </c>
    </row>
    <row r="131" spans="1:9" ht="14.4">
      <c r="A131" s="34">
        <v>502</v>
      </c>
      <c r="B131" s="32" t="s">
        <v>15</v>
      </c>
      <c r="C131" s="34">
        <v>2115</v>
      </c>
      <c r="D131" s="34" t="s">
        <v>13</v>
      </c>
      <c r="E131" s="34">
        <v>101</v>
      </c>
      <c r="F131" s="35">
        <v>40801</v>
      </c>
      <c r="G131" s="35">
        <v>51758</v>
      </c>
      <c r="H131" s="34" t="s">
        <v>16</v>
      </c>
      <c r="I131" s="34" t="s">
        <v>79</v>
      </c>
    </row>
    <row r="132" spans="1:9" ht="14.4">
      <c r="A132" s="36">
        <v>503</v>
      </c>
      <c r="B132" s="33" t="s">
        <v>15</v>
      </c>
      <c r="C132" s="36">
        <v>2116</v>
      </c>
      <c r="D132" s="36" t="s">
        <v>13</v>
      </c>
      <c r="E132" s="36">
        <v>179</v>
      </c>
      <c r="F132" s="37">
        <v>42038</v>
      </c>
      <c r="G132" s="37">
        <v>52995</v>
      </c>
      <c r="H132" s="36" t="s">
        <v>16</v>
      </c>
      <c r="I132" s="36" t="s">
        <v>79</v>
      </c>
    </row>
    <row r="133" spans="1:9" ht="14.4">
      <c r="A133" s="34">
        <v>507</v>
      </c>
      <c r="B133" s="32" t="s">
        <v>114</v>
      </c>
      <c r="C133" s="34">
        <v>2129</v>
      </c>
      <c r="D133" s="34" t="s">
        <v>13</v>
      </c>
      <c r="E133" s="34">
        <v>42</v>
      </c>
      <c r="F133" s="35">
        <v>44305</v>
      </c>
      <c r="G133" s="35">
        <v>53435</v>
      </c>
      <c r="H133" s="34" t="s">
        <v>14</v>
      </c>
      <c r="I133" s="34" t="s">
        <v>79</v>
      </c>
    </row>
    <row r="134" spans="1:9" ht="14.4">
      <c r="A134" s="36">
        <v>510</v>
      </c>
      <c r="B134" s="33" t="s">
        <v>116</v>
      </c>
      <c r="C134" s="36">
        <v>2133</v>
      </c>
      <c r="D134" s="36" t="s">
        <v>18</v>
      </c>
      <c r="E134" s="36">
        <v>97</v>
      </c>
      <c r="F134" s="37">
        <v>43522</v>
      </c>
      <c r="G134" s="37">
        <v>45347</v>
      </c>
      <c r="H134" s="36" t="s">
        <v>14</v>
      </c>
      <c r="I134" s="36" t="s">
        <v>79</v>
      </c>
    </row>
    <row r="135" spans="1:9" ht="14.4">
      <c r="A135" s="34">
        <v>511</v>
      </c>
      <c r="B135" s="32" t="s">
        <v>116</v>
      </c>
      <c r="C135" s="34">
        <v>2136</v>
      </c>
      <c r="D135" s="34" t="s">
        <v>18</v>
      </c>
      <c r="E135" s="34">
        <v>87</v>
      </c>
      <c r="F135" s="35">
        <v>43522</v>
      </c>
      <c r="G135" s="35">
        <v>45347</v>
      </c>
      <c r="H135" s="34" t="s">
        <v>14</v>
      </c>
      <c r="I135" s="34" t="s">
        <v>79</v>
      </c>
    </row>
    <row r="136" spans="1:9" ht="14.4">
      <c r="A136" s="36">
        <v>513</v>
      </c>
      <c r="B136" s="33" t="s">
        <v>116</v>
      </c>
      <c r="C136" s="36">
        <v>2150</v>
      </c>
      <c r="D136" s="36" t="s">
        <v>18</v>
      </c>
      <c r="E136" s="36">
        <v>106</v>
      </c>
      <c r="F136" s="37">
        <v>43522</v>
      </c>
      <c r="G136" s="37">
        <v>45347</v>
      </c>
      <c r="H136" s="36" t="s">
        <v>16</v>
      </c>
      <c r="I136" s="36" t="s">
        <v>79</v>
      </c>
    </row>
    <row r="137" spans="1:9" ht="14.4">
      <c r="A137" s="34">
        <v>514</v>
      </c>
      <c r="B137" s="32" t="s">
        <v>116</v>
      </c>
      <c r="C137" s="34">
        <v>2151</v>
      </c>
      <c r="D137" s="34" t="s">
        <v>18</v>
      </c>
      <c r="E137" s="34">
        <v>62</v>
      </c>
      <c r="F137" s="35">
        <v>43522</v>
      </c>
      <c r="G137" s="35">
        <v>45347</v>
      </c>
      <c r="H137" s="34" t="s">
        <v>16</v>
      </c>
      <c r="I137" s="34" t="s">
        <v>79</v>
      </c>
    </row>
    <row r="138" spans="1:9" ht="14.4">
      <c r="A138" s="36">
        <v>516</v>
      </c>
      <c r="B138" s="33" t="s">
        <v>116</v>
      </c>
      <c r="C138" s="36">
        <v>2154</v>
      </c>
      <c r="D138" s="36" t="s">
        <v>18</v>
      </c>
      <c r="E138" s="36">
        <v>61</v>
      </c>
      <c r="F138" s="37">
        <v>43522</v>
      </c>
      <c r="G138" s="37">
        <v>45347</v>
      </c>
      <c r="H138" s="36" t="s">
        <v>70</v>
      </c>
      <c r="I138" s="36" t="s">
        <v>79</v>
      </c>
    </row>
    <row r="139" spans="1:9" ht="14.4">
      <c r="A139" s="34">
        <v>517</v>
      </c>
      <c r="B139" s="32" t="s">
        <v>116</v>
      </c>
      <c r="C139" s="34">
        <v>2156</v>
      </c>
      <c r="D139" s="34" t="s">
        <v>18</v>
      </c>
      <c r="E139" s="34">
        <v>100</v>
      </c>
      <c r="F139" s="35">
        <v>43522</v>
      </c>
      <c r="G139" s="35">
        <v>45347</v>
      </c>
      <c r="H139" s="34" t="s">
        <v>14</v>
      </c>
      <c r="I139" s="34" t="s">
        <v>79</v>
      </c>
    </row>
    <row r="140" spans="1:9" ht="14.4">
      <c r="A140" s="36">
        <v>528</v>
      </c>
      <c r="B140" s="33" t="s">
        <v>117</v>
      </c>
      <c r="C140" s="36">
        <v>2214</v>
      </c>
      <c r="D140" s="36" t="s">
        <v>13</v>
      </c>
      <c r="E140" s="36">
        <v>145</v>
      </c>
      <c r="F140" s="37">
        <v>42037</v>
      </c>
      <c r="G140" s="37">
        <v>52994</v>
      </c>
      <c r="H140" s="36" t="s">
        <v>14</v>
      </c>
      <c r="I140" s="36" t="s">
        <v>79</v>
      </c>
    </row>
    <row r="141" spans="1:9" ht="14.4">
      <c r="A141" s="34">
        <v>529</v>
      </c>
      <c r="B141" s="32" t="s">
        <v>116</v>
      </c>
      <c r="C141" s="34">
        <v>2215</v>
      </c>
      <c r="D141" s="34" t="s">
        <v>18</v>
      </c>
      <c r="E141" s="34">
        <v>82</v>
      </c>
      <c r="F141" s="35">
        <v>43522</v>
      </c>
      <c r="G141" s="35">
        <v>45347</v>
      </c>
      <c r="H141" s="34" t="s">
        <v>14</v>
      </c>
      <c r="I141" s="34" t="s">
        <v>79</v>
      </c>
    </row>
    <row r="142" spans="1:9" ht="14.4">
      <c r="A142" s="36">
        <v>530</v>
      </c>
      <c r="B142" s="33" t="s">
        <v>116</v>
      </c>
      <c r="C142" s="36">
        <v>2216</v>
      </c>
      <c r="D142" s="36" t="s">
        <v>18</v>
      </c>
      <c r="E142" s="36">
        <v>97</v>
      </c>
      <c r="F142" s="37">
        <v>43522</v>
      </c>
      <c r="G142" s="37">
        <v>45347</v>
      </c>
      <c r="H142" s="36" t="s">
        <v>14</v>
      </c>
      <c r="I142" s="36" t="s">
        <v>79</v>
      </c>
    </row>
    <row r="143" spans="1:9" ht="14.4">
      <c r="A143" s="34">
        <v>546</v>
      </c>
      <c r="B143" s="32" t="s">
        <v>118</v>
      </c>
      <c r="C143" s="34">
        <v>2315</v>
      </c>
      <c r="D143" s="34" t="s">
        <v>13</v>
      </c>
      <c r="E143" s="34">
        <v>17</v>
      </c>
      <c r="F143" s="35">
        <v>43719</v>
      </c>
      <c r="G143" s="35">
        <v>52850</v>
      </c>
      <c r="H143" s="34" t="s">
        <v>16</v>
      </c>
      <c r="I143" s="34" t="s">
        <v>79</v>
      </c>
    </row>
    <row r="144" spans="1:9" ht="14.4">
      <c r="A144" s="36">
        <v>549</v>
      </c>
      <c r="B144" s="33" t="s">
        <v>119</v>
      </c>
      <c r="C144" s="36">
        <v>2322</v>
      </c>
      <c r="D144" s="36" t="s">
        <v>30</v>
      </c>
      <c r="E144" s="36">
        <v>17</v>
      </c>
      <c r="F144" s="37">
        <v>43621</v>
      </c>
      <c r="G144" s="37">
        <v>45447</v>
      </c>
      <c r="H144" s="36" t="s">
        <v>14</v>
      </c>
      <c r="I144" s="36" t="s">
        <v>79</v>
      </c>
    </row>
    <row r="145" spans="1:9" ht="14.4">
      <c r="A145" s="34">
        <v>551</v>
      </c>
      <c r="B145" s="32" t="s">
        <v>120</v>
      </c>
      <c r="C145" s="34">
        <v>2339</v>
      </c>
      <c r="D145" s="34" t="s">
        <v>13</v>
      </c>
      <c r="E145" s="34">
        <v>30</v>
      </c>
      <c r="F145" s="35">
        <v>43377</v>
      </c>
      <c r="G145" s="35">
        <v>52507</v>
      </c>
      <c r="H145" s="34" t="s">
        <v>14</v>
      </c>
      <c r="I145" s="34" t="s">
        <v>79</v>
      </c>
    </row>
    <row r="146" spans="1:9" ht="14.4">
      <c r="A146" s="36">
        <v>552</v>
      </c>
      <c r="B146" s="33" t="s">
        <v>120</v>
      </c>
      <c r="C146" s="36">
        <v>2342</v>
      </c>
      <c r="D146" s="36" t="s">
        <v>13</v>
      </c>
      <c r="E146" s="36">
        <v>15</v>
      </c>
      <c r="F146" s="37">
        <v>43377</v>
      </c>
      <c r="G146" s="37">
        <v>52507</v>
      </c>
      <c r="H146" s="36" t="s">
        <v>16</v>
      </c>
      <c r="I146" s="36" t="s">
        <v>79</v>
      </c>
    </row>
    <row r="147" spans="1:9" ht="14.4">
      <c r="A147" s="34">
        <v>553</v>
      </c>
      <c r="B147" s="32" t="s">
        <v>43</v>
      </c>
      <c r="C147" s="34">
        <v>2347</v>
      </c>
      <c r="D147" s="34" t="s">
        <v>13</v>
      </c>
      <c r="E147" s="34">
        <v>136</v>
      </c>
      <c r="F147" s="35">
        <v>40245</v>
      </c>
      <c r="G147" s="35">
        <v>51202</v>
      </c>
      <c r="H147" s="34" t="s">
        <v>14</v>
      </c>
      <c r="I147" s="34" t="s">
        <v>79</v>
      </c>
    </row>
    <row r="148" spans="1:9" ht="14.4">
      <c r="A148" s="36">
        <v>554</v>
      </c>
      <c r="B148" s="33" t="s">
        <v>43</v>
      </c>
      <c r="C148" s="36">
        <v>2348</v>
      </c>
      <c r="D148" s="36" t="s">
        <v>13</v>
      </c>
      <c r="E148" s="36">
        <v>183</v>
      </c>
      <c r="F148" s="37">
        <v>40245</v>
      </c>
      <c r="G148" s="37">
        <v>51202</v>
      </c>
      <c r="H148" s="36" t="s">
        <v>16</v>
      </c>
      <c r="I148" s="36" t="s">
        <v>79</v>
      </c>
    </row>
    <row r="149" spans="1:9" ht="14.4">
      <c r="A149" s="34">
        <v>555</v>
      </c>
      <c r="B149" s="32" t="s">
        <v>43</v>
      </c>
      <c r="C149" s="34">
        <v>2349</v>
      </c>
      <c r="D149" s="34" t="s">
        <v>13</v>
      </c>
      <c r="E149" s="34">
        <v>66</v>
      </c>
      <c r="F149" s="35">
        <v>40520</v>
      </c>
      <c r="G149" s="35">
        <v>51477</v>
      </c>
      <c r="H149" s="34" t="s">
        <v>70</v>
      </c>
      <c r="I149" s="34" t="s">
        <v>79</v>
      </c>
    </row>
    <row r="150" spans="1:9" ht="14.4">
      <c r="A150" s="36">
        <v>556</v>
      </c>
      <c r="B150" s="33" t="s">
        <v>43</v>
      </c>
      <c r="C150" s="36">
        <v>2350</v>
      </c>
      <c r="D150" s="36" t="s">
        <v>13</v>
      </c>
      <c r="E150" s="36">
        <v>270</v>
      </c>
      <c r="F150" s="37">
        <v>40394</v>
      </c>
      <c r="G150" s="37">
        <v>51351</v>
      </c>
      <c r="H150" s="36" t="s">
        <v>16</v>
      </c>
      <c r="I150" s="36" t="s">
        <v>79</v>
      </c>
    </row>
    <row r="151" spans="1:9" ht="14.4">
      <c r="A151" s="34">
        <v>557</v>
      </c>
      <c r="B151" s="32" t="s">
        <v>43</v>
      </c>
      <c r="C151" s="34">
        <v>2351</v>
      </c>
      <c r="D151" s="34" t="s">
        <v>13</v>
      </c>
      <c r="E151" s="34">
        <v>174</v>
      </c>
      <c r="F151" s="35">
        <v>40245</v>
      </c>
      <c r="G151" s="35">
        <v>51202</v>
      </c>
      <c r="H151" s="34" t="s">
        <v>14</v>
      </c>
      <c r="I151" s="34" t="s">
        <v>79</v>
      </c>
    </row>
    <row r="152" spans="1:9" ht="14.4">
      <c r="A152" s="36">
        <v>558</v>
      </c>
      <c r="B152" s="33" t="s">
        <v>43</v>
      </c>
      <c r="C152" s="36">
        <v>2352</v>
      </c>
      <c r="D152" s="36" t="s">
        <v>13</v>
      </c>
      <c r="E152" s="36">
        <v>10</v>
      </c>
      <c r="F152" s="37">
        <v>40245</v>
      </c>
      <c r="G152" s="37">
        <v>51202</v>
      </c>
      <c r="H152" s="36" t="s">
        <v>16</v>
      </c>
      <c r="I152" s="36" t="s">
        <v>79</v>
      </c>
    </row>
    <row r="153" spans="1:9" ht="14.4">
      <c r="A153" s="34">
        <v>559</v>
      </c>
      <c r="B153" s="32" t="s">
        <v>43</v>
      </c>
      <c r="C153" s="34">
        <v>2353</v>
      </c>
      <c r="D153" s="34" t="s">
        <v>13</v>
      </c>
      <c r="E153" s="34">
        <v>161</v>
      </c>
      <c r="F153" s="35">
        <v>40245</v>
      </c>
      <c r="G153" s="35">
        <v>51202</v>
      </c>
      <c r="H153" s="34" t="s">
        <v>14</v>
      </c>
      <c r="I153" s="34" t="s">
        <v>79</v>
      </c>
    </row>
    <row r="154" spans="1:9" ht="14.4">
      <c r="A154" s="36">
        <v>560</v>
      </c>
      <c r="B154" s="33" t="s">
        <v>43</v>
      </c>
      <c r="C154" s="36">
        <v>2354</v>
      </c>
      <c r="D154" s="36" t="s">
        <v>13</v>
      </c>
      <c r="E154" s="36">
        <v>201</v>
      </c>
      <c r="F154" s="37">
        <v>40245</v>
      </c>
      <c r="G154" s="37">
        <v>51202</v>
      </c>
      <c r="H154" s="36" t="s">
        <v>14</v>
      </c>
      <c r="I154" s="36" t="s">
        <v>79</v>
      </c>
    </row>
    <row r="155" spans="1:9" ht="14.4">
      <c r="A155" s="34">
        <v>561</v>
      </c>
      <c r="B155" s="32" t="s">
        <v>43</v>
      </c>
      <c r="C155" s="34">
        <v>2355</v>
      </c>
      <c r="D155" s="34" t="s">
        <v>13</v>
      </c>
      <c r="E155" s="34">
        <v>121</v>
      </c>
      <c r="F155" s="35">
        <v>40245</v>
      </c>
      <c r="G155" s="35">
        <v>51202</v>
      </c>
      <c r="H155" s="34" t="s">
        <v>14</v>
      </c>
      <c r="I155" s="34" t="s">
        <v>79</v>
      </c>
    </row>
    <row r="156" spans="1:9" ht="14.4">
      <c r="A156" s="36">
        <v>562</v>
      </c>
      <c r="B156" s="33" t="s">
        <v>43</v>
      </c>
      <c r="C156" s="36">
        <v>2356</v>
      </c>
      <c r="D156" s="36" t="s">
        <v>13</v>
      </c>
      <c r="E156" s="36">
        <v>82</v>
      </c>
      <c r="F156" s="37">
        <v>40245</v>
      </c>
      <c r="G156" s="37">
        <v>51202</v>
      </c>
      <c r="H156" s="36" t="s">
        <v>14</v>
      </c>
      <c r="I156" s="36" t="s">
        <v>79</v>
      </c>
    </row>
    <row r="157" spans="1:9" ht="14.4">
      <c r="A157" s="34">
        <v>563</v>
      </c>
      <c r="B157" s="32" t="s">
        <v>43</v>
      </c>
      <c r="C157" s="34">
        <v>2357</v>
      </c>
      <c r="D157" s="34" t="s">
        <v>13</v>
      </c>
      <c r="E157" s="34">
        <v>141</v>
      </c>
      <c r="F157" s="35">
        <v>40245</v>
      </c>
      <c r="G157" s="35">
        <v>51202</v>
      </c>
      <c r="H157" s="34" t="s">
        <v>14</v>
      </c>
      <c r="I157" s="34" t="s">
        <v>79</v>
      </c>
    </row>
    <row r="158" spans="1:9" ht="14.4">
      <c r="A158" s="36">
        <v>564</v>
      </c>
      <c r="B158" s="33" t="s">
        <v>43</v>
      </c>
      <c r="C158" s="36">
        <v>2358</v>
      </c>
      <c r="D158" s="36" t="s">
        <v>13</v>
      </c>
      <c r="E158" s="36">
        <v>147</v>
      </c>
      <c r="F158" s="37">
        <v>42999</v>
      </c>
      <c r="G158" s="37">
        <v>53955</v>
      </c>
      <c r="H158" s="36" t="s">
        <v>14</v>
      </c>
      <c r="I158" s="36" t="s">
        <v>79</v>
      </c>
    </row>
    <row r="159" spans="1:9" ht="14.4">
      <c r="A159" s="34">
        <v>565</v>
      </c>
      <c r="B159" s="32" t="s">
        <v>43</v>
      </c>
      <c r="C159" s="34">
        <v>2359</v>
      </c>
      <c r="D159" s="34" t="s">
        <v>13</v>
      </c>
      <c r="E159" s="34">
        <v>107</v>
      </c>
      <c r="F159" s="35">
        <v>40245</v>
      </c>
      <c r="G159" s="35">
        <v>51202</v>
      </c>
      <c r="H159" s="34" t="s">
        <v>14</v>
      </c>
      <c r="I159" s="34" t="s">
        <v>79</v>
      </c>
    </row>
    <row r="160" spans="1:9" ht="14.4">
      <c r="A160" s="36">
        <v>566</v>
      </c>
      <c r="B160" s="33" t="s">
        <v>43</v>
      </c>
      <c r="C160" s="36">
        <v>2360</v>
      </c>
      <c r="D160" s="36" t="s">
        <v>13</v>
      </c>
      <c r="E160" s="36">
        <v>183</v>
      </c>
      <c r="F160" s="37">
        <v>40368</v>
      </c>
      <c r="G160" s="37">
        <v>51325</v>
      </c>
      <c r="H160" s="36" t="s">
        <v>14</v>
      </c>
      <c r="I160" s="36" t="s">
        <v>79</v>
      </c>
    </row>
    <row r="161" spans="1:9" ht="14.4">
      <c r="A161" s="34">
        <v>567</v>
      </c>
      <c r="B161" s="32" t="s">
        <v>43</v>
      </c>
      <c r="C161" s="34">
        <v>2361</v>
      </c>
      <c r="D161" s="34" t="s">
        <v>13</v>
      </c>
      <c r="E161" s="34">
        <v>7</v>
      </c>
      <c r="F161" s="35">
        <v>40396</v>
      </c>
      <c r="G161" s="35">
        <v>51353</v>
      </c>
      <c r="H161" s="34" t="s">
        <v>16</v>
      </c>
      <c r="I161" s="34" t="s">
        <v>79</v>
      </c>
    </row>
    <row r="162" spans="1:9" ht="14.4">
      <c r="A162" s="36">
        <v>568</v>
      </c>
      <c r="B162" s="33" t="s">
        <v>43</v>
      </c>
      <c r="C162" s="36">
        <v>2362</v>
      </c>
      <c r="D162" s="36" t="s">
        <v>13</v>
      </c>
      <c r="E162" s="36">
        <v>148</v>
      </c>
      <c r="F162" s="37">
        <v>40393</v>
      </c>
      <c r="G162" s="37">
        <v>51350</v>
      </c>
      <c r="H162" s="36" t="s">
        <v>70</v>
      </c>
      <c r="I162" s="36" t="s">
        <v>79</v>
      </c>
    </row>
    <row r="163" spans="1:9" ht="14.4">
      <c r="A163" s="34">
        <v>569</v>
      </c>
      <c r="B163" s="32" t="s">
        <v>43</v>
      </c>
      <c r="C163" s="34">
        <v>2363</v>
      </c>
      <c r="D163" s="34" t="s">
        <v>21</v>
      </c>
      <c r="E163" s="34">
        <v>5</v>
      </c>
      <c r="F163" s="35">
        <v>43585</v>
      </c>
      <c r="G163" s="35">
        <v>45411</v>
      </c>
      <c r="H163" s="34" t="s">
        <v>16</v>
      </c>
      <c r="I163" s="34" t="s">
        <v>79</v>
      </c>
    </row>
    <row r="164" spans="1:9" ht="14.4">
      <c r="A164" s="36">
        <v>581</v>
      </c>
      <c r="B164" s="33" t="s">
        <v>121</v>
      </c>
      <c r="C164" s="36">
        <v>2506</v>
      </c>
      <c r="D164" s="36" t="s">
        <v>30</v>
      </c>
      <c r="E164" s="36">
        <v>7</v>
      </c>
      <c r="F164" s="37">
        <v>43510</v>
      </c>
      <c r="G164" s="37">
        <v>45335</v>
      </c>
      <c r="H164" s="36" t="s">
        <v>16</v>
      </c>
      <c r="I164" s="36" t="s">
        <v>79</v>
      </c>
    </row>
    <row r="165" spans="1:9" ht="14.4">
      <c r="A165" s="34">
        <v>582</v>
      </c>
      <c r="B165" s="32" t="s">
        <v>116</v>
      </c>
      <c r="C165" s="34">
        <v>2508</v>
      </c>
      <c r="D165" s="34" t="s">
        <v>18</v>
      </c>
      <c r="E165" s="34">
        <v>50</v>
      </c>
      <c r="F165" s="35">
        <v>43522</v>
      </c>
      <c r="G165" s="35">
        <v>45347</v>
      </c>
      <c r="H165" s="34" t="s">
        <v>14</v>
      </c>
      <c r="I165" s="34" t="s">
        <v>79</v>
      </c>
    </row>
    <row r="166" spans="1:9" ht="14.4">
      <c r="A166" s="36">
        <v>583</v>
      </c>
      <c r="B166" s="33" t="s">
        <v>116</v>
      </c>
      <c r="C166" s="36">
        <v>2509</v>
      </c>
      <c r="D166" s="36" t="s">
        <v>18</v>
      </c>
      <c r="E166" s="36">
        <v>92</v>
      </c>
      <c r="F166" s="37">
        <v>43522</v>
      </c>
      <c r="G166" s="37">
        <v>45347</v>
      </c>
      <c r="H166" s="36" t="s">
        <v>16</v>
      </c>
      <c r="I166" s="36" t="s">
        <v>79</v>
      </c>
    </row>
    <row r="167" spans="1:9" ht="14.4">
      <c r="A167" s="34">
        <v>584</v>
      </c>
      <c r="B167" s="32" t="s">
        <v>116</v>
      </c>
      <c r="C167" s="34">
        <v>2511</v>
      </c>
      <c r="D167" s="34" t="s">
        <v>18</v>
      </c>
      <c r="E167" s="34">
        <v>100</v>
      </c>
      <c r="F167" s="35">
        <v>43522</v>
      </c>
      <c r="G167" s="35">
        <v>45347</v>
      </c>
      <c r="H167" s="34" t="s">
        <v>16</v>
      </c>
      <c r="I167" s="34" t="s">
        <v>79</v>
      </c>
    </row>
    <row r="168" spans="1:9" ht="14.4">
      <c r="A168" s="36">
        <v>585</v>
      </c>
      <c r="B168" s="33" t="s">
        <v>116</v>
      </c>
      <c r="C168" s="36">
        <v>2512</v>
      </c>
      <c r="D168" s="36" t="s">
        <v>18</v>
      </c>
      <c r="E168" s="36">
        <v>70</v>
      </c>
      <c r="F168" s="37">
        <v>43522</v>
      </c>
      <c r="G168" s="37">
        <v>45347</v>
      </c>
      <c r="H168" s="36" t="s">
        <v>16</v>
      </c>
      <c r="I168" s="36" t="s">
        <v>79</v>
      </c>
    </row>
    <row r="169" spans="1:9" ht="14.4">
      <c r="A169" s="34">
        <v>586</v>
      </c>
      <c r="B169" s="32" t="s">
        <v>116</v>
      </c>
      <c r="C169" s="34">
        <v>2513</v>
      </c>
      <c r="D169" s="34" t="s">
        <v>18</v>
      </c>
      <c r="E169" s="34">
        <v>96</v>
      </c>
      <c r="F169" s="35">
        <v>43522</v>
      </c>
      <c r="G169" s="35">
        <v>45347</v>
      </c>
      <c r="H169" s="34" t="s">
        <v>16</v>
      </c>
      <c r="I169" s="34" t="s">
        <v>79</v>
      </c>
    </row>
    <row r="170" spans="1:9" ht="14.4">
      <c r="A170" s="36">
        <v>587</v>
      </c>
      <c r="B170" s="33" t="s">
        <v>95</v>
      </c>
      <c r="C170" s="36">
        <v>2589</v>
      </c>
      <c r="D170" s="36" t="s">
        <v>13</v>
      </c>
      <c r="E170" s="36">
        <v>2</v>
      </c>
      <c r="F170" s="37">
        <v>36253</v>
      </c>
      <c r="G170" s="37">
        <v>47210</v>
      </c>
      <c r="H170" s="36" t="s">
        <v>16</v>
      </c>
      <c r="I170" s="36" t="s">
        <v>79</v>
      </c>
    </row>
    <row r="171" spans="1:9" ht="14.4">
      <c r="A171" s="34">
        <v>588</v>
      </c>
      <c r="B171" s="32" t="s">
        <v>43</v>
      </c>
      <c r="C171" s="34">
        <v>2590</v>
      </c>
      <c r="D171" s="34" t="s">
        <v>13</v>
      </c>
      <c r="E171" s="34">
        <v>92</v>
      </c>
      <c r="F171" s="35">
        <v>39908</v>
      </c>
      <c r="G171" s="35">
        <v>45386</v>
      </c>
      <c r="H171" s="34" t="s">
        <v>14</v>
      </c>
      <c r="I171" s="34" t="s">
        <v>79</v>
      </c>
    </row>
    <row r="172" spans="1:9" ht="14.4">
      <c r="A172" s="36">
        <v>590</v>
      </c>
      <c r="B172" s="33" t="s">
        <v>55</v>
      </c>
      <c r="C172" s="36">
        <v>2592</v>
      </c>
      <c r="D172" s="36" t="s">
        <v>13</v>
      </c>
      <c r="E172" s="36">
        <v>256</v>
      </c>
      <c r="F172" s="37">
        <v>42557</v>
      </c>
      <c r="G172" s="37">
        <v>48034</v>
      </c>
      <c r="H172" s="36" t="s">
        <v>56</v>
      </c>
      <c r="I172" s="36" t="s">
        <v>79</v>
      </c>
    </row>
    <row r="173" spans="1:9" ht="14.4">
      <c r="A173" s="34">
        <v>592</v>
      </c>
      <c r="B173" s="32" t="s">
        <v>81</v>
      </c>
      <c r="C173" s="34">
        <v>2594</v>
      </c>
      <c r="D173" s="34" t="s">
        <v>13</v>
      </c>
      <c r="E173" s="34">
        <v>346</v>
      </c>
      <c r="F173" s="35">
        <v>42557</v>
      </c>
      <c r="G173" s="35">
        <v>48034</v>
      </c>
      <c r="H173" s="34" t="s">
        <v>56</v>
      </c>
      <c r="I173" s="34" t="s">
        <v>79</v>
      </c>
    </row>
    <row r="174" spans="1:9" ht="14.4">
      <c r="A174" s="36">
        <v>593</v>
      </c>
      <c r="B174" s="33" t="s">
        <v>81</v>
      </c>
      <c r="C174" s="36">
        <v>2595</v>
      </c>
      <c r="D174" s="36" t="s">
        <v>13</v>
      </c>
      <c r="E174" s="36">
        <v>267</v>
      </c>
      <c r="F174" s="37">
        <v>42557</v>
      </c>
      <c r="G174" s="37">
        <v>48034</v>
      </c>
      <c r="H174" s="36" t="s">
        <v>56</v>
      </c>
      <c r="I174" s="36" t="s">
        <v>79</v>
      </c>
    </row>
    <row r="175" spans="1:9" ht="14.4">
      <c r="A175" s="34">
        <v>600</v>
      </c>
      <c r="B175" s="32" t="s">
        <v>43</v>
      </c>
      <c r="C175" s="34">
        <v>2603</v>
      </c>
      <c r="D175" s="34" t="s">
        <v>13</v>
      </c>
      <c r="E175" s="34">
        <v>22</v>
      </c>
      <c r="F175" s="35">
        <v>39907</v>
      </c>
      <c r="G175" s="35">
        <v>45385</v>
      </c>
      <c r="H175" s="34" t="s">
        <v>14</v>
      </c>
      <c r="I175" s="34" t="s">
        <v>79</v>
      </c>
    </row>
    <row r="176" spans="1:9" ht="14.4">
      <c r="A176" s="36">
        <v>601</v>
      </c>
      <c r="B176" s="33" t="s">
        <v>43</v>
      </c>
      <c r="C176" s="36">
        <v>2604</v>
      </c>
      <c r="D176" s="36" t="s">
        <v>13</v>
      </c>
      <c r="E176" s="36">
        <v>56</v>
      </c>
      <c r="F176" s="37">
        <v>39907</v>
      </c>
      <c r="G176" s="37">
        <v>45385</v>
      </c>
      <c r="H176" s="36" t="s">
        <v>16</v>
      </c>
      <c r="I176" s="36" t="s">
        <v>79</v>
      </c>
    </row>
    <row r="177" spans="1:9" ht="14.4">
      <c r="A177" s="34">
        <v>602</v>
      </c>
      <c r="B177" s="32" t="s">
        <v>43</v>
      </c>
      <c r="C177" s="34">
        <v>2605</v>
      </c>
      <c r="D177" s="34" t="s">
        <v>13</v>
      </c>
      <c r="E177" s="34">
        <v>11</v>
      </c>
      <c r="F177" s="35">
        <v>39907</v>
      </c>
      <c r="G177" s="35">
        <v>45385</v>
      </c>
      <c r="H177" s="34" t="s">
        <v>16</v>
      </c>
      <c r="I177" s="34" t="s">
        <v>79</v>
      </c>
    </row>
    <row r="178" spans="1:9" ht="14.4">
      <c r="A178" s="36">
        <v>618</v>
      </c>
      <c r="B178" s="33" t="s">
        <v>93</v>
      </c>
      <c r="C178" s="36">
        <v>2639</v>
      </c>
      <c r="D178" s="36" t="s">
        <v>13</v>
      </c>
      <c r="E178" s="36">
        <v>11</v>
      </c>
      <c r="F178" s="37">
        <v>42411</v>
      </c>
      <c r="G178" s="37">
        <v>54100</v>
      </c>
      <c r="H178" s="36" t="s">
        <v>26</v>
      </c>
      <c r="I178" s="36" t="s">
        <v>79</v>
      </c>
    </row>
    <row r="179" spans="1:9" ht="14.4">
      <c r="A179" s="34">
        <v>619</v>
      </c>
      <c r="B179" s="32" t="s">
        <v>15</v>
      </c>
      <c r="C179" s="34">
        <v>2752</v>
      </c>
      <c r="D179" s="34" t="s">
        <v>13</v>
      </c>
      <c r="E179" s="34">
        <v>44</v>
      </c>
      <c r="F179" s="35">
        <v>42411</v>
      </c>
      <c r="G179" s="35">
        <v>53368</v>
      </c>
      <c r="H179" s="34" t="s">
        <v>14</v>
      </c>
      <c r="I179" s="34" t="s">
        <v>79</v>
      </c>
    </row>
    <row r="180" spans="1:9" ht="14.4">
      <c r="A180" s="36">
        <v>620</v>
      </c>
      <c r="B180" s="33" t="s">
        <v>15</v>
      </c>
      <c r="C180" s="36">
        <v>2756</v>
      </c>
      <c r="D180" s="36" t="s">
        <v>13</v>
      </c>
      <c r="E180" s="36">
        <v>68</v>
      </c>
      <c r="F180" s="37">
        <v>40059</v>
      </c>
      <c r="G180" s="37">
        <v>51015</v>
      </c>
      <c r="H180" s="36" t="s">
        <v>16</v>
      </c>
      <c r="I180" s="36" t="s">
        <v>79</v>
      </c>
    </row>
    <row r="181" spans="1:9" ht="14.4">
      <c r="A181" s="34">
        <v>622</v>
      </c>
      <c r="B181" s="32" t="s">
        <v>15</v>
      </c>
      <c r="C181" s="34">
        <v>2760</v>
      </c>
      <c r="D181" s="34" t="s">
        <v>13</v>
      </c>
      <c r="E181" s="34">
        <v>194</v>
      </c>
      <c r="F181" s="35">
        <v>40995</v>
      </c>
      <c r="G181" s="35">
        <v>51951</v>
      </c>
      <c r="H181" s="34" t="s">
        <v>16</v>
      </c>
      <c r="I181" s="34" t="s">
        <v>79</v>
      </c>
    </row>
    <row r="182" spans="1:9" ht="14.4">
      <c r="A182" s="36">
        <v>624</v>
      </c>
      <c r="B182" s="33" t="s">
        <v>15</v>
      </c>
      <c r="C182" s="36">
        <v>2769</v>
      </c>
      <c r="D182" s="36" t="s">
        <v>13</v>
      </c>
      <c r="E182" s="36">
        <v>7</v>
      </c>
      <c r="F182" s="37">
        <v>42949</v>
      </c>
      <c r="G182" s="37">
        <v>53905</v>
      </c>
      <c r="H182" s="36" t="s">
        <v>16</v>
      </c>
      <c r="I182" s="36" t="s">
        <v>79</v>
      </c>
    </row>
    <row r="183" spans="1:9" ht="14.4">
      <c r="A183" s="34">
        <v>626</v>
      </c>
      <c r="B183" s="32" t="s">
        <v>15</v>
      </c>
      <c r="C183" s="34">
        <v>2775</v>
      </c>
      <c r="D183" s="34" t="s">
        <v>13</v>
      </c>
      <c r="E183" s="34">
        <v>200</v>
      </c>
      <c r="F183" s="35">
        <v>41824</v>
      </c>
      <c r="G183" s="35">
        <v>52781</v>
      </c>
      <c r="H183" s="34" t="s">
        <v>70</v>
      </c>
      <c r="I183" s="34" t="s">
        <v>79</v>
      </c>
    </row>
    <row r="184" spans="1:9" ht="14.4">
      <c r="A184" s="36">
        <v>627</v>
      </c>
      <c r="B184" s="33" t="s">
        <v>15</v>
      </c>
      <c r="C184" s="36">
        <v>2778</v>
      </c>
      <c r="D184" s="36" t="s">
        <v>13</v>
      </c>
      <c r="E184" s="36">
        <v>93</v>
      </c>
      <c r="F184" s="37">
        <v>42949</v>
      </c>
      <c r="G184" s="37">
        <v>53905</v>
      </c>
      <c r="H184" s="36" t="s">
        <v>16</v>
      </c>
      <c r="I184" s="36" t="s">
        <v>79</v>
      </c>
    </row>
    <row r="185" spans="1:9" ht="14.4">
      <c r="A185" s="34">
        <v>632</v>
      </c>
      <c r="B185" s="32" t="s">
        <v>43</v>
      </c>
      <c r="C185" s="34">
        <v>2808</v>
      </c>
      <c r="D185" s="34" t="s">
        <v>13</v>
      </c>
      <c r="E185" s="34">
        <v>117</v>
      </c>
      <c r="F185" s="35">
        <v>43006</v>
      </c>
      <c r="G185" s="35">
        <v>53962</v>
      </c>
      <c r="H185" s="34" t="s">
        <v>14</v>
      </c>
      <c r="I185" s="34" t="s">
        <v>79</v>
      </c>
    </row>
    <row r="186" spans="1:9" ht="14.4">
      <c r="A186" s="36">
        <v>633</v>
      </c>
      <c r="B186" s="33" t="s">
        <v>43</v>
      </c>
      <c r="C186" s="36">
        <v>2809</v>
      </c>
      <c r="D186" s="36" t="s">
        <v>13</v>
      </c>
      <c r="E186" s="36">
        <v>157</v>
      </c>
      <c r="F186" s="37">
        <v>41552</v>
      </c>
      <c r="G186" s="37">
        <v>52508</v>
      </c>
      <c r="H186" s="36" t="s">
        <v>14</v>
      </c>
      <c r="I186" s="36" t="s">
        <v>79</v>
      </c>
    </row>
    <row r="187" spans="1:9" ht="14.4">
      <c r="A187" s="34">
        <v>634</v>
      </c>
      <c r="B187" s="32" t="s">
        <v>43</v>
      </c>
      <c r="C187" s="34">
        <v>2810</v>
      </c>
      <c r="D187" s="34" t="s">
        <v>13</v>
      </c>
      <c r="E187" s="34">
        <v>88</v>
      </c>
      <c r="F187" s="35">
        <v>41552</v>
      </c>
      <c r="G187" s="35">
        <v>52508</v>
      </c>
      <c r="H187" s="34" t="s">
        <v>14</v>
      </c>
      <c r="I187" s="34" t="s">
        <v>79</v>
      </c>
    </row>
    <row r="188" spans="1:9" ht="14.4">
      <c r="A188" s="36">
        <v>635</v>
      </c>
      <c r="B188" s="33" t="s">
        <v>43</v>
      </c>
      <c r="C188" s="36">
        <v>2811</v>
      </c>
      <c r="D188" s="36" t="s">
        <v>13</v>
      </c>
      <c r="E188" s="36">
        <v>18</v>
      </c>
      <c r="F188" s="37">
        <v>41552</v>
      </c>
      <c r="G188" s="37">
        <v>52508</v>
      </c>
      <c r="H188" s="36" t="s">
        <v>14</v>
      </c>
      <c r="I188" s="36" t="s">
        <v>79</v>
      </c>
    </row>
    <row r="189" spans="1:9" ht="14.4">
      <c r="A189" s="34">
        <v>662</v>
      </c>
      <c r="B189" s="32" t="s">
        <v>122</v>
      </c>
      <c r="C189" s="34">
        <v>3246</v>
      </c>
      <c r="D189" s="34" t="s">
        <v>18</v>
      </c>
      <c r="E189" s="34">
        <v>197</v>
      </c>
      <c r="F189" s="35">
        <v>43165</v>
      </c>
      <c r="G189" s="35">
        <v>44990</v>
      </c>
      <c r="H189" s="34" t="s">
        <v>59</v>
      </c>
      <c r="I189" s="34" t="s">
        <v>79</v>
      </c>
    </row>
    <row r="190" spans="1:9" ht="14.4">
      <c r="A190" s="36">
        <v>663</v>
      </c>
      <c r="B190" s="33" t="s">
        <v>122</v>
      </c>
      <c r="C190" s="36">
        <v>3247</v>
      </c>
      <c r="D190" s="36" t="s">
        <v>18</v>
      </c>
      <c r="E190" s="36">
        <v>141</v>
      </c>
      <c r="F190" s="37">
        <v>43165</v>
      </c>
      <c r="G190" s="37">
        <v>44990</v>
      </c>
      <c r="H190" s="36" t="s">
        <v>59</v>
      </c>
      <c r="I190" s="36" t="s">
        <v>79</v>
      </c>
    </row>
    <row r="191" spans="1:9" ht="14.4">
      <c r="A191" s="34">
        <v>722</v>
      </c>
      <c r="B191" s="32" t="s">
        <v>43</v>
      </c>
      <c r="C191" s="34">
        <v>4018</v>
      </c>
      <c r="D191" s="34" t="s">
        <v>13</v>
      </c>
      <c r="E191" s="34">
        <v>7</v>
      </c>
      <c r="F191" s="35">
        <v>40835</v>
      </c>
      <c r="G191" s="35">
        <v>51792</v>
      </c>
      <c r="H191" s="34" t="s">
        <v>14</v>
      </c>
      <c r="I191" s="34" t="s">
        <v>79</v>
      </c>
    </row>
    <row r="192" spans="1:9" ht="14.4">
      <c r="A192" s="36">
        <v>723</v>
      </c>
      <c r="B192" s="33" t="s">
        <v>123</v>
      </c>
      <c r="C192" s="36">
        <v>4019</v>
      </c>
      <c r="D192" s="36" t="s">
        <v>13</v>
      </c>
      <c r="E192" s="36">
        <v>7</v>
      </c>
      <c r="F192" s="37">
        <v>44231</v>
      </c>
      <c r="G192" s="37">
        <v>53361</v>
      </c>
      <c r="H192" s="36" t="s">
        <v>14</v>
      </c>
      <c r="I192" s="36" t="s">
        <v>79</v>
      </c>
    </row>
    <row r="193" spans="1:9" ht="14.4">
      <c r="A193" s="34">
        <v>730</v>
      </c>
      <c r="B193" s="32" t="s">
        <v>93</v>
      </c>
      <c r="C193" s="34">
        <v>4093</v>
      </c>
      <c r="D193" s="34" t="s">
        <v>30</v>
      </c>
      <c r="E193" s="34">
        <v>7</v>
      </c>
      <c r="F193" s="35">
        <v>40256</v>
      </c>
      <c r="G193" s="35">
        <v>45004</v>
      </c>
      <c r="H193" s="34" t="s">
        <v>26</v>
      </c>
      <c r="I193" s="34" t="s">
        <v>79</v>
      </c>
    </row>
    <row r="194" spans="1:9" ht="14.4">
      <c r="A194" s="36">
        <v>734</v>
      </c>
      <c r="B194" s="33" t="s">
        <v>124</v>
      </c>
      <c r="C194" s="36">
        <v>4135</v>
      </c>
      <c r="D194" s="36" t="s">
        <v>13</v>
      </c>
      <c r="E194" s="36">
        <v>6</v>
      </c>
      <c r="F194" s="37">
        <v>43111</v>
      </c>
      <c r="G194" s="37">
        <v>54067</v>
      </c>
      <c r="H194" s="36" t="s">
        <v>14</v>
      </c>
      <c r="I194" s="36" t="s">
        <v>79</v>
      </c>
    </row>
    <row r="195" spans="1:9" ht="14.4">
      <c r="A195" s="34">
        <v>741</v>
      </c>
      <c r="B195" s="32" t="s">
        <v>125</v>
      </c>
      <c r="C195" s="34">
        <v>4191</v>
      </c>
      <c r="D195" s="34" t="s">
        <v>30</v>
      </c>
      <c r="E195" s="34">
        <v>4</v>
      </c>
      <c r="F195" s="35">
        <v>44019</v>
      </c>
      <c r="G195" s="35">
        <v>45844</v>
      </c>
      <c r="H195" s="34" t="s">
        <v>16</v>
      </c>
      <c r="I195" s="34" t="s">
        <v>79</v>
      </c>
    </row>
    <row r="196" spans="1:9" ht="14.4">
      <c r="A196" s="36">
        <v>772</v>
      </c>
      <c r="B196" s="33" t="s">
        <v>15</v>
      </c>
      <c r="C196" s="36">
        <v>4613</v>
      </c>
      <c r="D196" s="36" t="s">
        <v>13</v>
      </c>
      <c r="E196" s="36">
        <v>107</v>
      </c>
      <c r="F196" s="37">
        <v>38621</v>
      </c>
      <c r="G196" s="37">
        <v>49577</v>
      </c>
      <c r="H196" s="36" t="s">
        <v>16</v>
      </c>
      <c r="I196" s="36" t="s">
        <v>79</v>
      </c>
    </row>
    <row r="197" spans="1:9" ht="14.4">
      <c r="A197" s="34">
        <v>774</v>
      </c>
      <c r="B197" s="32" t="s">
        <v>125</v>
      </c>
      <c r="C197" s="34">
        <v>4688</v>
      </c>
      <c r="D197" s="34" t="s">
        <v>18</v>
      </c>
      <c r="E197" s="34">
        <v>234</v>
      </c>
      <c r="F197" s="35">
        <v>43376</v>
      </c>
      <c r="G197" s="35">
        <v>45201</v>
      </c>
      <c r="H197" s="34" t="s">
        <v>16</v>
      </c>
      <c r="I197" s="34" t="s">
        <v>79</v>
      </c>
    </row>
    <row r="198" spans="1:9" ht="14.4">
      <c r="A198" s="36">
        <v>775</v>
      </c>
      <c r="B198" s="33" t="s">
        <v>125</v>
      </c>
      <c r="C198" s="36">
        <v>4689</v>
      </c>
      <c r="D198" s="36" t="s">
        <v>18</v>
      </c>
      <c r="E198" s="36">
        <v>235</v>
      </c>
      <c r="F198" s="37">
        <v>43376</v>
      </c>
      <c r="G198" s="37">
        <v>45201</v>
      </c>
      <c r="H198" s="36" t="s">
        <v>16</v>
      </c>
      <c r="I198" s="36" t="s">
        <v>79</v>
      </c>
    </row>
    <row r="199" spans="1:9" ht="14.4">
      <c r="A199" s="34">
        <v>776</v>
      </c>
      <c r="B199" s="32" t="s">
        <v>126</v>
      </c>
      <c r="C199" s="34">
        <v>4690</v>
      </c>
      <c r="D199" s="34" t="s">
        <v>13</v>
      </c>
      <c r="E199" s="34">
        <v>5</v>
      </c>
      <c r="F199" s="35">
        <v>42245</v>
      </c>
      <c r="G199" s="35">
        <v>53202</v>
      </c>
      <c r="H199" s="34" t="s">
        <v>16</v>
      </c>
      <c r="I199" s="34" t="s">
        <v>79</v>
      </c>
    </row>
    <row r="200" spans="1:9" ht="14.4">
      <c r="A200" s="36">
        <v>782</v>
      </c>
      <c r="B200" s="33" t="s">
        <v>127</v>
      </c>
      <c r="C200" s="36">
        <v>4696</v>
      </c>
      <c r="D200" s="36" t="s">
        <v>30</v>
      </c>
      <c r="E200" s="36">
        <v>64</v>
      </c>
      <c r="F200" s="37">
        <v>44111</v>
      </c>
      <c r="G200" s="37">
        <v>45936</v>
      </c>
      <c r="H200" s="36" t="s">
        <v>14</v>
      </c>
      <c r="I200" s="36" t="s">
        <v>79</v>
      </c>
    </row>
    <row r="201" spans="1:9" ht="14.4">
      <c r="A201" s="34">
        <v>791</v>
      </c>
      <c r="B201" s="32" t="s">
        <v>128</v>
      </c>
      <c r="C201" s="34">
        <v>4725</v>
      </c>
      <c r="D201" s="34" t="s">
        <v>13</v>
      </c>
      <c r="E201" s="34">
        <v>1</v>
      </c>
      <c r="F201" s="35">
        <v>39905</v>
      </c>
      <c r="G201" s="35">
        <v>45383</v>
      </c>
      <c r="H201" s="34" t="s">
        <v>14</v>
      </c>
      <c r="I201" s="34" t="s">
        <v>79</v>
      </c>
    </row>
    <row r="202" spans="1:9" ht="14.4">
      <c r="A202" s="36">
        <v>793</v>
      </c>
      <c r="B202" s="33" t="s">
        <v>87</v>
      </c>
      <c r="C202" s="36">
        <v>4728</v>
      </c>
      <c r="D202" s="36" t="s">
        <v>13</v>
      </c>
      <c r="E202" s="36">
        <v>135</v>
      </c>
      <c r="F202" s="37">
        <v>40768</v>
      </c>
      <c r="G202" s="37">
        <v>46246</v>
      </c>
      <c r="H202" s="36" t="s">
        <v>16</v>
      </c>
      <c r="I202" s="36" t="s">
        <v>79</v>
      </c>
    </row>
    <row r="203" spans="1:9" ht="14.4">
      <c r="A203" s="34">
        <v>794</v>
      </c>
      <c r="B203" s="32" t="s">
        <v>87</v>
      </c>
      <c r="C203" s="34">
        <v>4729</v>
      </c>
      <c r="D203" s="34" t="s">
        <v>13</v>
      </c>
      <c r="E203" s="34">
        <v>322</v>
      </c>
      <c r="F203" s="35">
        <v>40768</v>
      </c>
      <c r="G203" s="35">
        <v>46246</v>
      </c>
      <c r="H203" s="34" t="s">
        <v>16</v>
      </c>
      <c r="I203" s="34" t="s">
        <v>79</v>
      </c>
    </row>
    <row r="204" spans="1:9" ht="14.4">
      <c r="A204" s="36">
        <v>795</v>
      </c>
      <c r="B204" s="33" t="s">
        <v>129</v>
      </c>
      <c r="C204" s="36">
        <v>4731</v>
      </c>
      <c r="D204" s="36" t="s">
        <v>13</v>
      </c>
      <c r="E204" s="36">
        <v>36</v>
      </c>
      <c r="F204" s="37">
        <v>44873</v>
      </c>
      <c r="G204" s="37">
        <v>50351</v>
      </c>
      <c r="H204" s="36" t="s">
        <v>19</v>
      </c>
      <c r="I204" s="36" t="s">
        <v>79</v>
      </c>
    </row>
    <row r="205" spans="1:9" ht="14.4">
      <c r="A205" s="34">
        <v>850</v>
      </c>
      <c r="B205" s="32" t="s">
        <v>130</v>
      </c>
      <c r="C205" s="34">
        <v>4816</v>
      </c>
      <c r="D205" s="34" t="s">
        <v>30</v>
      </c>
      <c r="E205" s="34">
        <v>44</v>
      </c>
      <c r="F205" s="35">
        <v>44272</v>
      </c>
      <c r="G205" s="35">
        <v>46097</v>
      </c>
      <c r="H205" s="34" t="s">
        <v>84</v>
      </c>
      <c r="I205" s="34" t="s">
        <v>79</v>
      </c>
    </row>
    <row r="206" spans="1:9" ht="14.4">
      <c r="A206" s="36">
        <v>858</v>
      </c>
      <c r="B206" s="33" t="s">
        <v>131</v>
      </c>
      <c r="C206" s="36">
        <v>4881</v>
      </c>
      <c r="D206" s="36" t="s">
        <v>13</v>
      </c>
      <c r="E206" s="36">
        <v>20</v>
      </c>
      <c r="F206" s="37">
        <v>42464</v>
      </c>
      <c r="G206" s="37">
        <v>53420</v>
      </c>
      <c r="H206" s="36" t="s">
        <v>14</v>
      </c>
      <c r="I206" s="36" t="s">
        <v>79</v>
      </c>
    </row>
    <row r="207" spans="1:9" ht="14.4">
      <c r="A207" s="34">
        <v>859</v>
      </c>
      <c r="B207" s="32" t="s">
        <v>132</v>
      </c>
      <c r="C207" s="34">
        <v>4884</v>
      </c>
      <c r="D207" s="34" t="s">
        <v>13</v>
      </c>
      <c r="E207" s="34">
        <v>28</v>
      </c>
      <c r="F207" s="35">
        <v>42676</v>
      </c>
      <c r="G207" s="35">
        <v>53632</v>
      </c>
      <c r="H207" s="34" t="s">
        <v>14</v>
      </c>
      <c r="I207" s="34" t="s">
        <v>79</v>
      </c>
    </row>
    <row r="208" spans="1:9" ht="14.4">
      <c r="A208" s="36">
        <v>860</v>
      </c>
      <c r="B208" s="33" t="s">
        <v>43</v>
      </c>
      <c r="C208" s="36">
        <v>4886</v>
      </c>
      <c r="D208" s="36" t="s">
        <v>13</v>
      </c>
      <c r="E208" s="36">
        <v>10</v>
      </c>
      <c r="F208" s="37">
        <v>40161</v>
      </c>
      <c r="G208" s="37">
        <v>45639</v>
      </c>
      <c r="H208" s="36" t="s">
        <v>14</v>
      </c>
      <c r="I208" s="36" t="s">
        <v>79</v>
      </c>
    </row>
    <row r="209" spans="1:9" ht="14.4">
      <c r="A209" s="34">
        <v>867</v>
      </c>
      <c r="B209" s="32" t="s">
        <v>43</v>
      </c>
      <c r="C209" s="34">
        <v>4958</v>
      </c>
      <c r="D209" s="34" t="s">
        <v>13</v>
      </c>
      <c r="E209" s="34">
        <v>75</v>
      </c>
      <c r="F209" s="35">
        <v>40102</v>
      </c>
      <c r="G209" s="35">
        <v>45385</v>
      </c>
      <c r="H209" s="34" t="s">
        <v>16</v>
      </c>
      <c r="I209" s="34" t="s">
        <v>79</v>
      </c>
    </row>
    <row r="210" spans="1:9" ht="14.4">
      <c r="A210" s="36">
        <v>868</v>
      </c>
      <c r="B210" s="33" t="s">
        <v>105</v>
      </c>
      <c r="C210" s="36">
        <v>4959</v>
      </c>
      <c r="D210" s="36" t="s">
        <v>13</v>
      </c>
      <c r="E210" s="36">
        <v>3</v>
      </c>
      <c r="F210" s="37">
        <v>39907</v>
      </c>
      <c r="G210" s="37">
        <v>45385</v>
      </c>
      <c r="H210" s="36" t="s">
        <v>16</v>
      </c>
      <c r="I210" s="36" t="s">
        <v>79</v>
      </c>
    </row>
    <row r="211" spans="1:9" ht="14.4">
      <c r="A211" s="34">
        <v>869</v>
      </c>
      <c r="B211" s="32" t="s">
        <v>97</v>
      </c>
      <c r="C211" s="34">
        <v>4960</v>
      </c>
      <c r="D211" s="34" t="s">
        <v>13</v>
      </c>
      <c r="E211" s="34">
        <v>13</v>
      </c>
      <c r="F211" s="35">
        <v>39906</v>
      </c>
      <c r="G211" s="35">
        <v>45385</v>
      </c>
      <c r="H211" s="34" t="s">
        <v>16</v>
      </c>
      <c r="I211" s="34" t="s">
        <v>79</v>
      </c>
    </row>
    <row r="212" spans="1:9" ht="14.4">
      <c r="A212" s="36">
        <v>870</v>
      </c>
      <c r="B212" s="33" t="s">
        <v>97</v>
      </c>
      <c r="C212" s="36">
        <v>4961</v>
      </c>
      <c r="D212" s="36" t="s">
        <v>13</v>
      </c>
      <c r="E212" s="36">
        <v>10</v>
      </c>
      <c r="F212" s="37">
        <v>39906</v>
      </c>
      <c r="G212" s="37">
        <v>45385</v>
      </c>
      <c r="H212" s="36" t="s">
        <v>16</v>
      </c>
      <c r="I212" s="36" t="s">
        <v>79</v>
      </c>
    </row>
    <row r="213" spans="1:9" ht="14.4">
      <c r="A213" s="34">
        <v>871</v>
      </c>
      <c r="B213" s="32" t="s">
        <v>43</v>
      </c>
      <c r="C213" s="34">
        <v>4962</v>
      </c>
      <c r="D213" s="34" t="s">
        <v>13</v>
      </c>
      <c r="E213" s="34">
        <v>2</v>
      </c>
      <c r="F213" s="35">
        <v>40161</v>
      </c>
      <c r="G213" s="35">
        <v>45639</v>
      </c>
      <c r="H213" s="34" t="s">
        <v>16</v>
      </c>
      <c r="I213" s="34" t="s">
        <v>79</v>
      </c>
    </row>
    <row r="214" spans="1:9" ht="14.4">
      <c r="A214" s="36">
        <v>872</v>
      </c>
      <c r="B214" s="33" t="s">
        <v>97</v>
      </c>
      <c r="C214" s="36">
        <v>4963</v>
      </c>
      <c r="D214" s="36" t="s">
        <v>13</v>
      </c>
      <c r="E214" s="36">
        <v>9</v>
      </c>
      <c r="F214" s="37">
        <v>39906</v>
      </c>
      <c r="G214" s="37">
        <v>45385</v>
      </c>
      <c r="H214" s="36" t="s">
        <v>16</v>
      </c>
      <c r="I214" s="36" t="s">
        <v>79</v>
      </c>
    </row>
    <row r="215" spans="1:9" ht="14.4">
      <c r="A215" s="34">
        <v>883</v>
      </c>
      <c r="B215" s="32" t="s">
        <v>133</v>
      </c>
      <c r="C215" s="34">
        <v>4981</v>
      </c>
      <c r="D215" s="34" t="s">
        <v>13</v>
      </c>
      <c r="E215" s="34">
        <v>57</v>
      </c>
      <c r="F215" s="35">
        <v>40568</v>
      </c>
      <c r="G215" s="35">
        <v>51525</v>
      </c>
      <c r="H215" s="34" t="s">
        <v>14</v>
      </c>
      <c r="I215" s="34" t="s">
        <v>79</v>
      </c>
    </row>
    <row r="216" spans="1:9" ht="14.4">
      <c r="A216" s="36">
        <v>912</v>
      </c>
      <c r="B216" s="33" t="s">
        <v>134</v>
      </c>
      <c r="C216" s="36">
        <v>5046</v>
      </c>
      <c r="D216" s="36" t="s">
        <v>13</v>
      </c>
      <c r="E216" s="36">
        <v>213</v>
      </c>
      <c r="F216" s="37">
        <v>41771</v>
      </c>
      <c r="G216" s="37">
        <v>47249</v>
      </c>
      <c r="H216" s="36" t="s">
        <v>32</v>
      </c>
      <c r="I216" s="36" t="s">
        <v>79</v>
      </c>
    </row>
    <row r="217" spans="1:9" ht="14.4">
      <c r="A217" s="34">
        <v>914</v>
      </c>
      <c r="B217" s="32" t="s">
        <v>134</v>
      </c>
      <c r="C217" s="34">
        <v>5049</v>
      </c>
      <c r="D217" s="34" t="s">
        <v>13</v>
      </c>
      <c r="E217" s="34">
        <v>369</v>
      </c>
      <c r="F217" s="35">
        <v>41041</v>
      </c>
      <c r="G217" s="35">
        <v>47249</v>
      </c>
      <c r="H217" s="34" t="s">
        <v>32</v>
      </c>
      <c r="I217" s="34" t="s">
        <v>79</v>
      </c>
    </row>
    <row r="218" spans="1:9" ht="14.4">
      <c r="A218" s="36">
        <v>915</v>
      </c>
      <c r="B218" s="33" t="s">
        <v>135</v>
      </c>
      <c r="C218" s="36">
        <v>5052</v>
      </c>
      <c r="D218" s="36" t="s">
        <v>13</v>
      </c>
      <c r="E218" s="36">
        <v>356</v>
      </c>
      <c r="F218" s="37">
        <v>41771</v>
      </c>
      <c r="G218" s="37">
        <v>47249</v>
      </c>
      <c r="H218" s="36" t="s">
        <v>32</v>
      </c>
      <c r="I218" s="36" t="s">
        <v>79</v>
      </c>
    </row>
    <row r="219" spans="1:9" ht="14.4">
      <c r="A219" s="34">
        <v>917</v>
      </c>
      <c r="B219" s="32" t="s">
        <v>135</v>
      </c>
      <c r="C219" s="34">
        <v>5073</v>
      </c>
      <c r="D219" s="34" t="s">
        <v>13</v>
      </c>
      <c r="E219" s="34">
        <v>470</v>
      </c>
      <c r="F219" s="35">
        <v>41771</v>
      </c>
      <c r="G219" s="35">
        <v>47249</v>
      </c>
      <c r="H219" s="34" t="s">
        <v>32</v>
      </c>
      <c r="I219" s="34" t="s">
        <v>79</v>
      </c>
    </row>
    <row r="220" spans="1:9" ht="14.4">
      <c r="A220" s="36">
        <v>918</v>
      </c>
      <c r="B220" s="33" t="s">
        <v>136</v>
      </c>
      <c r="C220" s="36">
        <v>5077</v>
      </c>
      <c r="D220" s="36" t="s">
        <v>13</v>
      </c>
      <c r="E220" s="36">
        <v>471</v>
      </c>
      <c r="F220" s="37">
        <v>39214</v>
      </c>
      <c r="G220" s="37">
        <v>41770</v>
      </c>
      <c r="H220" s="36" t="s">
        <v>31</v>
      </c>
      <c r="I220" s="36" t="s">
        <v>79</v>
      </c>
    </row>
    <row r="221" spans="1:9" ht="14.4">
      <c r="A221" s="34">
        <v>919</v>
      </c>
      <c r="B221" s="32" t="s">
        <v>137</v>
      </c>
      <c r="C221" s="34">
        <v>5078</v>
      </c>
      <c r="D221" s="34" t="s">
        <v>13</v>
      </c>
      <c r="E221" s="34">
        <v>417</v>
      </c>
      <c r="F221" s="35">
        <v>41792</v>
      </c>
      <c r="G221" s="35">
        <v>47270</v>
      </c>
      <c r="H221" s="34" t="s">
        <v>31</v>
      </c>
      <c r="I221" s="34" t="s">
        <v>79</v>
      </c>
    </row>
    <row r="222" spans="1:9" ht="14.4">
      <c r="A222" s="36">
        <v>920</v>
      </c>
      <c r="B222" s="33" t="s">
        <v>137</v>
      </c>
      <c r="C222" s="36">
        <v>5079</v>
      </c>
      <c r="D222" s="36" t="s">
        <v>13</v>
      </c>
      <c r="E222" s="36">
        <v>461</v>
      </c>
      <c r="F222" s="37">
        <v>42004</v>
      </c>
      <c r="G222" s="37">
        <v>47482</v>
      </c>
      <c r="H222" s="36" t="s">
        <v>31</v>
      </c>
      <c r="I222" s="36" t="s">
        <v>79</v>
      </c>
    </row>
    <row r="223" spans="1:9" ht="14.4">
      <c r="A223" s="34">
        <v>922</v>
      </c>
      <c r="B223" s="32" t="s">
        <v>137</v>
      </c>
      <c r="C223" s="34">
        <v>5081</v>
      </c>
      <c r="D223" s="34" t="s">
        <v>13</v>
      </c>
      <c r="E223" s="34">
        <v>385</v>
      </c>
      <c r="F223" s="35">
        <v>42004</v>
      </c>
      <c r="G223" s="35">
        <v>47482</v>
      </c>
      <c r="H223" s="34" t="s">
        <v>31</v>
      </c>
      <c r="I223" s="34" t="s">
        <v>79</v>
      </c>
    </row>
    <row r="224" spans="1:9" ht="14.4">
      <c r="A224" s="36">
        <v>927</v>
      </c>
      <c r="B224" s="33" t="s">
        <v>135</v>
      </c>
      <c r="C224" s="36">
        <v>5088</v>
      </c>
      <c r="D224" s="36" t="s">
        <v>13</v>
      </c>
      <c r="E224" s="36">
        <v>344</v>
      </c>
      <c r="F224" s="37">
        <v>42159</v>
      </c>
      <c r="G224" s="37">
        <v>47637</v>
      </c>
      <c r="H224" s="36" t="s">
        <v>32</v>
      </c>
      <c r="I224" s="36" t="s">
        <v>79</v>
      </c>
    </row>
    <row r="225" spans="1:9" ht="14.4">
      <c r="A225" s="34">
        <v>940</v>
      </c>
      <c r="B225" s="32" t="s">
        <v>138</v>
      </c>
      <c r="C225" s="34">
        <v>5148</v>
      </c>
      <c r="D225" s="34" t="s">
        <v>13</v>
      </c>
      <c r="E225" s="34">
        <v>3</v>
      </c>
      <c r="F225" s="35">
        <v>41663</v>
      </c>
      <c r="G225" s="35">
        <v>52619</v>
      </c>
      <c r="H225" s="34" t="s">
        <v>14</v>
      </c>
      <c r="I225" s="34" t="s">
        <v>79</v>
      </c>
    </row>
    <row r="226" spans="1:9" ht="14.4">
      <c r="A226" s="36">
        <v>941</v>
      </c>
      <c r="B226" s="33" t="s">
        <v>139</v>
      </c>
      <c r="C226" s="36">
        <v>5152</v>
      </c>
      <c r="D226" s="36" t="s">
        <v>13</v>
      </c>
      <c r="E226" s="36">
        <v>3</v>
      </c>
      <c r="F226" s="37">
        <v>41663</v>
      </c>
      <c r="G226" s="37">
        <v>52619</v>
      </c>
      <c r="H226" s="36" t="s">
        <v>14</v>
      </c>
      <c r="I226" s="36" t="s">
        <v>79</v>
      </c>
    </row>
    <row r="227" spans="1:9" ht="14.4">
      <c r="A227" s="34">
        <v>942</v>
      </c>
      <c r="B227" s="32" t="s">
        <v>140</v>
      </c>
      <c r="C227" s="34">
        <v>5154</v>
      </c>
      <c r="D227" s="34" t="s">
        <v>13</v>
      </c>
      <c r="E227" s="34">
        <v>222</v>
      </c>
      <c r="F227" s="35">
        <v>39855</v>
      </c>
      <c r="G227" s="35">
        <v>50811</v>
      </c>
      <c r="H227" s="34" t="s">
        <v>14</v>
      </c>
      <c r="I227" s="34" t="s">
        <v>79</v>
      </c>
    </row>
    <row r="228" spans="1:9" ht="14.4">
      <c r="A228" s="36">
        <v>944</v>
      </c>
      <c r="B228" s="33" t="s">
        <v>141</v>
      </c>
      <c r="C228" s="36">
        <v>5162</v>
      </c>
      <c r="D228" s="36" t="s">
        <v>30</v>
      </c>
      <c r="E228" s="36">
        <v>14</v>
      </c>
      <c r="F228" s="37">
        <v>43220</v>
      </c>
      <c r="G228" s="37">
        <v>45045</v>
      </c>
      <c r="H228" s="36" t="s">
        <v>14</v>
      </c>
      <c r="I228" s="36" t="s">
        <v>79</v>
      </c>
    </row>
    <row r="229" spans="1:9" ht="14.4">
      <c r="A229" s="34">
        <v>952</v>
      </c>
      <c r="B229" s="32" t="s">
        <v>115</v>
      </c>
      <c r="C229" s="34">
        <v>5236</v>
      </c>
      <c r="D229" s="34" t="s">
        <v>13</v>
      </c>
      <c r="E229" s="34">
        <v>30</v>
      </c>
      <c r="F229" s="35">
        <v>41934</v>
      </c>
      <c r="G229" s="35">
        <v>52891</v>
      </c>
      <c r="H229" s="34" t="s">
        <v>14</v>
      </c>
      <c r="I229" s="34" t="s">
        <v>79</v>
      </c>
    </row>
    <row r="230" spans="1:9" ht="14.4">
      <c r="A230" s="36">
        <v>958</v>
      </c>
      <c r="B230" s="33" t="s">
        <v>141</v>
      </c>
      <c r="C230" s="36">
        <v>5273</v>
      </c>
      <c r="D230" s="36" t="s">
        <v>30</v>
      </c>
      <c r="E230" s="36">
        <v>35</v>
      </c>
      <c r="F230" s="37">
        <v>43220</v>
      </c>
      <c r="G230" s="37">
        <v>45045</v>
      </c>
      <c r="H230" s="36" t="s">
        <v>14</v>
      </c>
      <c r="I230" s="36" t="s">
        <v>79</v>
      </c>
    </row>
    <row r="231" spans="1:9" ht="14.4">
      <c r="A231" s="34">
        <v>959</v>
      </c>
      <c r="B231" s="32" t="s">
        <v>142</v>
      </c>
      <c r="C231" s="34">
        <v>5276</v>
      </c>
      <c r="D231" s="34" t="s">
        <v>13</v>
      </c>
      <c r="E231" s="34">
        <v>129</v>
      </c>
      <c r="F231" s="35">
        <v>42167</v>
      </c>
      <c r="G231" s="35">
        <v>53124</v>
      </c>
      <c r="H231" s="34" t="s">
        <v>14</v>
      </c>
      <c r="I231" s="34" t="s">
        <v>79</v>
      </c>
    </row>
    <row r="232" spans="1:9" ht="14.4">
      <c r="A232" s="36">
        <v>960</v>
      </c>
      <c r="B232" s="33" t="s">
        <v>143</v>
      </c>
      <c r="C232" s="36">
        <v>5278</v>
      </c>
      <c r="D232" s="36" t="s">
        <v>13</v>
      </c>
      <c r="E232" s="36">
        <v>40</v>
      </c>
      <c r="F232" s="37">
        <v>43640</v>
      </c>
      <c r="G232" s="37">
        <v>52771</v>
      </c>
      <c r="H232" s="36" t="s">
        <v>14</v>
      </c>
      <c r="I232" s="36" t="s">
        <v>79</v>
      </c>
    </row>
    <row r="233" spans="1:9" ht="14.4">
      <c r="A233" s="34">
        <v>971</v>
      </c>
      <c r="B233" s="32" t="s">
        <v>144</v>
      </c>
      <c r="C233" s="34">
        <v>5480</v>
      </c>
      <c r="D233" s="34" t="s">
        <v>13</v>
      </c>
      <c r="E233" s="34">
        <v>6</v>
      </c>
      <c r="F233" s="35">
        <v>41450</v>
      </c>
      <c r="G233" s="35">
        <v>52406</v>
      </c>
      <c r="H233" s="34" t="s">
        <v>14</v>
      </c>
      <c r="I233" s="34" t="s">
        <v>79</v>
      </c>
    </row>
    <row r="234" spans="1:9" ht="14.4">
      <c r="A234" s="36">
        <v>978</v>
      </c>
      <c r="B234" s="33" t="s">
        <v>145</v>
      </c>
      <c r="C234" s="36">
        <v>5696</v>
      </c>
      <c r="D234" s="36" t="s">
        <v>13</v>
      </c>
      <c r="E234" s="36">
        <v>126</v>
      </c>
      <c r="F234" s="37">
        <v>43725</v>
      </c>
      <c r="G234" s="37">
        <v>52856</v>
      </c>
      <c r="H234" s="36" t="s">
        <v>56</v>
      </c>
      <c r="I234" s="36" t="s">
        <v>79</v>
      </c>
    </row>
    <row r="235" spans="1:9" ht="14.4">
      <c r="A235" s="34">
        <v>979</v>
      </c>
      <c r="B235" s="32" t="s">
        <v>145</v>
      </c>
      <c r="C235" s="34">
        <v>5699</v>
      </c>
      <c r="D235" s="34" t="s">
        <v>13</v>
      </c>
      <c r="E235" s="34">
        <v>192</v>
      </c>
      <c r="F235" s="35">
        <v>43725</v>
      </c>
      <c r="G235" s="35">
        <v>52856</v>
      </c>
      <c r="H235" s="34" t="s">
        <v>56</v>
      </c>
      <c r="I235" s="34" t="s">
        <v>79</v>
      </c>
    </row>
    <row r="236" spans="1:9" ht="14.4">
      <c r="A236" s="36">
        <v>1013</v>
      </c>
      <c r="B236" s="33" t="s">
        <v>146</v>
      </c>
      <c r="C236" s="36">
        <v>6575</v>
      </c>
      <c r="D236" s="36" t="s">
        <v>21</v>
      </c>
      <c r="E236" s="36">
        <v>4</v>
      </c>
      <c r="F236" s="37">
        <v>43650</v>
      </c>
      <c r="G236" s="37">
        <v>45476</v>
      </c>
      <c r="H236" s="36" t="s">
        <v>16</v>
      </c>
      <c r="I236" s="36" t="s">
        <v>79</v>
      </c>
    </row>
    <row r="237" spans="1:9" ht="14.4">
      <c r="A237" s="34">
        <v>1014</v>
      </c>
      <c r="B237" s="32" t="s">
        <v>67</v>
      </c>
      <c r="C237" s="34">
        <v>6585</v>
      </c>
      <c r="D237" s="34" t="s">
        <v>21</v>
      </c>
      <c r="E237" s="34">
        <v>4</v>
      </c>
      <c r="F237" s="35">
        <v>44090</v>
      </c>
      <c r="G237" s="35">
        <v>45915</v>
      </c>
      <c r="H237" s="34" t="s">
        <v>16</v>
      </c>
      <c r="I237" s="34" t="s">
        <v>79</v>
      </c>
    </row>
    <row r="238" spans="1:9" ht="14.4">
      <c r="A238" s="36">
        <v>1023</v>
      </c>
      <c r="B238" s="33" t="s">
        <v>147</v>
      </c>
      <c r="C238" s="36">
        <v>6968</v>
      </c>
      <c r="D238" s="36" t="s">
        <v>13</v>
      </c>
      <c r="E238" s="36">
        <v>10</v>
      </c>
      <c r="F238" s="37">
        <v>42811</v>
      </c>
      <c r="G238" s="37">
        <v>53767</v>
      </c>
      <c r="H238" s="36" t="s">
        <v>84</v>
      </c>
      <c r="I238" s="36" t="s">
        <v>79</v>
      </c>
    </row>
    <row r="239" spans="1:9" ht="14.4">
      <c r="A239" s="34">
        <v>1024</v>
      </c>
      <c r="B239" s="32" t="s">
        <v>147</v>
      </c>
      <c r="C239" s="34">
        <v>6969</v>
      </c>
      <c r="D239" s="34" t="s">
        <v>13</v>
      </c>
      <c r="E239" s="34">
        <v>20</v>
      </c>
      <c r="F239" s="35">
        <v>42811</v>
      </c>
      <c r="G239" s="35">
        <v>53767</v>
      </c>
      <c r="H239" s="34" t="s">
        <v>84</v>
      </c>
      <c r="I239" s="34" t="s">
        <v>79</v>
      </c>
    </row>
    <row r="240" spans="1:9" ht="14.4">
      <c r="A240" s="36">
        <v>1025</v>
      </c>
      <c r="B240" s="33" t="s">
        <v>147</v>
      </c>
      <c r="C240" s="36">
        <v>6970</v>
      </c>
      <c r="D240" s="36" t="s">
        <v>13</v>
      </c>
      <c r="E240" s="36">
        <v>20</v>
      </c>
      <c r="F240" s="37">
        <v>42811</v>
      </c>
      <c r="G240" s="37">
        <v>53767</v>
      </c>
      <c r="H240" s="36" t="s">
        <v>84</v>
      </c>
      <c r="I240" s="36" t="s">
        <v>79</v>
      </c>
    </row>
    <row r="241" spans="1:9" ht="14.4">
      <c r="A241" s="34">
        <v>1041</v>
      </c>
      <c r="B241" s="32" t="s">
        <v>114</v>
      </c>
      <c r="C241" s="34">
        <v>7121</v>
      </c>
      <c r="D241" s="34" t="s">
        <v>30</v>
      </c>
      <c r="E241" s="34">
        <v>190</v>
      </c>
      <c r="F241" s="35">
        <v>43510</v>
      </c>
      <c r="G241" s="35">
        <v>45342</v>
      </c>
      <c r="H241" s="34" t="s">
        <v>56</v>
      </c>
      <c r="I241" s="34" t="s">
        <v>79</v>
      </c>
    </row>
    <row r="242" spans="1:9" ht="14.4">
      <c r="A242" s="36">
        <v>1057</v>
      </c>
      <c r="B242" s="33" t="s">
        <v>148</v>
      </c>
      <c r="C242" s="36">
        <v>7373</v>
      </c>
      <c r="D242" s="36" t="s">
        <v>30</v>
      </c>
      <c r="E242" s="36">
        <v>15</v>
      </c>
      <c r="F242" s="37">
        <v>43634</v>
      </c>
      <c r="G242" s="37">
        <v>45460</v>
      </c>
      <c r="H242" s="36" t="s">
        <v>84</v>
      </c>
      <c r="I242" s="36" t="s">
        <v>79</v>
      </c>
    </row>
    <row r="243" spans="1:9" ht="14.4">
      <c r="A243" s="34">
        <v>1079</v>
      </c>
      <c r="B243" s="32" t="s">
        <v>149</v>
      </c>
      <c r="C243" s="34">
        <v>7570</v>
      </c>
      <c r="D243" s="34" t="s">
        <v>44</v>
      </c>
      <c r="E243" s="34">
        <v>6</v>
      </c>
      <c r="F243" s="35">
        <v>43543</v>
      </c>
      <c r="G243" s="35">
        <v>45369</v>
      </c>
      <c r="H243" s="34" t="s">
        <v>16</v>
      </c>
      <c r="I243" s="34" t="s">
        <v>79</v>
      </c>
    </row>
    <row r="244" spans="1:9" ht="14.4">
      <c r="A244" s="36">
        <v>1080</v>
      </c>
      <c r="B244" s="33" t="s">
        <v>43</v>
      </c>
      <c r="C244" s="36">
        <v>7571</v>
      </c>
      <c r="D244" s="36" t="s">
        <v>13</v>
      </c>
      <c r="E244" s="36">
        <v>373</v>
      </c>
      <c r="F244" s="37">
        <v>40610</v>
      </c>
      <c r="G244" s="37">
        <v>51567</v>
      </c>
      <c r="H244" s="36" t="s">
        <v>14</v>
      </c>
      <c r="I244" s="36" t="s">
        <v>79</v>
      </c>
    </row>
    <row r="245" spans="1:9" ht="14.4">
      <c r="A245" s="34">
        <v>1083</v>
      </c>
      <c r="B245" s="32" t="s">
        <v>150</v>
      </c>
      <c r="C245" s="34">
        <v>7626</v>
      </c>
      <c r="D245" s="34" t="s">
        <v>13</v>
      </c>
      <c r="E245" s="34">
        <v>32</v>
      </c>
      <c r="F245" s="35">
        <v>40964</v>
      </c>
      <c r="G245" s="35">
        <v>51921</v>
      </c>
      <c r="H245" s="34" t="s">
        <v>24</v>
      </c>
      <c r="I245" s="34" t="s">
        <v>79</v>
      </c>
    </row>
    <row r="246" spans="1:9" ht="14.4">
      <c r="A246" s="36">
        <v>1085</v>
      </c>
      <c r="B246" s="33" t="s">
        <v>151</v>
      </c>
      <c r="C246" s="36">
        <v>7651</v>
      </c>
      <c r="D246" s="36" t="s">
        <v>13</v>
      </c>
      <c r="E246" s="36">
        <v>24</v>
      </c>
      <c r="F246" s="37">
        <v>44145</v>
      </c>
      <c r="G246" s="37">
        <v>53275</v>
      </c>
      <c r="H246" s="36" t="s">
        <v>31</v>
      </c>
      <c r="I246" s="36" t="s">
        <v>79</v>
      </c>
    </row>
    <row r="247" spans="1:9" ht="14.4">
      <c r="A247" s="34">
        <v>1086</v>
      </c>
      <c r="B247" s="32" t="s">
        <v>151</v>
      </c>
      <c r="C247" s="34">
        <v>7657</v>
      </c>
      <c r="D247" s="34" t="s">
        <v>13</v>
      </c>
      <c r="E247" s="34">
        <v>27</v>
      </c>
      <c r="F247" s="35">
        <v>44145</v>
      </c>
      <c r="G247" s="35">
        <v>53275</v>
      </c>
      <c r="H247" s="34" t="s">
        <v>31</v>
      </c>
      <c r="I247" s="34" t="s">
        <v>79</v>
      </c>
    </row>
    <row r="248" spans="1:9" ht="14.4">
      <c r="A248" s="36">
        <v>1124</v>
      </c>
      <c r="B248" s="33" t="s">
        <v>141</v>
      </c>
      <c r="C248" s="36">
        <v>8139</v>
      </c>
      <c r="D248" s="36" t="s">
        <v>30</v>
      </c>
      <c r="E248" s="36">
        <v>8</v>
      </c>
      <c r="F248" s="37">
        <v>43142</v>
      </c>
      <c r="G248" s="37">
        <v>44967</v>
      </c>
      <c r="H248" s="36" t="s">
        <v>14</v>
      </c>
      <c r="I248" s="36" t="s">
        <v>79</v>
      </c>
    </row>
    <row r="249" spans="1:9" ht="14.4">
      <c r="A249" s="34">
        <v>1133</v>
      </c>
      <c r="B249" s="32" t="s">
        <v>152</v>
      </c>
      <c r="C249" s="34">
        <v>8348</v>
      </c>
      <c r="D249" s="34" t="s">
        <v>30</v>
      </c>
      <c r="E249" s="34">
        <v>128</v>
      </c>
      <c r="F249" s="35">
        <v>43998</v>
      </c>
      <c r="G249" s="35">
        <v>45823</v>
      </c>
      <c r="H249" s="34" t="s">
        <v>31</v>
      </c>
      <c r="I249" s="34" t="s">
        <v>79</v>
      </c>
    </row>
    <row r="250" spans="1:9" ht="14.4">
      <c r="A250" s="36">
        <v>1135</v>
      </c>
      <c r="B250" s="33" t="s">
        <v>152</v>
      </c>
      <c r="C250" s="36">
        <v>8350</v>
      </c>
      <c r="D250" s="36" t="s">
        <v>30</v>
      </c>
      <c r="E250" s="36">
        <v>99</v>
      </c>
      <c r="F250" s="37">
        <v>43998</v>
      </c>
      <c r="G250" s="37">
        <v>45823</v>
      </c>
      <c r="H250" s="36" t="s">
        <v>31</v>
      </c>
      <c r="I250" s="36" t="s">
        <v>79</v>
      </c>
    </row>
    <row r="251" spans="1:9" ht="14.4">
      <c r="A251" s="34">
        <v>1163</v>
      </c>
      <c r="B251" s="32" t="s">
        <v>153</v>
      </c>
      <c r="C251" s="34">
        <v>8631</v>
      </c>
      <c r="D251" s="34" t="s">
        <v>30</v>
      </c>
      <c r="E251" s="34">
        <v>416</v>
      </c>
      <c r="F251" s="35">
        <v>43055</v>
      </c>
      <c r="G251" s="35">
        <v>44880</v>
      </c>
      <c r="H251" s="34" t="s">
        <v>59</v>
      </c>
      <c r="I251" s="34" t="s">
        <v>79</v>
      </c>
    </row>
    <row r="252" spans="1:9" ht="14.4">
      <c r="A252" s="36">
        <v>1181</v>
      </c>
      <c r="B252" s="33" t="s">
        <v>43</v>
      </c>
      <c r="C252" s="36">
        <v>8841</v>
      </c>
      <c r="D252" s="36" t="s">
        <v>13</v>
      </c>
      <c r="E252" s="36">
        <v>113</v>
      </c>
      <c r="F252" s="37">
        <v>40102</v>
      </c>
      <c r="G252" s="37">
        <v>45385</v>
      </c>
      <c r="H252" s="36" t="s">
        <v>16</v>
      </c>
      <c r="I252" s="36" t="s">
        <v>79</v>
      </c>
    </row>
    <row r="253" spans="1:9" ht="14.4">
      <c r="A253" s="34">
        <v>1190</v>
      </c>
      <c r="B253" s="32" t="s">
        <v>154</v>
      </c>
      <c r="C253" s="34">
        <v>8959</v>
      </c>
      <c r="D253" s="34" t="s">
        <v>21</v>
      </c>
      <c r="E253" s="34">
        <v>2</v>
      </c>
      <c r="F253" s="35">
        <v>44456</v>
      </c>
      <c r="G253" s="35">
        <v>46281</v>
      </c>
      <c r="H253" s="34" t="s">
        <v>14</v>
      </c>
      <c r="I253" s="34" t="s">
        <v>79</v>
      </c>
    </row>
    <row r="254" spans="1:9" ht="14.4">
      <c r="A254" s="36">
        <v>1191</v>
      </c>
      <c r="B254" s="33" t="s">
        <v>154</v>
      </c>
      <c r="C254" s="36">
        <v>8960</v>
      </c>
      <c r="D254" s="36" t="s">
        <v>21</v>
      </c>
      <c r="E254" s="36">
        <v>1</v>
      </c>
      <c r="F254" s="37">
        <v>44456</v>
      </c>
      <c r="G254" s="37">
        <v>46281</v>
      </c>
      <c r="H254" s="36" t="s">
        <v>14</v>
      </c>
      <c r="I254" s="36" t="s">
        <v>79</v>
      </c>
    </row>
    <row r="255" spans="1:9" ht="14.4">
      <c r="A255" s="34">
        <v>1201</v>
      </c>
      <c r="B255" s="32" t="s">
        <v>155</v>
      </c>
      <c r="C255" s="34">
        <v>9090</v>
      </c>
      <c r="D255" s="34" t="s">
        <v>13</v>
      </c>
      <c r="E255" s="34">
        <v>47</v>
      </c>
      <c r="F255" s="35">
        <v>42830</v>
      </c>
      <c r="G255" s="35">
        <v>53786</v>
      </c>
      <c r="H255" s="34" t="s">
        <v>16</v>
      </c>
      <c r="I255" s="34" t="s">
        <v>79</v>
      </c>
    </row>
    <row r="256" spans="1:9" ht="14.4">
      <c r="A256" s="36">
        <v>1205</v>
      </c>
      <c r="B256" s="33" t="s">
        <v>156</v>
      </c>
      <c r="C256" s="36">
        <v>9213</v>
      </c>
      <c r="D256" s="36" t="s">
        <v>21</v>
      </c>
      <c r="E256" s="36">
        <v>4</v>
      </c>
      <c r="F256" s="37">
        <v>43298</v>
      </c>
      <c r="G256" s="37">
        <v>45123</v>
      </c>
      <c r="H256" s="36" t="s">
        <v>14</v>
      </c>
      <c r="I256" s="36" t="s">
        <v>79</v>
      </c>
    </row>
    <row r="257" spans="1:9" ht="14.4">
      <c r="A257" s="34">
        <v>1206</v>
      </c>
      <c r="B257" s="32" t="s">
        <v>156</v>
      </c>
      <c r="C257" s="34">
        <v>9214</v>
      </c>
      <c r="D257" s="34" t="s">
        <v>21</v>
      </c>
      <c r="E257" s="34">
        <v>5</v>
      </c>
      <c r="F257" s="35">
        <v>43298</v>
      </c>
      <c r="G257" s="35">
        <v>45123</v>
      </c>
      <c r="H257" s="34" t="s">
        <v>14</v>
      </c>
      <c r="I257" s="34" t="s">
        <v>79</v>
      </c>
    </row>
    <row r="258" spans="1:9" ht="14.4">
      <c r="A258" s="36">
        <v>1221</v>
      </c>
      <c r="B258" s="33" t="s">
        <v>157</v>
      </c>
      <c r="C258" s="36">
        <v>9468</v>
      </c>
      <c r="D258" s="36" t="s">
        <v>13</v>
      </c>
      <c r="E258" s="36">
        <v>4</v>
      </c>
      <c r="F258" s="37">
        <v>42688</v>
      </c>
      <c r="G258" s="37">
        <v>53644</v>
      </c>
      <c r="H258" s="36" t="s">
        <v>16</v>
      </c>
      <c r="I258" s="36" t="s">
        <v>79</v>
      </c>
    </row>
    <row r="259" spans="1:9" ht="14.4">
      <c r="A259" s="34">
        <v>1222</v>
      </c>
      <c r="B259" s="32" t="s">
        <v>158</v>
      </c>
      <c r="C259" s="34">
        <v>9469</v>
      </c>
      <c r="D259" s="34" t="s">
        <v>13</v>
      </c>
      <c r="E259" s="34">
        <v>19</v>
      </c>
      <c r="F259" s="35">
        <v>42517</v>
      </c>
      <c r="G259" s="35">
        <v>53473</v>
      </c>
      <c r="H259" s="34" t="s">
        <v>14</v>
      </c>
      <c r="I259" s="34" t="s">
        <v>79</v>
      </c>
    </row>
    <row r="260" spans="1:9" ht="14.4">
      <c r="A260" s="36">
        <v>1247</v>
      </c>
      <c r="B260" s="33" t="s">
        <v>159</v>
      </c>
      <c r="C260" s="36">
        <v>9681</v>
      </c>
      <c r="D260" s="36" t="s">
        <v>13</v>
      </c>
      <c r="E260" s="36">
        <v>7</v>
      </c>
      <c r="F260" s="37">
        <v>39444</v>
      </c>
      <c r="G260" s="37">
        <v>45385</v>
      </c>
      <c r="H260" s="36" t="s">
        <v>16</v>
      </c>
      <c r="I260" s="36" t="s">
        <v>79</v>
      </c>
    </row>
    <row r="261" spans="1:9" ht="14.4">
      <c r="A261" s="34">
        <v>1248</v>
      </c>
      <c r="B261" s="32" t="s">
        <v>159</v>
      </c>
      <c r="C261" s="34">
        <v>9682</v>
      </c>
      <c r="D261" s="34" t="s">
        <v>13</v>
      </c>
      <c r="E261" s="34">
        <v>6</v>
      </c>
      <c r="F261" s="35">
        <v>39444</v>
      </c>
      <c r="G261" s="35">
        <v>45385</v>
      </c>
      <c r="H261" s="34" t="s">
        <v>16</v>
      </c>
      <c r="I261" s="34" t="s">
        <v>79</v>
      </c>
    </row>
    <row r="262" spans="1:9" ht="14.4">
      <c r="A262" s="36">
        <v>1249</v>
      </c>
      <c r="B262" s="33" t="s">
        <v>43</v>
      </c>
      <c r="C262" s="36">
        <v>9683</v>
      </c>
      <c r="D262" s="36" t="s">
        <v>44</v>
      </c>
      <c r="E262" s="36">
        <v>11</v>
      </c>
      <c r="F262" s="37">
        <v>43136</v>
      </c>
      <c r="G262" s="37">
        <v>44961</v>
      </c>
      <c r="H262" s="36" t="s">
        <v>16</v>
      </c>
      <c r="I262" s="36" t="s">
        <v>79</v>
      </c>
    </row>
    <row r="263" spans="1:9" ht="14.4">
      <c r="A263" s="34">
        <v>1250</v>
      </c>
      <c r="B263" s="32" t="s">
        <v>43</v>
      </c>
      <c r="C263" s="34">
        <v>9684</v>
      </c>
      <c r="D263" s="34" t="s">
        <v>44</v>
      </c>
      <c r="E263" s="34">
        <v>6</v>
      </c>
      <c r="F263" s="35">
        <v>43624</v>
      </c>
      <c r="G263" s="35">
        <v>45450</v>
      </c>
      <c r="H263" s="34" t="s">
        <v>16</v>
      </c>
      <c r="I263" s="34" t="s">
        <v>79</v>
      </c>
    </row>
    <row r="264" spans="1:9" ht="14.4">
      <c r="A264" s="36">
        <v>1251</v>
      </c>
      <c r="B264" s="33" t="s">
        <v>43</v>
      </c>
      <c r="C264" s="36">
        <v>9685</v>
      </c>
      <c r="D264" s="36" t="s">
        <v>44</v>
      </c>
      <c r="E264" s="36">
        <v>7</v>
      </c>
      <c r="F264" s="37">
        <v>43136</v>
      </c>
      <c r="G264" s="37">
        <v>44961</v>
      </c>
      <c r="H264" s="36" t="s">
        <v>16</v>
      </c>
      <c r="I264" s="36" t="s">
        <v>79</v>
      </c>
    </row>
    <row r="265" spans="1:9" ht="14.4">
      <c r="A265" s="34">
        <v>1252</v>
      </c>
      <c r="B265" s="32" t="s">
        <v>43</v>
      </c>
      <c r="C265" s="34">
        <v>9687</v>
      </c>
      <c r="D265" s="34" t="s">
        <v>44</v>
      </c>
      <c r="E265" s="34">
        <v>54</v>
      </c>
      <c r="F265" s="35">
        <v>43624</v>
      </c>
      <c r="G265" s="35">
        <v>45450</v>
      </c>
      <c r="H265" s="34" t="s">
        <v>16</v>
      </c>
      <c r="I265" s="34" t="s">
        <v>79</v>
      </c>
    </row>
    <row r="266" spans="1:9" ht="14.4">
      <c r="A266" s="36">
        <v>1253</v>
      </c>
      <c r="B266" s="33" t="s">
        <v>160</v>
      </c>
      <c r="C266" s="36">
        <v>9691</v>
      </c>
      <c r="D266" s="36" t="s">
        <v>13</v>
      </c>
      <c r="E266" s="36">
        <v>144</v>
      </c>
      <c r="F266" s="37">
        <v>39867</v>
      </c>
      <c r="G266" s="37">
        <v>50823</v>
      </c>
      <c r="H266" s="36" t="s">
        <v>31</v>
      </c>
      <c r="I266" s="36" t="s">
        <v>79</v>
      </c>
    </row>
    <row r="267" spans="1:9" ht="14.4">
      <c r="A267" s="34">
        <v>1254</v>
      </c>
      <c r="B267" s="32" t="s">
        <v>160</v>
      </c>
      <c r="C267" s="34">
        <v>9692</v>
      </c>
      <c r="D267" s="34" t="s">
        <v>13</v>
      </c>
      <c r="E267" s="34">
        <v>101</v>
      </c>
      <c r="F267" s="35">
        <v>39867</v>
      </c>
      <c r="G267" s="35">
        <v>50823</v>
      </c>
      <c r="H267" s="34" t="s">
        <v>32</v>
      </c>
      <c r="I267" s="34" t="s">
        <v>79</v>
      </c>
    </row>
    <row r="268" spans="1:9" ht="14.4">
      <c r="A268" s="36">
        <v>1258</v>
      </c>
      <c r="B268" s="33" t="s">
        <v>87</v>
      </c>
      <c r="C268" s="36">
        <v>9707</v>
      </c>
      <c r="D268" s="36" t="s">
        <v>13</v>
      </c>
      <c r="E268" s="36">
        <v>405</v>
      </c>
      <c r="F268" s="37">
        <v>44091</v>
      </c>
      <c r="G268" s="37">
        <v>49568</v>
      </c>
      <c r="H268" s="36" t="s">
        <v>16</v>
      </c>
      <c r="I268" s="36" t="s">
        <v>79</v>
      </c>
    </row>
    <row r="269" spans="1:9" ht="14.4">
      <c r="A269" s="34">
        <v>1259</v>
      </c>
      <c r="B269" s="32" t="s">
        <v>87</v>
      </c>
      <c r="C269" s="34">
        <v>9708</v>
      </c>
      <c r="D269" s="34" t="s">
        <v>13</v>
      </c>
      <c r="E269" s="34">
        <v>134</v>
      </c>
      <c r="F269" s="35">
        <v>44091</v>
      </c>
      <c r="G269" s="35">
        <v>49568</v>
      </c>
      <c r="H269" s="34" t="s">
        <v>16</v>
      </c>
      <c r="I269" s="34" t="s">
        <v>79</v>
      </c>
    </row>
    <row r="270" spans="1:9" ht="14.4">
      <c r="A270" s="36">
        <v>1262</v>
      </c>
      <c r="B270" s="33" t="s">
        <v>161</v>
      </c>
      <c r="C270" s="36">
        <v>9714</v>
      </c>
      <c r="D270" s="36" t="s">
        <v>44</v>
      </c>
      <c r="E270" s="36">
        <v>6</v>
      </c>
      <c r="F270" s="37">
        <v>43474</v>
      </c>
      <c r="G270" s="37">
        <v>45299</v>
      </c>
      <c r="H270" s="36" t="s">
        <v>14</v>
      </c>
      <c r="I270" s="36" t="s">
        <v>79</v>
      </c>
    </row>
    <row r="271" spans="1:9" ht="14.4">
      <c r="A271" s="34">
        <v>1263</v>
      </c>
      <c r="B271" s="32" t="s">
        <v>161</v>
      </c>
      <c r="C271" s="34">
        <v>9715</v>
      </c>
      <c r="D271" s="34" t="s">
        <v>44</v>
      </c>
      <c r="E271" s="34">
        <v>5</v>
      </c>
      <c r="F271" s="35">
        <v>43474</v>
      </c>
      <c r="G271" s="35">
        <v>45299</v>
      </c>
      <c r="H271" s="34" t="s">
        <v>14</v>
      </c>
      <c r="I271" s="34" t="s">
        <v>79</v>
      </c>
    </row>
    <row r="272" spans="1:9" ht="14.4">
      <c r="A272" s="36">
        <v>1264</v>
      </c>
      <c r="B272" s="33" t="s">
        <v>162</v>
      </c>
      <c r="C272" s="36">
        <v>9719</v>
      </c>
      <c r="D272" s="36" t="s">
        <v>163</v>
      </c>
      <c r="E272" s="36">
        <v>1</v>
      </c>
      <c r="F272" s="37">
        <v>39391</v>
      </c>
      <c r="G272" s="37">
        <v>39756</v>
      </c>
      <c r="H272" s="36" t="s">
        <v>89</v>
      </c>
      <c r="I272" s="36" t="s">
        <v>79</v>
      </c>
    </row>
    <row r="273" spans="1:9" ht="14.4">
      <c r="A273" s="34">
        <v>1279</v>
      </c>
      <c r="B273" s="32" t="s">
        <v>164</v>
      </c>
      <c r="C273" s="34">
        <v>9827</v>
      </c>
      <c r="D273" s="34" t="s">
        <v>13</v>
      </c>
      <c r="E273" s="34">
        <v>7</v>
      </c>
      <c r="F273" s="35">
        <v>40536</v>
      </c>
      <c r="G273" s="35">
        <v>51493</v>
      </c>
      <c r="H273" s="34" t="s">
        <v>14</v>
      </c>
      <c r="I273" s="34" t="s">
        <v>79</v>
      </c>
    </row>
    <row r="274" spans="1:9" ht="14.4">
      <c r="A274" s="36">
        <v>1304</v>
      </c>
      <c r="B274" s="33" t="s">
        <v>165</v>
      </c>
      <c r="C274" s="36">
        <v>10344</v>
      </c>
      <c r="D274" s="36" t="s">
        <v>30</v>
      </c>
      <c r="E274" s="36">
        <v>4</v>
      </c>
      <c r="F274" s="37">
        <v>43462</v>
      </c>
      <c r="G274" s="37">
        <v>45287</v>
      </c>
      <c r="H274" s="36" t="s">
        <v>73</v>
      </c>
      <c r="I274" s="36" t="s">
        <v>79</v>
      </c>
    </row>
    <row r="275" spans="1:9" ht="14.4">
      <c r="A275" s="34">
        <v>1306</v>
      </c>
      <c r="B275" s="32" t="s">
        <v>43</v>
      </c>
      <c r="C275" s="34">
        <v>10384</v>
      </c>
      <c r="D275" s="34" t="s">
        <v>13</v>
      </c>
      <c r="E275" s="34">
        <v>8</v>
      </c>
      <c r="F275" s="35">
        <v>40393</v>
      </c>
      <c r="G275" s="35">
        <v>51350</v>
      </c>
      <c r="H275" s="34" t="s">
        <v>16</v>
      </c>
      <c r="I275" s="34" t="s">
        <v>79</v>
      </c>
    </row>
    <row r="276" spans="1:9" ht="14.4">
      <c r="A276" s="36">
        <v>1307</v>
      </c>
      <c r="B276" s="33" t="s">
        <v>166</v>
      </c>
      <c r="C276" s="36">
        <v>10385</v>
      </c>
      <c r="D276" s="36" t="s">
        <v>13</v>
      </c>
      <c r="E276" s="36">
        <v>4</v>
      </c>
      <c r="F276" s="37">
        <v>40393</v>
      </c>
      <c r="G276" s="37">
        <v>51350</v>
      </c>
      <c r="H276" s="36" t="s">
        <v>14</v>
      </c>
      <c r="I276" s="36" t="s">
        <v>79</v>
      </c>
    </row>
    <row r="277" spans="1:9" ht="14.4">
      <c r="A277" s="34">
        <v>1308</v>
      </c>
      <c r="B277" s="32" t="s">
        <v>43</v>
      </c>
      <c r="C277" s="34">
        <v>10387</v>
      </c>
      <c r="D277" s="34" t="s">
        <v>13</v>
      </c>
      <c r="E277" s="34">
        <v>3</v>
      </c>
      <c r="F277" s="35">
        <v>40396</v>
      </c>
      <c r="G277" s="35">
        <v>51353</v>
      </c>
      <c r="H277" s="34" t="s">
        <v>14</v>
      </c>
      <c r="I277" s="34" t="s">
        <v>79</v>
      </c>
    </row>
    <row r="278" spans="1:9" ht="14.4">
      <c r="A278" s="36">
        <v>1309</v>
      </c>
      <c r="B278" s="33" t="s">
        <v>43</v>
      </c>
      <c r="C278" s="36">
        <v>10388</v>
      </c>
      <c r="D278" s="36" t="s">
        <v>13</v>
      </c>
      <c r="E278" s="36">
        <v>3</v>
      </c>
      <c r="F278" s="37">
        <v>40393</v>
      </c>
      <c r="G278" s="37">
        <v>51350</v>
      </c>
      <c r="H278" s="36" t="s">
        <v>14</v>
      </c>
      <c r="I278" s="36" t="s">
        <v>79</v>
      </c>
    </row>
    <row r="279" spans="1:9" ht="14.4">
      <c r="A279" s="34">
        <v>1310</v>
      </c>
      <c r="B279" s="32" t="s">
        <v>43</v>
      </c>
      <c r="C279" s="34">
        <v>10389</v>
      </c>
      <c r="D279" s="34" t="s">
        <v>13</v>
      </c>
      <c r="E279" s="34">
        <v>6</v>
      </c>
      <c r="F279" s="35">
        <v>40396</v>
      </c>
      <c r="G279" s="35">
        <v>51353</v>
      </c>
      <c r="H279" s="34" t="s">
        <v>14</v>
      </c>
      <c r="I279" s="34" t="s">
        <v>79</v>
      </c>
    </row>
    <row r="280" spans="1:9" ht="14.4">
      <c r="A280" s="36">
        <v>1328</v>
      </c>
      <c r="B280" s="33" t="s">
        <v>167</v>
      </c>
      <c r="C280" s="36">
        <v>10715</v>
      </c>
      <c r="D280" s="36" t="s">
        <v>18</v>
      </c>
      <c r="E280" s="36">
        <v>8</v>
      </c>
      <c r="F280" s="37">
        <v>43531</v>
      </c>
      <c r="G280" s="37">
        <v>45357</v>
      </c>
      <c r="H280" s="36" t="s">
        <v>14</v>
      </c>
      <c r="I280" s="36" t="s">
        <v>79</v>
      </c>
    </row>
    <row r="281" spans="1:9" ht="14.4">
      <c r="A281" s="34">
        <v>1358</v>
      </c>
      <c r="B281" s="32" t="s">
        <v>43</v>
      </c>
      <c r="C281" s="34">
        <v>11229</v>
      </c>
      <c r="D281" s="34" t="s">
        <v>13</v>
      </c>
      <c r="E281" s="34">
        <v>21</v>
      </c>
      <c r="F281" s="35">
        <v>39808</v>
      </c>
      <c r="G281" s="35">
        <v>45385</v>
      </c>
      <c r="H281" s="34" t="s">
        <v>16</v>
      </c>
      <c r="I281" s="34" t="s">
        <v>79</v>
      </c>
    </row>
    <row r="282" spans="1:9" ht="14.4">
      <c r="A282" s="36">
        <v>1367</v>
      </c>
      <c r="B282" s="33" t="s">
        <v>98</v>
      </c>
      <c r="C282" s="36">
        <v>11367</v>
      </c>
      <c r="D282" s="36" t="s">
        <v>13</v>
      </c>
      <c r="E282" s="36">
        <v>10</v>
      </c>
      <c r="F282" s="37">
        <v>40709</v>
      </c>
      <c r="G282" s="37">
        <v>51666</v>
      </c>
      <c r="H282" s="36" t="s">
        <v>14</v>
      </c>
      <c r="I282" s="36" t="s">
        <v>79</v>
      </c>
    </row>
    <row r="283" spans="1:9" ht="14.4">
      <c r="A283" s="34">
        <v>1370</v>
      </c>
      <c r="B283" s="32" t="s">
        <v>43</v>
      </c>
      <c r="C283" s="34">
        <v>11382</v>
      </c>
      <c r="D283" s="34" t="s">
        <v>13</v>
      </c>
      <c r="E283" s="34">
        <v>2</v>
      </c>
      <c r="F283" s="35">
        <v>41552</v>
      </c>
      <c r="G283" s="35">
        <v>52508</v>
      </c>
      <c r="H283" s="34" t="s">
        <v>14</v>
      </c>
      <c r="I283" s="34" t="s">
        <v>79</v>
      </c>
    </row>
    <row r="284" spans="1:9" ht="14.4">
      <c r="A284" s="36">
        <v>1371</v>
      </c>
      <c r="B284" s="33" t="s">
        <v>100</v>
      </c>
      <c r="C284" s="36">
        <v>11383</v>
      </c>
      <c r="D284" s="36" t="s">
        <v>13</v>
      </c>
      <c r="E284" s="36">
        <v>2</v>
      </c>
      <c r="F284" s="37">
        <v>40246</v>
      </c>
      <c r="G284" s="37">
        <v>51203</v>
      </c>
      <c r="H284" s="36" t="s">
        <v>14</v>
      </c>
      <c r="I284" s="36" t="s">
        <v>79</v>
      </c>
    </row>
    <row r="285" spans="1:9" ht="14.4">
      <c r="A285" s="34">
        <v>1372</v>
      </c>
      <c r="B285" s="32" t="s">
        <v>100</v>
      </c>
      <c r="C285" s="34">
        <v>11384</v>
      </c>
      <c r="D285" s="34" t="s">
        <v>13</v>
      </c>
      <c r="E285" s="34">
        <v>9</v>
      </c>
      <c r="F285" s="35">
        <v>40246</v>
      </c>
      <c r="G285" s="35">
        <v>51203</v>
      </c>
      <c r="H285" s="34" t="s">
        <v>14</v>
      </c>
      <c r="I285" s="34" t="s">
        <v>79</v>
      </c>
    </row>
    <row r="286" spans="1:9" ht="14.4">
      <c r="A286" s="36">
        <v>1373</v>
      </c>
      <c r="B286" s="33" t="s">
        <v>100</v>
      </c>
      <c r="C286" s="36">
        <v>11385</v>
      </c>
      <c r="D286" s="36" t="s">
        <v>13</v>
      </c>
      <c r="E286" s="36">
        <v>28</v>
      </c>
      <c r="F286" s="37">
        <v>40246</v>
      </c>
      <c r="G286" s="37">
        <v>51203</v>
      </c>
      <c r="H286" s="36" t="s">
        <v>14</v>
      </c>
      <c r="I286" s="36" t="s">
        <v>79</v>
      </c>
    </row>
    <row r="287" spans="1:9" ht="14.4">
      <c r="A287" s="34">
        <v>1374</v>
      </c>
      <c r="B287" s="32" t="s">
        <v>100</v>
      </c>
      <c r="C287" s="34">
        <v>11386</v>
      </c>
      <c r="D287" s="34" t="s">
        <v>13</v>
      </c>
      <c r="E287" s="34">
        <v>1</v>
      </c>
      <c r="F287" s="35">
        <v>40246</v>
      </c>
      <c r="G287" s="35">
        <v>51203</v>
      </c>
      <c r="H287" s="34" t="s">
        <v>14</v>
      </c>
      <c r="I287" s="34" t="s">
        <v>79</v>
      </c>
    </row>
    <row r="288" spans="1:9" ht="14.4">
      <c r="A288" s="36">
        <v>1375</v>
      </c>
      <c r="B288" s="33" t="s">
        <v>100</v>
      </c>
      <c r="C288" s="36">
        <v>11387</v>
      </c>
      <c r="D288" s="36" t="s">
        <v>13</v>
      </c>
      <c r="E288" s="36">
        <v>2</v>
      </c>
      <c r="F288" s="37">
        <v>40246</v>
      </c>
      <c r="G288" s="37">
        <v>51203</v>
      </c>
      <c r="H288" s="36" t="s">
        <v>14</v>
      </c>
      <c r="I288" s="36" t="s">
        <v>79</v>
      </c>
    </row>
    <row r="289" spans="1:9" ht="14.4">
      <c r="A289" s="34">
        <v>1378</v>
      </c>
      <c r="B289" s="32" t="s">
        <v>168</v>
      </c>
      <c r="C289" s="34">
        <v>11426</v>
      </c>
      <c r="D289" s="34" t="s">
        <v>21</v>
      </c>
      <c r="E289" s="34">
        <v>1</v>
      </c>
      <c r="F289" s="35">
        <v>43624</v>
      </c>
      <c r="G289" s="35">
        <v>45450</v>
      </c>
      <c r="H289" s="34" t="s">
        <v>89</v>
      </c>
      <c r="I289" s="34" t="s">
        <v>79</v>
      </c>
    </row>
    <row r="290" spans="1:9" ht="14.4">
      <c r="A290" s="36">
        <v>1380</v>
      </c>
      <c r="B290" s="33" t="s">
        <v>135</v>
      </c>
      <c r="C290" s="36">
        <v>11447</v>
      </c>
      <c r="D290" s="36" t="s">
        <v>13</v>
      </c>
      <c r="E290" s="36">
        <v>267</v>
      </c>
      <c r="F290" s="37">
        <v>41771</v>
      </c>
      <c r="G290" s="37">
        <v>47249</v>
      </c>
      <c r="H290" s="36" t="s">
        <v>32</v>
      </c>
      <c r="I290" s="36" t="s">
        <v>79</v>
      </c>
    </row>
    <row r="291" spans="1:9" ht="14.4">
      <c r="A291" s="34">
        <v>1381</v>
      </c>
      <c r="B291" s="32" t="s">
        <v>135</v>
      </c>
      <c r="C291" s="34">
        <v>11467</v>
      </c>
      <c r="D291" s="34" t="s">
        <v>13</v>
      </c>
      <c r="E291" s="34">
        <v>281</v>
      </c>
      <c r="F291" s="35">
        <v>41771</v>
      </c>
      <c r="G291" s="35">
        <v>47249</v>
      </c>
      <c r="H291" s="34" t="s">
        <v>32</v>
      </c>
      <c r="I291" s="34" t="s">
        <v>79</v>
      </c>
    </row>
    <row r="292" spans="1:9" ht="14.4">
      <c r="A292" s="36">
        <v>1382</v>
      </c>
      <c r="B292" s="33" t="s">
        <v>135</v>
      </c>
      <c r="C292" s="36">
        <v>11468</v>
      </c>
      <c r="D292" s="36" t="s">
        <v>13</v>
      </c>
      <c r="E292" s="36">
        <v>54</v>
      </c>
      <c r="F292" s="37">
        <v>41771</v>
      </c>
      <c r="G292" s="37">
        <v>47249</v>
      </c>
      <c r="H292" s="36" t="s">
        <v>32</v>
      </c>
      <c r="I292" s="36" t="s">
        <v>79</v>
      </c>
    </row>
    <row r="293" spans="1:9" ht="14.4">
      <c r="A293" s="34">
        <v>1383</v>
      </c>
      <c r="B293" s="32" t="s">
        <v>135</v>
      </c>
      <c r="C293" s="34">
        <v>11469</v>
      </c>
      <c r="D293" s="34" t="s">
        <v>13</v>
      </c>
      <c r="E293" s="34">
        <v>108</v>
      </c>
      <c r="F293" s="35">
        <v>39945</v>
      </c>
      <c r="G293" s="35">
        <v>45423</v>
      </c>
      <c r="H293" s="34" t="s">
        <v>32</v>
      </c>
      <c r="I293" s="34" t="s">
        <v>79</v>
      </c>
    </row>
    <row r="294" spans="1:9" ht="14.4">
      <c r="A294" s="36">
        <v>1384</v>
      </c>
      <c r="B294" s="33" t="s">
        <v>135</v>
      </c>
      <c r="C294" s="36">
        <v>11470</v>
      </c>
      <c r="D294" s="36" t="s">
        <v>13</v>
      </c>
      <c r="E294" s="36">
        <v>36</v>
      </c>
      <c r="F294" s="37">
        <v>42159</v>
      </c>
      <c r="G294" s="37">
        <v>47637</v>
      </c>
      <c r="H294" s="36" t="s">
        <v>32</v>
      </c>
      <c r="I294" s="36" t="s">
        <v>79</v>
      </c>
    </row>
    <row r="295" spans="1:9" ht="14.4">
      <c r="A295" s="34">
        <v>1385</v>
      </c>
      <c r="B295" s="32" t="s">
        <v>135</v>
      </c>
      <c r="C295" s="34">
        <v>11471</v>
      </c>
      <c r="D295" s="34" t="s">
        <v>13</v>
      </c>
      <c r="E295" s="34">
        <v>133</v>
      </c>
      <c r="F295" s="35">
        <v>41771</v>
      </c>
      <c r="G295" s="35">
        <v>47249</v>
      </c>
      <c r="H295" s="34" t="s">
        <v>32</v>
      </c>
      <c r="I295" s="34" t="s">
        <v>79</v>
      </c>
    </row>
    <row r="296" spans="1:9" ht="14.4">
      <c r="A296" s="36">
        <v>1386</v>
      </c>
      <c r="B296" s="33" t="s">
        <v>135</v>
      </c>
      <c r="C296" s="36">
        <v>11472</v>
      </c>
      <c r="D296" s="36" t="s">
        <v>13</v>
      </c>
      <c r="E296" s="36">
        <v>100</v>
      </c>
      <c r="F296" s="37">
        <v>42159</v>
      </c>
      <c r="G296" s="37">
        <v>47637</v>
      </c>
      <c r="H296" s="36" t="s">
        <v>32</v>
      </c>
      <c r="I296" s="36" t="s">
        <v>79</v>
      </c>
    </row>
    <row r="297" spans="1:9" ht="14.4">
      <c r="A297" s="34">
        <v>1387</v>
      </c>
      <c r="B297" s="32" t="s">
        <v>169</v>
      </c>
      <c r="C297" s="34">
        <v>11474</v>
      </c>
      <c r="D297" s="34" t="s">
        <v>163</v>
      </c>
      <c r="E297" s="34">
        <v>2</v>
      </c>
      <c r="F297" s="35">
        <v>39951</v>
      </c>
      <c r="G297" s="35">
        <v>40315</v>
      </c>
      <c r="H297" s="34" t="s">
        <v>22</v>
      </c>
      <c r="I297" s="34" t="s">
        <v>79</v>
      </c>
    </row>
    <row r="298" spans="1:9" ht="14.4">
      <c r="A298" s="36">
        <v>1395</v>
      </c>
      <c r="B298" s="33" t="s">
        <v>64</v>
      </c>
      <c r="C298" s="36">
        <v>11516</v>
      </c>
      <c r="D298" s="36" t="s">
        <v>13</v>
      </c>
      <c r="E298" s="36">
        <v>4</v>
      </c>
      <c r="F298" s="37">
        <v>44819</v>
      </c>
      <c r="G298" s="37">
        <v>50297</v>
      </c>
      <c r="H298" s="36" t="s">
        <v>14</v>
      </c>
      <c r="I298" s="36" t="s">
        <v>79</v>
      </c>
    </row>
    <row r="299" spans="1:9" ht="14.4">
      <c r="A299" s="34">
        <v>1396</v>
      </c>
      <c r="B299" s="32" t="s">
        <v>64</v>
      </c>
      <c r="C299" s="34">
        <v>11517</v>
      </c>
      <c r="D299" s="34" t="s">
        <v>13</v>
      </c>
      <c r="E299" s="34">
        <v>11</v>
      </c>
      <c r="F299" s="35">
        <v>44819</v>
      </c>
      <c r="G299" s="35">
        <v>50297</v>
      </c>
      <c r="H299" s="34" t="s">
        <v>14</v>
      </c>
      <c r="I299" s="34" t="s">
        <v>79</v>
      </c>
    </row>
    <row r="300" spans="1:9" ht="14.4">
      <c r="A300" s="36">
        <v>1397</v>
      </c>
      <c r="B300" s="33" t="s">
        <v>43</v>
      </c>
      <c r="C300" s="36">
        <v>11522</v>
      </c>
      <c r="D300" s="36" t="s">
        <v>13</v>
      </c>
      <c r="E300" s="36">
        <v>3</v>
      </c>
      <c r="F300" s="37">
        <v>40102</v>
      </c>
      <c r="G300" s="37">
        <v>45384</v>
      </c>
      <c r="H300" s="36" t="s">
        <v>16</v>
      </c>
      <c r="I300" s="36" t="s">
        <v>79</v>
      </c>
    </row>
    <row r="301" spans="1:9" ht="14.4">
      <c r="A301" s="34">
        <v>1409</v>
      </c>
      <c r="B301" s="32" t="s">
        <v>43</v>
      </c>
      <c r="C301" s="34">
        <v>11599</v>
      </c>
      <c r="D301" s="34" t="s">
        <v>13</v>
      </c>
      <c r="E301" s="34">
        <v>26</v>
      </c>
      <c r="F301" s="35">
        <v>40102</v>
      </c>
      <c r="G301" s="35">
        <v>45385</v>
      </c>
      <c r="H301" s="34" t="s">
        <v>16</v>
      </c>
      <c r="I301" s="34" t="s">
        <v>79</v>
      </c>
    </row>
    <row r="302" spans="1:9" ht="14.4">
      <c r="A302" s="36">
        <v>1410</v>
      </c>
      <c r="B302" s="33" t="s">
        <v>43</v>
      </c>
      <c r="C302" s="36">
        <v>11600</v>
      </c>
      <c r="D302" s="36" t="s">
        <v>13</v>
      </c>
      <c r="E302" s="36">
        <v>8</v>
      </c>
      <c r="F302" s="37">
        <v>40102</v>
      </c>
      <c r="G302" s="37">
        <v>45385</v>
      </c>
      <c r="H302" s="36" t="s">
        <v>16</v>
      </c>
      <c r="I302" s="36" t="s">
        <v>79</v>
      </c>
    </row>
    <row r="303" spans="1:9" ht="14.4">
      <c r="A303" s="34">
        <v>1411</v>
      </c>
      <c r="B303" s="32" t="s">
        <v>97</v>
      </c>
      <c r="C303" s="34">
        <v>11602</v>
      </c>
      <c r="D303" s="34" t="s">
        <v>13</v>
      </c>
      <c r="E303" s="34">
        <v>2</v>
      </c>
      <c r="F303" s="35">
        <v>40102</v>
      </c>
      <c r="G303" s="35">
        <v>45385</v>
      </c>
      <c r="H303" s="34" t="s">
        <v>16</v>
      </c>
      <c r="I303" s="34" t="s">
        <v>79</v>
      </c>
    </row>
    <row r="304" spans="1:9" ht="14.4">
      <c r="A304" s="36">
        <v>1415</v>
      </c>
      <c r="B304" s="33" t="s">
        <v>169</v>
      </c>
      <c r="C304" s="36">
        <v>11620</v>
      </c>
      <c r="D304" s="36" t="s">
        <v>163</v>
      </c>
      <c r="E304" s="36">
        <v>4</v>
      </c>
      <c r="F304" s="37">
        <v>40087</v>
      </c>
      <c r="G304" s="37">
        <v>40451</v>
      </c>
      <c r="H304" s="36" t="s">
        <v>22</v>
      </c>
      <c r="I304" s="36" t="s">
        <v>79</v>
      </c>
    </row>
    <row r="305" spans="1:9" ht="14.4">
      <c r="A305" s="34">
        <v>1416</v>
      </c>
      <c r="B305" s="32" t="s">
        <v>169</v>
      </c>
      <c r="C305" s="34">
        <v>11621</v>
      </c>
      <c r="D305" s="34" t="s">
        <v>163</v>
      </c>
      <c r="E305" s="34">
        <v>5</v>
      </c>
      <c r="F305" s="35">
        <v>40087</v>
      </c>
      <c r="G305" s="35">
        <v>40451</v>
      </c>
      <c r="H305" s="34" t="s">
        <v>22</v>
      </c>
      <c r="I305" s="34" t="s">
        <v>79</v>
      </c>
    </row>
    <row r="306" spans="1:9" ht="14.4">
      <c r="A306" s="36">
        <v>1417</v>
      </c>
      <c r="B306" s="33" t="s">
        <v>169</v>
      </c>
      <c r="C306" s="36">
        <v>11622</v>
      </c>
      <c r="D306" s="36" t="s">
        <v>163</v>
      </c>
      <c r="E306" s="36">
        <v>5</v>
      </c>
      <c r="F306" s="37">
        <v>40087</v>
      </c>
      <c r="G306" s="37">
        <v>40451</v>
      </c>
      <c r="H306" s="36" t="s">
        <v>22</v>
      </c>
      <c r="I306" s="36" t="s">
        <v>79</v>
      </c>
    </row>
    <row r="307" spans="1:9" ht="14.4">
      <c r="A307" s="34">
        <v>1418</v>
      </c>
      <c r="B307" s="32" t="s">
        <v>169</v>
      </c>
      <c r="C307" s="34">
        <v>11623</v>
      </c>
      <c r="D307" s="34" t="s">
        <v>163</v>
      </c>
      <c r="E307" s="34">
        <v>5</v>
      </c>
      <c r="F307" s="35">
        <v>40087</v>
      </c>
      <c r="G307" s="35">
        <v>40451</v>
      </c>
      <c r="H307" s="34" t="s">
        <v>22</v>
      </c>
      <c r="I307" s="34" t="s">
        <v>79</v>
      </c>
    </row>
    <row r="308" spans="1:9" ht="14.4">
      <c r="A308" s="36">
        <v>1419</v>
      </c>
      <c r="B308" s="33" t="s">
        <v>169</v>
      </c>
      <c r="C308" s="36">
        <v>11624</v>
      </c>
      <c r="D308" s="36" t="s">
        <v>163</v>
      </c>
      <c r="E308" s="36">
        <v>5</v>
      </c>
      <c r="F308" s="37">
        <v>42390</v>
      </c>
      <c r="G308" s="37">
        <v>44216</v>
      </c>
      <c r="H308" s="36" t="s">
        <v>22</v>
      </c>
      <c r="I308" s="36" t="s">
        <v>79</v>
      </c>
    </row>
    <row r="309" spans="1:9" ht="14.4">
      <c r="A309" s="34">
        <v>1436</v>
      </c>
      <c r="B309" s="32" t="s">
        <v>102</v>
      </c>
      <c r="C309" s="34">
        <v>11751</v>
      </c>
      <c r="D309" s="34" t="s">
        <v>13</v>
      </c>
      <c r="E309" s="34">
        <v>5</v>
      </c>
      <c r="F309" s="35">
        <v>40158</v>
      </c>
      <c r="G309" s="35">
        <v>51114</v>
      </c>
      <c r="H309" s="34" t="s">
        <v>14</v>
      </c>
      <c r="I309" s="34" t="s">
        <v>79</v>
      </c>
    </row>
    <row r="310" spans="1:9" ht="14.4">
      <c r="A310" s="36">
        <v>1441</v>
      </c>
      <c r="B310" s="33" t="s">
        <v>136</v>
      </c>
      <c r="C310" s="36">
        <v>11796</v>
      </c>
      <c r="D310" s="36" t="s">
        <v>18</v>
      </c>
      <c r="E310" s="36">
        <v>280</v>
      </c>
      <c r="F310" s="37">
        <v>40312</v>
      </c>
      <c r="G310" s="37">
        <v>41772</v>
      </c>
      <c r="H310" s="36" t="s">
        <v>32</v>
      </c>
      <c r="I310" s="36" t="s">
        <v>79</v>
      </c>
    </row>
    <row r="311" spans="1:9" ht="14.4">
      <c r="A311" s="34">
        <v>1442</v>
      </c>
      <c r="B311" s="32" t="s">
        <v>136</v>
      </c>
      <c r="C311" s="34">
        <v>11797</v>
      </c>
      <c r="D311" s="34" t="s">
        <v>18</v>
      </c>
      <c r="E311" s="34">
        <v>436</v>
      </c>
      <c r="F311" s="35">
        <v>40312</v>
      </c>
      <c r="G311" s="35">
        <v>41772</v>
      </c>
      <c r="H311" s="34" t="s">
        <v>32</v>
      </c>
      <c r="I311" s="34" t="s">
        <v>79</v>
      </c>
    </row>
    <row r="312" spans="1:9" ht="14.4">
      <c r="A312" s="36">
        <v>1443</v>
      </c>
      <c r="B312" s="33" t="s">
        <v>136</v>
      </c>
      <c r="C312" s="36">
        <v>11798</v>
      </c>
      <c r="D312" s="36" t="s">
        <v>18</v>
      </c>
      <c r="E312" s="36">
        <v>348</v>
      </c>
      <c r="F312" s="37">
        <v>40312</v>
      </c>
      <c r="G312" s="37">
        <v>41772</v>
      </c>
      <c r="H312" s="36" t="s">
        <v>32</v>
      </c>
      <c r="I312" s="36" t="s">
        <v>79</v>
      </c>
    </row>
    <row r="313" spans="1:9" ht="14.4">
      <c r="A313" s="34">
        <v>1445</v>
      </c>
      <c r="B313" s="32" t="s">
        <v>136</v>
      </c>
      <c r="C313" s="34">
        <v>11801</v>
      </c>
      <c r="D313" s="34" t="s">
        <v>18</v>
      </c>
      <c r="E313" s="34">
        <v>140</v>
      </c>
      <c r="F313" s="35">
        <v>40425</v>
      </c>
      <c r="G313" s="35">
        <v>41885</v>
      </c>
      <c r="H313" s="34" t="s">
        <v>32</v>
      </c>
      <c r="I313" s="34" t="s">
        <v>79</v>
      </c>
    </row>
    <row r="314" spans="1:9" ht="14.4">
      <c r="A314" s="36">
        <v>1446</v>
      </c>
      <c r="B314" s="33" t="s">
        <v>136</v>
      </c>
      <c r="C314" s="36">
        <v>11816</v>
      </c>
      <c r="D314" s="36" t="s">
        <v>18</v>
      </c>
      <c r="E314" s="36">
        <v>460</v>
      </c>
      <c r="F314" s="37">
        <v>40312</v>
      </c>
      <c r="G314" s="37">
        <v>41772</v>
      </c>
      <c r="H314" s="36" t="s">
        <v>32</v>
      </c>
      <c r="I314" s="36" t="s">
        <v>79</v>
      </c>
    </row>
    <row r="315" spans="1:9" ht="14.4">
      <c r="A315" s="34">
        <v>1447</v>
      </c>
      <c r="B315" s="32" t="s">
        <v>136</v>
      </c>
      <c r="C315" s="34">
        <v>11817</v>
      </c>
      <c r="D315" s="34" t="s">
        <v>18</v>
      </c>
      <c r="E315" s="34">
        <v>370</v>
      </c>
      <c r="F315" s="35">
        <v>40312</v>
      </c>
      <c r="G315" s="35">
        <v>41772</v>
      </c>
      <c r="H315" s="34" t="s">
        <v>32</v>
      </c>
      <c r="I315" s="34" t="s">
        <v>79</v>
      </c>
    </row>
    <row r="316" spans="1:9" ht="14.4">
      <c r="A316" s="36">
        <v>1458</v>
      </c>
      <c r="B316" s="33" t="s">
        <v>72</v>
      </c>
      <c r="C316" s="36">
        <v>11861</v>
      </c>
      <c r="D316" s="36" t="s">
        <v>13</v>
      </c>
      <c r="E316" s="36">
        <v>174</v>
      </c>
      <c r="F316" s="37">
        <v>41793</v>
      </c>
      <c r="G316" s="37">
        <v>52750</v>
      </c>
      <c r="H316" s="36" t="s">
        <v>34</v>
      </c>
      <c r="I316" s="36" t="s">
        <v>79</v>
      </c>
    </row>
    <row r="317" spans="1:9" ht="14.4">
      <c r="A317" s="34">
        <v>1462</v>
      </c>
      <c r="B317" s="32" t="s">
        <v>72</v>
      </c>
      <c r="C317" s="34">
        <v>11877</v>
      </c>
      <c r="D317" s="34" t="s">
        <v>18</v>
      </c>
      <c r="E317" s="34">
        <v>220</v>
      </c>
      <c r="F317" s="35">
        <v>43496</v>
      </c>
      <c r="G317" s="35">
        <v>45321</v>
      </c>
      <c r="H317" s="34" t="s">
        <v>73</v>
      </c>
      <c r="I317" s="34" t="s">
        <v>79</v>
      </c>
    </row>
    <row r="318" spans="1:9" ht="14.4">
      <c r="A318" s="36">
        <v>1463</v>
      </c>
      <c r="B318" s="33" t="s">
        <v>72</v>
      </c>
      <c r="C318" s="36">
        <v>11878</v>
      </c>
      <c r="D318" s="36" t="s">
        <v>18</v>
      </c>
      <c r="E318" s="36">
        <v>220</v>
      </c>
      <c r="F318" s="37">
        <v>43496</v>
      </c>
      <c r="G318" s="37">
        <v>45321</v>
      </c>
      <c r="H318" s="36" t="s">
        <v>73</v>
      </c>
      <c r="I318" s="36" t="s">
        <v>79</v>
      </c>
    </row>
    <row r="319" spans="1:9" ht="14.4">
      <c r="A319" s="34">
        <v>1464</v>
      </c>
      <c r="B319" s="32" t="s">
        <v>72</v>
      </c>
      <c r="C319" s="34">
        <v>11879</v>
      </c>
      <c r="D319" s="34" t="s">
        <v>18</v>
      </c>
      <c r="E319" s="34">
        <v>232</v>
      </c>
      <c r="F319" s="35">
        <v>43496</v>
      </c>
      <c r="G319" s="35">
        <v>45321</v>
      </c>
      <c r="H319" s="34" t="s">
        <v>73</v>
      </c>
      <c r="I319" s="34" t="s">
        <v>79</v>
      </c>
    </row>
    <row r="320" spans="1:9" ht="14.4">
      <c r="A320" s="36">
        <v>1466</v>
      </c>
      <c r="B320" s="33" t="s">
        <v>72</v>
      </c>
      <c r="C320" s="36">
        <v>11881</v>
      </c>
      <c r="D320" s="36" t="s">
        <v>18</v>
      </c>
      <c r="E320" s="36">
        <v>92</v>
      </c>
      <c r="F320" s="37">
        <v>43414</v>
      </c>
      <c r="G320" s="37">
        <v>45239</v>
      </c>
      <c r="H320" s="36" t="s">
        <v>73</v>
      </c>
      <c r="I320" s="36" t="s">
        <v>79</v>
      </c>
    </row>
    <row r="321" spans="1:9" ht="14.4">
      <c r="A321" s="34">
        <v>1468</v>
      </c>
      <c r="B321" s="32" t="s">
        <v>33</v>
      </c>
      <c r="C321" s="34">
        <v>11923</v>
      </c>
      <c r="D321" s="34" t="s">
        <v>13</v>
      </c>
      <c r="E321" s="34">
        <v>462</v>
      </c>
      <c r="F321" s="35">
        <v>41624</v>
      </c>
      <c r="G321" s="35">
        <v>52580</v>
      </c>
      <c r="H321" s="34" t="s">
        <v>34</v>
      </c>
      <c r="I321" s="34" t="s">
        <v>79</v>
      </c>
    </row>
    <row r="322" spans="1:9" ht="14.4">
      <c r="A322" s="36">
        <v>1469</v>
      </c>
      <c r="B322" s="33" t="s">
        <v>33</v>
      </c>
      <c r="C322" s="36">
        <v>11924</v>
      </c>
      <c r="D322" s="36" t="s">
        <v>13</v>
      </c>
      <c r="E322" s="36">
        <v>232</v>
      </c>
      <c r="F322" s="37">
        <v>41624</v>
      </c>
      <c r="G322" s="37">
        <v>52580</v>
      </c>
      <c r="H322" s="36" t="s">
        <v>34</v>
      </c>
      <c r="I322" s="36" t="s">
        <v>79</v>
      </c>
    </row>
    <row r="323" spans="1:9" ht="14.4">
      <c r="A323" s="34">
        <v>1487</v>
      </c>
      <c r="B323" s="32" t="s">
        <v>169</v>
      </c>
      <c r="C323" s="34">
        <v>12037</v>
      </c>
      <c r="D323" s="34" t="s">
        <v>163</v>
      </c>
      <c r="E323" s="34">
        <v>3</v>
      </c>
      <c r="F323" s="35">
        <v>43073</v>
      </c>
      <c r="G323" s="35">
        <v>44898</v>
      </c>
      <c r="H323" s="34" t="s">
        <v>89</v>
      </c>
      <c r="I323" s="34" t="s">
        <v>79</v>
      </c>
    </row>
    <row r="324" spans="1:9" ht="14.4">
      <c r="A324" s="36">
        <v>1490</v>
      </c>
      <c r="B324" s="33" t="s">
        <v>72</v>
      </c>
      <c r="C324" s="36">
        <v>12085</v>
      </c>
      <c r="D324" s="36" t="s">
        <v>18</v>
      </c>
      <c r="E324" s="36">
        <v>213</v>
      </c>
      <c r="F324" s="37">
        <v>43083</v>
      </c>
      <c r="G324" s="37">
        <v>44908</v>
      </c>
      <c r="H324" s="36" t="s">
        <v>73</v>
      </c>
      <c r="I324" s="36" t="s">
        <v>79</v>
      </c>
    </row>
    <row r="325" spans="1:9" ht="14.4">
      <c r="A325" s="34">
        <v>1492</v>
      </c>
      <c r="B325" s="32" t="s">
        <v>170</v>
      </c>
      <c r="C325" s="34">
        <v>12092</v>
      </c>
      <c r="D325" s="34" t="s">
        <v>13</v>
      </c>
      <c r="E325" s="34">
        <v>1</v>
      </c>
      <c r="F325" s="35">
        <v>40443</v>
      </c>
      <c r="G325" s="35">
        <v>45385</v>
      </c>
      <c r="H325" s="34" t="s">
        <v>16</v>
      </c>
      <c r="I325" s="34" t="s">
        <v>79</v>
      </c>
    </row>
    <row r="326" spans="1:9" ht="14.4">
      <c r="A326" s="36">
        <v>1493</v>
      </c>
      <c r="B326" s="33" t="s">
        <v>170</v>
      </c>
      <c r="C326" s="36">
        <v>12093</v>
      </c>
      <c r="D326" s="36" t="s">
        <v>13</v>
      </c>
      <c r="E326" s="36">
        <v>3</v>
      </c>
      <c r="F326" s="37">
        <v>40443</v>
      </c>
      <c r="G326" s="37">
        <v>45385</v>
      </c>
      <c r="H326" s="36" t="s">
        <v>16</v>
      </c>
      <c r="I326" s="36" t="s">
        <v>79</v>
      </c>
    </row>
    <row r="327" spans="1:9" ht="14.4">
      <c r="A327" s="34">
        <v>1494</v>
      </c>
      <c r="B327" s="32" t="s">
        <v>43</v>
      </c>
      <c r="C327" s="34">
        <v>12094</v>
      </c>
      <c r="D327" s="34" t="s">
        <v>13</v>
      </c>
      <c r="E327" s="34">
        <v>2</v>
      </c>
      <c r="F327" s="35">
        <v>39906</v>
      </c>
      <c r="G327" s="35">
        <v>45384</v>
      </c>
      <c r="H327" s="34" t="s">
        <v>14</v>
      </c>
      <c r="I327" s="34" t="s">
        <v>79</v>
      </c>
    </row>
    <row r="328" spans="1:9" ht="14.4">
      <c r="A328" s="36">
        <v>1499</v>
      </c>
      <c r="B328" s="33" t="s">
        <v>171</v>
      </c>
      <c r="C328" s="36">
        <v>12112</v>
      </c>
      <c r="D328" s="36" t="s">
        <v>13</v>
      </c>
      <c r="E328" s="36">
        <v>17</v>
      </c>
      <c r="F328" s="37">
        <v>42716</v>
      </c>
      <c r="G328" s="37">
        <v>53672</v>
      </c>
      <c r="H328" s="36" t="s">
        <v>16</v>
      </c>
      <c r="I328" s="36" t="s">
        <v>79</v>
      </c>
    </row>
    <row r="329" spans="1:9" ht="14.4">
      <c r="A329" s="34">
        <v>1500</v>
      </c>
      <c r="B329" s="32" t="s">
        <v>15</v>
      </c>
      <c r="C329" s="34">
        <v>12113</v>
      </c>
      <c r="D329" s="34" t="s">
        <v>13</v>
      </c>
      <c r="E329" s="34">
        <v>90</v>
      </c>
      <c r="F329" s="35">
        <v>41144</v>
      </c>
      <c r="G329" s="35">
        <v>52100</v>
      </c>
      <c r="H329" s="34" t="s">
        <v>14</v>
      </c>
      <c r="I329" s="34" t="s">
        <v>79</v>
      </c>
    </row>
    <row r="330" spans="1:9" ht="14.4">
      <c r="A330" s="36">
        <v>1501</v>
      </c>
      <c r="B330" s="33" t="s">
        <v>172</v>
      </c>
      <c r="C330" s="36">
        <v>12114</v>
      </c>
      <c r="D330" s="36" t="s">
        <v>13</v>
      </c>
      <c r="E330" s="36">
        <v>218</v>
      </c>
      <c r="F330" s="37">
        <v>41705</v>
      </c>
      <c r="G330" s="37">
        <v>52662</v>
      </c>
      <c r="H330" s="36" t="s">
        <v>14</v>
      </c>
      <c r="I330" s="36" t="s">
        <v>79</v>
      </c>
    </row>
    <row r="331" spans="1:9" ht="14.4">
      <c r="A331" s="34">
        <v>1502</v>
      </c>
      <c r="B331" s="32" t="s">
        <v>173</v>
      </c>
      <c r="C331" s="34">
        <v>12115</v>
      </c>
      <c r="D331" s="34" t="s">
        <v>13</v>
      </c>
      <c r="E331" s="34">
        <v>40</v>
      </c>
      <c r="F331" s="35">
        <v>43252</v>
      </c>
      <c r="G331" s="35">
        <v>54209</v>
      </c>
      <c r="H331" s="34" t="s">
        <v>16</v>
      </c>
      <c r="I331" s="34" t="s">
        <v>79</v>
      </c>
    </row>
    <row r="332" spans="1:9" ht="14.4">
      <c r="A332" s="36">
        <v>1504</v>
      </c>
      <c r="B332" s="33" t="s">
        <v>174</v>
      </c>
      <c r="C332" s="36">
        <v>12117</v>
      </c>
      <c r="D332" s="36" t="s">
        <v>13</v>
      </c>
      <c r="E332" s="36">
        <v>65</v>
      </c>
      <c r="F332" s="37">
        <v>42115</v>
      </c>
      <c r="G332" s="37">
        <v>53072</v>
      </c>
      <c r="H332" s="36" t="s">
        <v>14</v>
      </c>
      <c r="I332" s="36" t="s">
        <v>79</v>
      </c>
    </row>
    <row r="333" spans="1:9" ht="14.4">
      <c r="A333" s="34">
        <v>1505</v>
      </c>
      <c r="B333" s="32" t="s">
        <v>41</v>
      </c>
      <c r="C333" s="34">
        <v>12123</v>
      </c>
      <c r="D333" s="34" t="s">
        <v>13</v>
      </c>
      <c r="E333" s="34">
        <v>5</v>
      </c>
      <c r="F333" s="35">
        <v>41024</v>
      </c>
      <c r="G333" s="35">
        <v>51980</v>
      </c>
      <c r="H333" s="34" t="s">
        <v>16</v>
      </c>
      <c r="I333" s="34" t="s">
        <v>79</v>
      </c>
    </row>
    <row r="334" spans="1:9" ht="14.4">
      <c r="A334" s="36">
        <v>1506</v>
      </c>
      <c r="B334" s="33" t="s">
        <v>43</v>
      </c>
      <c r="C334" s="36">
        <v>12133</v>
      </c>
      <c r="D334" s="36" t="s">
        <v>13</v>
      </c>
      <c r="E334" s="36">
        <v>2</v>
      </c>
      <c r="F334" s="37">
        <v>40102</v>
      </c>
      <c r="G334" s="37">
        <v>45385</v>
      </c>
      <c r="H334" s="36" t="s">
        <v>16</v>
      </c>
      <c r="I334" s="36" t="s">
        <v>79</v>
      </c>
    </row>
    <row r="335" spans="1:9" ht="14.4">
      <c r="A335" s="34">
        <v>1509</v>
      </c>
      <c r="B335" s="32" t="s">
        <v>175</v>
      </c>
      <c r="C335" s="34">
        <v>12162</v>
      </c>
      <c r="D335" s="34" t="s">
        <v>13</v>
      </c>
      <c r="E335" s="34">
        <v>140</v>
      </c>
      <c r="F335" s="35">
        <v>44805</v>
      </c>
      <c r="G335" s="35">
        <v>53935</v>
      </c>
      <c r="H335" s="34" t="s">
        <v>14</v>
      </c>
      <c r="I335" s="34" t="s">
        <v>79</v>
      </c>
    </row>
    <row r="336" spans="1:9" ht="14.4">
      <c r="A336" s="36">
        <v>1514</v>
      </c>
      <c r="B336" s="33" t="s">
        <v>175</v>
      </c>
      <c r="C336" s="36">
        <v>12172</v>
      </c>
      <c r="D336" s="36" t="s">
        <v>13</v>
      </c>
      <c r="E336" s="36">
        <v>180</v>
      </c>
      <c r="F336" s="37">
        <v>44805</v>
      </c>
      <c r="G336" s="37">
        <v>53935</v>
      </c>
      <c r="H336" s="36" t="s">
        <v>14</v>
      </c>
      <c r="I336" s="36" t="s">
        <v>79</v>
      </c>
    </row>
    <row r="337" spans="1:9" ht="14.4">
      <c r="A337" s="34">
        <v>1515</v>
      </c>
      <c r="B337" s="32" t="s">
        <v>175</v>
      </c>
      <c r="C337" s="34">
        <v>12173</v>
      </c>
      <c r="D337" s="34" t="s">
        <v>13</v>
      </c>
      <c r="E337" s="34">
        <v>115</v>
      </c>
      <c r="F337" s="35">
        <v>44805</v>
      </c>
      <c r="G337" s="35">
        <v>53935</v>
      </c>
      <c r="H337" s="34" t="s">
        <v>14</v>
      </c>
      <c r="I337" s="34" t="s">
        <v>79</v>
      </c>
    </row>
    <row r="338" spans="1:9" ht="14.4">
      <c r="A338" s="36">
        <v>1517</v>
      </c>
      <c r="B338" s="33" t="s">
        <v>175</v>
      </c>
      <c r="C338" s="36">
        <v>12175</v>
      </c>
      <c r="D338" s="36" t="s">
        <v>13</v>
      </c>
      <c r="E338" s="36">
        <v>126</v>
      </c>
      <c r="F338" s="37">
        <v>44805</v>
      </c>
      <c r="G338" s="37">
        <v>53935</v>
      </c>
      <c r="H338" s="36" t="s">
        <v>14</v>
      </c>
      <c r="I338" s="36" t="s">
        <v>79</v>
      </c>
    </row>
    <row r="339" spans="1:9" ht="14.4">
      <c r="A339" s="34">
        <v>1518</v>
      </c>
      <c r="B339" s="32" t="s">
        <v>175</v>
      </c>
      <c r="C339" s="34">
        <v>12182</v>
      </c>
      <c r="D339" s="34" t="s">
        <v>13</v>
      </c>
      <c r="E339" s="34">
        <v>200</v>
      </c>
      <c r="F339" s="35">
        <v>44805</v>
      </c>
      <c r="G339" s="35">
        <v>53935</v>
      </c>
      <c r="H339" s="34" t="s">
        <v>14</v>
      </c>
      <c r="I339" s="34" t="s">
        <v>79</v>
      </c>
    </row>
    <row r="340" spans="1:9" ht="14.4">
      <c r="A340" s="36">
        <v>1519</v>
      </c>
      <c r="B340" s="33" t="s">
        <v>175</v>
      </c>
      <c r="C340" s="36">
        <v>12183</v>
      </c>
      <c r="D340" s="36" t="s">
        <v>13</v>
      </c>
      <c r="E340" s="36">
        <v>200</v>
      </c>
      <c r="F340" s="37">
        <v>44805</v>
      </c>
      <c r="G340" s="37">
        <v>53935</v>
      </c>
      <c r="H340" s="36" t="s">
        <v>14</v>
      </c>
      <c r="I340" s="36" t="s">
        <v>79</v>
      </c>
    </row>
    <row r="341" spans="1:9" ht="14.4">
      <c r="A341" s="34">
        <v>1520</v>
      </c>
      <c r="B341" s="32" t="s">
        <v>175</v>
      </c>
      <c r="C341" s="34">
        <v>12188</v>
      </c>
      <c r="D341" s="34" t="s">
        <v>13</v>
      </c>
      <c r="E341" s="34">
        <v>175</v>
      </c>
      <c r="F341" s="35">
        <v>44805</v>
      </c>
      <c r="G341" s="35">
        <v>53935</v>
      </c>
      <c r="H341" s="34" t="s">
        <v>14</v>
      </c>
      <c r="I341" s="34" t="s">
        <v>79</v>
      </c>
    </row>
    <row r="342" spans="1:9" ht="14.4">
      <c r="A342" s="36">
        <v>1526</v>
      </c>
      <c r="B342" s="33" t="s">
        <v>176</v>
      </c>
      <c r="C342" s="36">
        <v>12198</v>
      </c>
      <c r="D342" s="36" t="s">
        <v>13</v>
      </c>
      <c r="E342" s="36">
        <v>10</v>
      </c>
      <c r="F342" s="37">
        <v>42300</v>
      </c>
      <c r="G342" s="37">
        <v>53257</v>
      </c>
      <c r="H342" s="36" t="s">
        <v>16</v>
      </c>
      <c r="I342" s="36" t="s">
        <v>79</v>
      </c>
    </row>
    <row r="343" spans="1:9" ht="14.4">
      <c r="A343" s="34">
        <v>1537</v>
      </c>
      <c r="B343" s="32" t="s">
        <v>92</v>
      </c>
      <c r="C343" s="34">
        <v>12264</v>
      </c>
      <c r="D343" s="34" t="s">
        <v>13</v>
      </c>
      <c r="E343" s="34">
        <v>16</v>
      </c>
      <c r="F343" s="35">
        <v>42476</v>
      </c>
      <c r="G343" s="35">
        <v>47953</v>
      </c>
      <c r="H343" s="34" t="s">
        <v>14</v>
      </c>
      <c r="I343" s="34" t="s">
        <v>79</v>
      </c>
    </row>
    <row r="344" spans="1:9" ht="14.4">
      <c r="A344" s="36">
        <v>1543</v>
      </c>
      <c r="B344" s="33" t="s">
        <v>43</v>
      </c>
      <c r="C344" s="36">
        <v>12270</v>
      </c>
      <c r="D344" s="36" t="s">
        <v>13</v>
      </c>
      <c r="E344" s="36">
        <v>1</v>
      </c>
      <c r="F344" s="37">
        <v>40102</v>
      </c>
      <c r="G344" s="37">
        <v>45384</v>
      </c>
      <c r="H344" s="36" t="s">
        <v>14</v>
      </c>
      <c r="I344" s="36" t="s">
        <v>79</v>
      </c>
    </row>
    <row r="345" spans="1:9" ht="14.4">
      <c r="A345" s="34">
        <v>1544</v>
      </c>
      <c r="B345" s="32" t="s">
        <v>166</v>
      </c>
      <c r="C345" s="34">
        <v>12271</v>
      </c>
      <c r="D345" s="34" t="s">
        <v>13</v>
      </c>
      <c r="E345" s="34">
        <v>4</v>
      </c>
      <c r="F345" s="35">
        <v>40102</v>
      </c>
      <c r="G345" s="35">
        <v>45384</v>
      </c>
      <c r="H345" s="34" t="s">
        <v>14</v>
      </c>
      <c r="I345" s="34" t="s">
        <v>79</v>
      </c>
    </row>
    <row r="346" spans="1:9" ht="14.4">
      <c r="A346" s="36">
        <v>1545</v>
      </c>
      <c r="B346" s="33" t="s">
        <v>166</v>
      </c>
      <c r="C346" s="36">
        <v>12272</v>
      </c>
      <c r="D346" s="36" t="s">
        <v>13</v>
      </c>
      <c r="E346" s="36">
        <v>3</v>
      </c>
      <c r="F346" s="37">
        <v>40102</v>
      </c>
      <c r="G346" s="37">
        <v>45384</v>
      </c>
      <c r="H346" s="36" t="s">
        <v>14</v>
      </c>
      <c r="I346" s="36" t="s">
        <v>79</v>
      </c>
    </row>
    <row r="347" spans="1:9" ht="14.4">
      <c r="A347" s="34">
        <v>1546</v>
      </c>
      <c r="B347" s="32" t="s">
        <v>166</v>
      </c>
      <c r="C347" s="34">
        <v>12273</v>
      </c>
      <c r="D347" s="34" t="s">
        <v>13</v>
      </c>
      <c r="E347" s="34">
        <v>4</v>
      </c>
      <c r="F347" s="35">
        <v>40507</v>
      </c>
      <c r="G347" s="35">
        <v>45384</v>
      </c>
      <c r="H347" s="34" t="s">
        <v>14</v>
      </c>
      <c r="I347" s="34" t="s">
        <v>79</v>
      </c>
    </row>
    <row r="348" spans="1:9" ht="14.4">
      <c r="A348" s="36">
        <v>1547</v>
      </c>
      <c r="B348" s="33" t="s">
        <v>43</v>
      </c>
      <c r="C348" s="36">
        <v>12274</v>
      </c>
      <c r="D348" s="36" t="s">
        <v>13</v>
      </c>
      <c r="E348" s="36">
        <v>22</v>
      </c>
      <c r="F348" s="37">
        <v>40102</v>
      </c>
      <c r="G348" s="37">
        <v>45384</v>
      </c>
      <c r="H348" s="36" t="s">
        <v>14</v>
      </c>
      <c r="I348" s="36" t="s">
        <v>79</v>
      </c>
    </row>
    <row r="349" spans="1:9" ht="14.4">
      <c r="A349" s="34">
        <v>1548</v>
      </c>
      <c r="B349" s="32" t="s">
        <v>43</v>
      </c>
      <c r="C349" s="34">
        <v>12275</v>
      </c>
      <c r="D349" s="34" t="s">
        <v>13</v>
      </c>
      <c r="E349" s="34">
        <v>1</v>
      </c>
      <c r="F349" s="35">
        <v>40102</v>
      </c>
      <c r="G349" s="35">
        <v>45384</v>
      </c>
      <c r="H349" s="34" t="s">
        <v>14</v>
      </c>
      <c r="I349" s="34" t="s">
        <v>79</v>
      </c>
    </row>
    <row r="350" spans="1:9" ht="14.4">
      <c r="A350" s="36">
        <v>1549</v>
      </c>
      <c r="B350" s="33" t="s">
        <v>43</v>
      </c>
      <c r="C350" s="36">
        <v>12276</v>
      </c>
      <c r="D350" s="36" t="s">
        <v>13</v>
      </c>
      <c r="E350" s="36">
        <v>62</v>
      </c>
      <c r="F350" s="37">
        <v>40102</v>
      </c>
      <c r="G350" s="37">
        <v>45384</v>
      </c>
      <c r="H350" s="36" t="s">
        <v>14</v>
      </c>
      <c r="I350" s="36" t="s">
        <v>79</v>
      </c>
    </row>
    <row r="351" spans="1:9" ht="14.4">
      <c r="A351" s="34">
        <v>1550</v>
      </c>
      <c r="B351" s="32" t="s">
        <v>166</v>
      </c>
      <c r="C351" s="34">
        <v>12277</v>
      </c>
      <c r="D351" s="34" t="s">
        <v>13</v>
      </c>
      <c r="E351" s="34">
        <v>3</v>
      </c>
      <c r="F351" s="35">
        <v>40102</v>
      </c>
      <c r="G351" s="35">
        <v>45384</v>
      </c>
      <c r="H351" s="34" t="s">
        <v>14</v>
      </c>
      <c r="I351" s="34" t="s">
        <v>79</v>
      </c>
    </row>
    <row r="352" spans="1:9" ht="14.4">
      <c r="A352" s="36">
        <v>1554</v>
      </c>
      <c r="B352" s="33" t="s">
        <v>177</v>
      </c>
      <c r="C352" s="36">
        <v>12329</v>
      </c>
      <c r="D352" s="36" t="s">
        <v>13</v>
      </c>
      <c r="E352" s="36">
        <v>5</v>
      </c>
      <c r="F352" s="37">
        <v>40617</v>
      </c>
      <c r="G352" s="37">
        <v>51574</v>
      </c>
      <c r="H352" s="36" t="s">
        <v>59</v>
      </c>
      <c r="I352" s="36" t="s">
        <v>79</v>
      </c>
    </row>
    <row r="353" spans="1:9" ht="14.4">
      <c r="A353" s="34">
        <v>1555</v>
      </c>
      <c r="B353" s="32" t="s">
        <v>177</v>
      </c>
      <c r="C353" s="34">
        <v>12330</v>
      </c>
      <c r="D353" s="34" t="s">
        <v>13</v>
      </c>
      <c r="E353" s="34">
        <v>4</v>
      </c>
      <c r="F353" s="35">
        <v>40617</v>
      </c>
      <c r="G353" s="35">
        <v>51574</v>
      </c>
      <c r="H353" s="34" t="s">
        <v>59</v>
      </c>
      <c r="I353" s="34" t="s">
        <v>79</v>
      </c>
    </row>
    <row r="354" spans="1:9" ht="14.4">
      <c r="A354" s="36">
        <v>1557</v>
      </c>
      <c r="B354" s="33" t="s">
        <v>47</v>
      </c>
      <c r="C354" s="36">
        <v>12336</v>
      </c>
      <c r="D354" s="36" t="s">
        <v>18</v>
      </c>
      <c r="E354" s="36">
        <v>98</v>
      </c>
      <c r="F354" s="37">
        <v>42767</v>
      </c>
      <c r="G354" s="37">
        <v>46418</v>
      </c>
      <c r="H354" s="36" t="s">
        <v>16</v>
      </c>
      <c r="I354" s="36" t="s">
        <v>79</v>
      </c>
    </row>
    <row r="355" spans="1:9" ht="14.4">
      <c r="A355" s="34">
        <v>1558</v>
      </c>
      <c r="B355" s="32" t="s">
        <v>178</v>
      </c>
      <c r="C355" s="34">
        <v>12337</v>
      </c>
      <c r="D355" s="34" t="s">
        <v>13</v>
      </c>
      <c r="E355" s="34">
        <v>12</v>
      </c>
      <c r="F355" s="35">
        <v>43336</v>
      </c>
      <c r="G355" s="35">
        <v>52466</v>
      </c>
      <c r="H355" s="34" t="s">
        <v>16</v>
      </c>
      <c r="I355" s="34" t="s">
        <v>79</v>
      </c>
    </row>
    <row r="356" spans="1:9" ht="14.4">
      <c r="A356" s="36">
        <v>1562</v>
      </c>
      <c r="B356" s="33" t="s">
        <v>179</v>
      </c>
      <c r="C356" s="36">
        <v>12355</v>
      </c>
      <c r="D356" s="36" t="s">
        <v>13</v>
      </c>
      <c r="E356" s="36">
        <v>60</v>
      </c>
      <c r="F356" s="37">
        <v>43277</v>
      </c>
      <c r="G356" s="37">
        <v>54234</v>
      </c>
      <c r="H356" s="36" t="s">
        <v>14</v>
      </c>
      <c r="I356" s="36" t="s">
        <v>79</v>
      </c>
    </row>
    <row r="357" spans="1:9" ht="14.4">
      <c r="A357" s="34">
        <v>1574</v>
      </c>
      <c r="B357" s="32" t="s">
        <v>180</v>
      </c>
      <c r="C357" s="34">
        <v>12386</v>
      </c>
      <c r="D357" s="34" t="s">
        <v>13</v>
      </c>
      <c r="E357" s="34">
        <v>2</v>
      </c>
      <c r="F357" s="35">
        <v>43510</v>
      </c>
      <c r="G357" s="35">
        <v>52640</v>
      </c>
      <c r="H357" s="34" t="s">
        <v>59</v>
      </c>
      <c r="I357" s="34" t="s">
        <v>79</v>
      </c>
    </row>
    <row r="358" spans="1:9" ht="14.4">
      <c r="A358" s="36">
        <v>1575</v>
      </c>
      <c r="B358" s="33" t="s">
        <v>180</v>
      </c>
      <c r="C358" s="36">
        <v>12387</v>
      </c>
      <c r="D358" s="36" t="s">
        <v>13</v>
      </c>
      <c r="E358" s="36">
        <v>2</v>
      </c>
      <c r="F358" s="37">
        <v>43510</v>
      </c>
      <c r="G358" s="37">
        <v>52640</v>
      </c>
      <c r="H358" s="36" t="s">
        <v>59</v>
      </c>
      <c r="I358" s="36" t="s">
        <v>79</v>
      </c>
    </row>
    <row r="359" spans="1:9" ht="14.4">
      <c r="A359" s="34">
        <v>1580</v>
      </c>
      <c r="B359" s="32" t="s">
        <v>181</v>
      </c>
      <c r="C359" s="34">
        <v>12423</v>
      </c>
      <c r="D359" s="34" t="s">
        <v>13</v>
      </c>
      <c r="E359" s="34">
        <v>6</v>
      </c>
      <c r="F359" s="35">
        <v>43179</v>
      </c>
      <c r="G359" s="35">
        <v>54136</v>
      </c>
      <c r="H359" s="34" t="s">
        <v>16</v>
      </c>
      <c r="I359" s="34" t="s">
        <v>79</v>
      </c>
    </row>
    <row r="360" spans="1:9" ht="14.4">
      <c r="A360" s="36">
        <v>1584</v>
      </c>
      <c r="B360" s="33" t="s">
        <v>182</v>
      </c>
      <c r="C360" s="36">
        <v>12434</v>
      </c>
      <c r="D360" s="36" t="s">
        <v>13</v>
      </c>
      <c r="E360" s="36">
        <v>7</v>
      </c>
      <c r="F360" s="37">
        <v>45386</v>
      </c>
      <c r="G360" s="37">
        <v>49779</v>
      </c>
      <c r="H360" s="36" t="s">
        <v>14</v>
      </c>
      <c r="I360" s="36" t="s">
        <v>79</v>
      </c>
    </row>
    <row r="361" spans="1:9" ht="14.4">
      <c r="A361" s="34">
        <v>1585</v>
      </c>
      <c r="B361" s="32" t="s">
        <v>184</v>
      </c>
      <c r="C361" s="34">
        <v>12436</v>
      </c>
      <c r="D361" s="34" t="s">
        <v>13</v>
      </c>
      <c r="E361" s="34">
        <v>192</v>
      </c>
      <c r="F361" s="35">
        <v>44146</v>
      </c>
      <c r="G361" s="35">
        <v>53276</v>
      </c>
      <c r="H361" s="34" t="s">
        <v>59</v>
      </c>
      <c r="I361" s="34" t="s">
        <v>79</v>
      </c>
    </row>
    <row r="362" spans="1:9" ht="14.4">
      <c r="A362" s="36">
        <v>1593</v>
      </c>
      <c r="B362" s="33" t="s">
        <v>185</v>
      </c>
      <c r="C362" s="36">
        <v>12449</v>
      </c>
      <c r="D362" s="36" t="s">
        <v>13</v>
      </c>
      <c r="E362" s="36">
        <v>180</v>
      </c>
      <c r="F362" s="37">
        <v>44146</v>
      </c>
      <c r="G362" s="37">
        <v>53276</v>
      </c>
      <c r="H362" s="36" t="s">
        <v>59</v>
      </c>
      <c r="I362" s="36" t="s">
        <v>79</v>
      </c>
    </row>
    <row r="363" spans="1:9" ht="14.4">
      <c r="A363" s="34">
        <v>1594</v>
      </c>
      <c r="B363" s="32" t="s">
        <v>184</v>
      </c>
      <c r="C363" s="34">
        <v>12450</v>
      </c>
      <c r="D363" s="34" t="s">
        <v>13</v>
      </c>
      <c r="E363" s="34">
        <v>151</v>
      </c>
      <c r="F363" s="35">
        <v>44146</v>
      </c>
      <c r="G363" s="35">
        <v>53276</v>
      </c>
      <c r="H363" s="34" t="s">
        <v>70</v>
      </c>
      <c r="I363" s="34" t="s">
        <v>79</v>
      </c>
    </row>
    <row r="364" spans="1:9" ht="14.4">
      <c r="A364" s="36">
        <v>1596</v>
      </c>
      <c r="B364" s="33" t="s">
        <v>186</v>
      </c>
      <c r="C364" s="36">
        <v>12453</v>
      </c>
      <c r="D364" s="36" t="s">
        <v>13</v>
      </c>
      <c r="E364" s="36">
        <v>372</v>
      </c>
      <c r="F364" s="37">
        <v>43543</v>
      </c>
      <c r="G364" s="37">
        <v>52674</v>
      </c>
      <c r="H364" s="36" t="s">
        <v>59</v>
      </c>
      <c r="I364" s="36" t="s">
        <v>79</v>
      </c>
    </row>
    <row r="365" spans="1:9" ht="14.4">
      <c r="A365" s="34">
        <v>1597</v>
      </c>
      <c r="B365" s="32" t="s">
        <v>186</v>
      </c>
      <c r="C365" s="34">
        <v>12457</v>
      </c>
      <c r="D365" s="34" t="s">
        <v>13</v>
      </c>
      <c r="E365" s="34">
        <v>360</v>
      </c>
      <c r="F365" s="35">
        <v>42115</v>
      </c>
      <c r="G365" s="35">
        <v>53072</v>
      </c>
      <c r="H365" s="34" t="s">
        <v>14</v>
      </c>
      <c r="I365" s="34" t="s">
        <v>79</v>
      </c>
    </row>
    <row r="366" spans="1:9" ht="14.4">
      <c r="A366" s="36">
        <v>1602</v>
      </c>
      <c r="B366" s="33" t="s">
        <v>187</v>
      </c>
      <c r="C366" s="36">
        <v>12469</v>
      </c>
      <c r="D366" s="36" t="s">
        <v>13</v>
      </c>
      <c r="E366" s="36">
        <v>73</v>
      </c>
      <c r="F366" s="37">
        <v>42296</v>
      </c>
      <c r="G366" s="37">
        <v>53253</v>
      </c>
      <c r="H366" s="36" t="s">
        <v>14</v>
      </c>
      <c r="I366" s="36" t="s">
        <v>79</v>
      </c>
    </row>
    <row r="367" spans="1:9" ht="14.4">
      <c r="A367" s="34">
        <v>1604</v>
      </c>
      <c r="B367" s="32" t="s">
        <v>15</v>
      </c>
      <c r="C367" s="34">
        <v>12489</v>
      </c>
      <c r="D367" s="34" t="s">
        <v>13</v>
      </c>
      <c r="E367" s="34">
        <v>14</v>
      </c>
      <c r="F367" s="35">
        <v>40801</v>
      </c>
      <c r="G367" s="35">
        <v>51758</v>
      </c>
      <c r="H367" s="34" t="s">
        <v>16</v>
      </c>
      <c r="I367" s="34" t="s">
        <v>79</v>
      </c>
    </row>
    <row r="368" spans="1:9" ht="14.4">
      <c r="A368" s="36">
        <v>1608</v>
      </c>
      <c r="B368" s="33" t="s">
        <v>188</v>
      </c>
      <c r="C368" s="36">
        <v>12517</v>
      </c>
      <c r="D368" s="36" t="s">
        <v>13</v>
      </c>
      <c r="E368" s="36">
        <v>2</v>
      </c>
      <c r="F368" s="37">
        <v>40634</v>
      </c>
      <c r="G368" s="37">
        <v>51591</v>
      </c>
      <c r="H368" s="36" t="s">
        <v>14</v>
      </c>
      <c r="I368" s="36" t="s">
        <v>79</v>
      </c>
    </row>
    <row r="369" spans="1:9" ht="14.4">
      <c r="A369" s="34">
        <v>1609</v>
      </c>
      <c r="B369" s="32" t="s">
        <v>47</v>
      </c>
      <c r="C369" s="34">
        <v>12518</v>
      </c>
      <c r="D369" s="34" t="s">
        <v>18</v>
      </c>
      <c r="E369" s="34">
        <v>75</v>
      </c>
      <c r="F369" s="35">
        <v>42767</v>
      </c>
      <c r="G369" s="35">
        <v>46418</v>
      </c>
      <c r="H369" s="34" t="s">
        <v>16</v>
      </c>
      <c r="I369" s="34" t="s">
        <v>79</v>
      </c>
    </row>
    <row r="370" spans="1:9" ht="14.4">
      <c r="A370" s="36">
        <v>1610</v>
      </c>
      <c r="B370" s="33" t="s">
        <v>43</v>
      </c>
      <c r="C370" s="36">
        <v>12519</v>
      </c>
      <c r="D370" s="36" t="s">
        <v>21</v>
      </c>
      <c r="E370" s="36">
        <v>3</v>
      </c>
      <c r="F370" s="37">
        <v>44095</v>
      </c>
      <c r="G370" s="37">
        <v>45920</v>
      </c>
      <c r="H370" s="36" t="s">
        <v>16</v>
      </c>
      <c r="I370" s="36" t="s">
        <v>79</v>
      </c>
    </row>
    <row r="371" spans="1:9" ht="14.4">
      <c r="A371" s="34">
        <v>1611</v>
      </c>
      <c r="B371" s="32" t="s">
        <v>43</v>
      </c>
      <c r="C371" s="34">
        <v>12520</v>
      </c>
      <c r="D371" s="34" t="s">
        <v>21</v>
      </c>
      <c r="E371" s="34">
        <v>3</v>
      </c>
      <c r="F371" s="35">
        <v>44095</v>
      </c>
      <c r="G371" s="35">
        <v>45920</v>
      </c>
      <c r="H371" s="34" t="s">
        <v>16</v>
      </c>
      <c r="I371" s="34" t="s">
        <v>79</v>
      </c>
    </row>
    <row r="372" spans="1:9" ht="14.4">
      <c r="A372" s="36">
        <v>1612</v>
      </c>
      <c r="B372" s="33" t="s">
        <v>43</v>
      </c>
      <c r="C372" s="36">
        <v>12522</v>
      </c>
      <c r="D372" s="36" t="s">
        <v>21</v>
      </c>
      <c r="E372" s="36">
        <v>3</v>
      </c>
      <c r="F372" s="37">
        <v>44095</v>
      </c>
      <c r="G372" s="37">
        <v>45920</v>
      </c>
      <c r="H372" s="36" t="s">
        <v>16</v>
      </c>
      <c r="I372" s="36" t="s">
        <v>79</v>
      </c>
    </row>
    <row r="373" spans="1:9" ht="14.4">
      <c r="A373" s="34">
        <v>1615</v>
      </c>
      <c r="B373" s="32" t="s">
        <v>86</v>
      </c>
      <c r="C373" s="34">
        <v>12548</v>
      </c>
      <c r="D373" s="34" t="s">
        <v>13</v>
      </c>
      <c r="E373" s="34">
        <v>67</v>
      </c>
      <c r="F373" s="35">
        <v>40978</v>
      </c>
      <c r="G373" s="35">
        <v>51934</v>
      </c>
      <c r="H373" s="34" t="s">
        <v>14</v>
      </c>
      <c r="I373" s="34" t="s">
        <v>79</v>
      </c>
    </row>
    <row r="374" spans="1:9" ht="14.4">
      <c r="A374" s="36">
        <v>1616</v>
      </c>
      <c r="B374" s="33" t="s">
        <v>180</v>
      </c>
      <c r="C374" s="36">
        <v>12562</v>
      </c>
      <c r="D374" s="36" t="s">
        <v>13</v>
      </c>
      <c r="E374" s="36">
        <v>62</v>
      </c>
      <c r="F374" s="37">
        <v>41401</v>
      </c>
      <c r="G374" s="37">
        <v>52357</v>
      </c>
      <c r="H374" s="36" t="s">
        <v>59</v>
      </c>
      <c r="I374" s="36" t="s">
        <v>79</v>
      </c>
    </row>
    <row r="375" spans="1:9" ht="14.4">
      <c r="A375" s="34">
        <v>1624</v>
      </c>
      <c r="B375" s="32" t="s">
        <v>122</v>
      </c>
      <c r="C375" s="34">
        <v>12606</v>
      </c>
      <c r="D375" s="34" t="s">
        <v>13</v>
      </c>
      <c r="E375" s="34">
        <v>99</v>
      </c>
      <c r="F375" s="35">
        <v>40882</v>
      </c>
      <c r="G375" s="35">
        <v>51839</v>
      </c>
      <c r="H375" s="34" t="s">
        <v>59</v>
      </c>
      <c r="I375" s="34" t="s">
        <v>79</v>
      </c>
    </row>
    <row r="376" spans="1:9" ht="14.4">
      <c r="A376" s="36">
        <v>1628</v>
      </c>
      <c r="B376" s="33" t="s">
        <v>189</v>
      </c>
      <c r="C376" s="36">
        <v>12623</v>
      </c>
      <c r="D376" s="36" t="s">
        <v>13</v>
      </c>
      <c r="E376" s="36">
        <v>10</v>
      </c>
      <c r="F376" s="37">
        <v>42259</v>
      </c>
      <c r="G376" s="37">
        <v>53216</v>
      </c>
      <c r="H376" s="36" t="s">
        <v>16</v>
      </c>
      <c r="I376" s="36" t="s">
        <v>79</v>
      </c>
    </row>
    <row r="377" spans="1:9" ht="14.4">
      <c r="A377" s="34">
        <v>1632</v>
      </c>
      <c r="B377" s="32" t="s">
        <v>190</v>
      </c>
      <c r="C377" s="34">
        <v>12659</v>
      </c>
      <c r="D377" s="34" t="s">
        <v>21</v>
      </c>
      <c r="E377" s="34">
        <v>5</v>
      </c>
      <c r="F377" s="35">
        <v>44789</v>
      </c>
      <c r="G377" s="35">
        <v>46614</v>
      </c>
      <c r="H377" s="34" t="s">
        <v>22</v>
      </c>
      <c r="I377" s="34" t="s">
        <v>79</v>
      </c>
    </row>
    <row r="378" spans="1:9" ht="14.4">
      <c r="A378" s="36">
        <v>1633</v>
      </c>
      <c r="B378" s="33" t="s">
        <v>190</v>
      </c>
      <c r="C378" s="36">
        <v>12660</v>
      </c>
      <c r="D378" s="36" t="s">
        <v>21</v>
      </c>
      <c r="E378" s="36">
        <v>5</v>
      </c>
      <c r="F378" s="37">
        <v>44789</v>
      </c>
      <c r="G378" s="37">
        <v>46614</v>
      </c>
      <c r="H378" s="36" t="s">
        <v>22</v>
      </c>
      <c r="I378" s="36" t="s">
        <v>79</v>
      </c>
    </row>
    <row r="379" spans="1:9" ht="14.4">
      <c r="A379" s="34">
        <v>1634</v>
      </c>
      <c r="B379" s="32" t="s">
        <v>190</v>
      </c>
      <c r="C379" s="34">
        <v>12662</v>
      </c>
      <c r="D379" s="34" t="s">
        <v>21</v>
      </c>
      <c r="E379" s="34">
        <v>5</v>
      </c>
      <c r="F379" s="35">
        <v>44809</v>
      </c>
      <c r="G379" s="35">
        <v>46634</v>
      </c>
      <c r="H379" s="34" t="s">
        <v>22</v>
      </c>
      <c r="I379" s="34" t="s">
        <v>79</v>
      </c>
    </row>
    <row r="380" spans="1:9" ht="14.4">
      <c r="A380" s="36">
        <v>1635</v>
      </c>
      <c r="B380" s="33" t="s">
        <v>190</v>
      </c>
      <c r="C380" s="36">
        <v>12663</v>
      </c>
      <c r="D380" s="36" t="s">
        <v>21</v>
      </c>
      <c r="E380" s="36">
        <v>5</v>
      </c>
      <c r="F380" s="37">
        <v>44789</v>
      </c>
      <c r="G380" s="37">
        <v>46614</v>
      </c>
      <c r="H380" s="36" t="s">
        <v>22</v>
      </c>
      <c r="I380" s="36" t="s">
        <v>79</v>
      </c>
    </row>
    <row r="381" spans="1:9" ht="14.4">
      <c r="A381" s="34">
        <v>1636</v>
      </c>
      <c r="B381" s="32" t="s">
        <v>190</v>
      </c>
      <c r="C381" s="34">
        <v>12664</v>
      </c>
      <c r="D381" s="34" t="s">
        <v>21</v>
      </c>
      <c r="E381" s="34">
        <v>5</v>
      </c>
      <c r="F381" s="35">
        <v>44789</v>
      </c>
      <c r="G381" s="35">
        <v>46614</v>
      </c>
      <c r="H381" s="34" t="s">
        <v>22</v>
      </c>
      <c r="I381" s="34" t="s">
        <v>79</v>
      </c>
    </row>
    <row r="382" spans="1:9" ht="14.4">
      <c r="A382" s="36">
        <v>1637</v>
      </c>
      <c r="B382" s="33" t="s">
        <v>190</v>
      </c>
      <c r="C382" s="36">
        <v>12665</v>
      </c>
      <c r="D382" s="36" t="s">
        <v>21</v>
      </c>
      <c r="E382" s="36">
        <v>5</v>
      </c>
      <c r="F382" s="37">
        <v>44789</v>
      </c>
      <c r="G382" s="37">
        <v>46614</v>
      </c>
      <c r="H382" s="36" t="s">
        <v>22</v>
      </c>
      <c r="I382" s="36" t="s">
        <v>79</v>
      </c>
    </row>
    <row r="383" spans="1:9" ht="14.4">
      <c r="A383" s="34">
        <v>1642</v>
      </c>
      <c r="B383" s="32" t="s">
        <v>27</v>
      </c>
      <c r="C383" s="34">
        <v>12688</v>
      </c>
      <c r="D383" s="34" t="s">
        <v>18</v>
      </c>
      <c r="E383" s="34">
        <v>176</v>
      </c>
      <c r="F383" s="35">
        <v>44664</v>
      </c>
      <c r="G383" s="35">
        <v>46489</v>
      </c>
      <c r="H383" s="34" t="s">
        <v>14</v>
      </c>
      <c r="I383" s="34" t="s">
        <v>79</v>
      </c>
    </row>
    <row r="384" spans="1:9" ht="14.4">
      <c r="A384" s="36">
        <v>1643</v>
      </c>
      <c r="B384" s="33" t="s">
        <v>27</v>
      </c>
      <c r="C384" s="36">
        <v>12689</v>
      </c>
      <c r="D384" s="36" t="s">
        <v>18</v>
      </c>
      <c r="E384" s="36">
        <v>116</v>
      </c>
      <c r="F384" s="37">
        <v>44664</v>
      </c>
      <c r="G384" s="37">
        <v>46489</v>
      </c>
      <c r="H384" s="36" t="s">
        <v>14</v>
      </c>
      <c r="I384" s="36" t="s">
        <v>79</v>
      </c>
    </row>
    <row r="385" spans="1:9" ht="14.4">
      <c r="A385" s="34">
        <v>1650</v>
      </c>
      <c r="B385" s="32" t="s">
        <v>177</v>
      </c>
      <c r="C385" s="34">
        <v>12713</v>
      </c>
      <c r="D385" s="34" t="s">
        <v>13</v>
      </c>
      <c r="E385" s="34">
        <v>54</v>
      </c>
      <c r="F385" s="35">
        <v>40956</v>
      </c>
      <c r="G385" s="35">
        <v>51913</v>
      </c>
      <c r="H385" s="34" t="s">
        <v>59</v>
      </c>
      <c r="I385" s="34" t="s">
        <v>79</v>
      </c>
    </row>
    <row r="386" spans="1:9" ht="14.4">
      <c r="A386" s="36">
        <v>1652</v>
      </c>
      <c r="B386" s="33" t="s">
        <v>155</v>
      </c>
      <c r="C386" s="36">
        <v>12717</v>
      </c>
      <c r="D386" s="36" t="s">
        <v>13</v>
      </c>
      <c r="E386" s="36">
        <v>51</v>
      </c>
      <c r="F386" s="37">
        <v>42830</v>
      </c>
      <c r="G386" s="37">
        <v>53786</v>
      </c>
      <c r="H386" s="36" t="s">
        <v>16</v>
      </c>
      <c r="I386" s="36" t="s">
        <v>79</v>
      </c>
    </row>
    <row r="387" spans="1:9" ht="14.4">
      <c r="A387" s="34">
        <v>1660</v>
      </c>
      <c r="B387" s="32" t="s">
        <v>15</v>
      </c>
      <c r="C387" s="34">
        <v>12745</v>
      </c>
      <c r="D387" s="34" t="s">
        <v>13</v>
      </c>
      <c r="E387" s="34">
        <v>137</v>
      </c>
      <c r="F387" s="35">
        <v>42949</v>
      </c>
      <c r="G387" s="35">
        <v>53905</v>
      </c>
      <c r="H387" s="34" t="s">
        <v>59</v>
      </c>
      <c r="I387" s="34" t="s">
        <v>79</v>
      </c>
    </row>
    <row r="388" spans="1:9" ht="14.4">
      <c r="A388" s="36">
        <v>1662</v>
      </c>
      <c r="B388" s="33" t="s">
        <v>191</v>
      </c>
      <c r="C388" s="36">
        <v>12850</v>
      </c>
      <c r="D388" s="36" t="s">
        <v>13</v>
      </c>
      <c r="E388" s="36">
        <v>223</v>
      </c>
      <c r="F388" s="37">
        <v>44194</v>
      </c>
      <c r="G388" s="37">
        <v>53324</v>
      </c>
      <c r="H388" s="36" t="s">
        <v>14</v>
      </c>
      <c r="I388" s="36" t="s">
        <v>79</v>
      </c>
    </row>
    <row r="389" spans="1:9" ht="14.4">
      <c r="A389" s="34">
        <v>1663</v>
      </c>
      <c r="B389" s="32" t="s">
        <v>191</v>
      </c>
      <c r="C389" s="34">
        <v>12851</v>
      </c>
      <c r="D389" s="34" t="s">
        <v>13</v>
      </c>
      <c r="E389" s="34">
        <v>172</v>
      </c>
      <c r="F389" s="35">
        <v>44194</v>
      </c>
      <c r="G389" s="35">
        <v>53324</v>
      </c>
      <c r="H389" s="34" t="s">
        <v>14</v>
      </c>
      <c r="I389" s="34" t="s">
        <v>79</v>
      </c>
    </row>
    <row r="390" spans="1:9" ht="14.4">
      <c r="A390" s="36">
        <v>1666</v>
      </c>
      <c r="B390" s="33" t="s">
        <v>192</v>
      </c>
      <c r="C390" s="36">
        <v>12873</v>
      </c>
      <c r="D390" s="36" t="s">
        <v>13</v>
      </c>
      <c r="E390" s="36">
        <v>62</v>
      </c>
      <c r="F390" s="37">
        <v>41141</v>
      </c>
      <c r="G390" s="37">
        <v>52097</v>
      </c>
      <c r="H390" s="36" t="s">
        <v>16</v>
      </c>
      <c r="I390" s="36" t="s">
        <v>79</v>
      </c>
    </row>
    <row r="391" spans="1:9" ht="14.4">
      <c r="A391" s="34">
        <v>1667</v>
      </c>
      <c r="B391" s="32" t="s">
        <v>193</v>
      </c>
      <c r="C391" s="34">
        <v>12894</v>
      </c>
      <c r="D391" s="34" t="s">
        <v>18</v>
      </c>
      <c r="E391" s="34">
        <v>310</v>
      </c>
      <c r="F391" s="35">
        <v>41358</v>
      </c>
      <c r="G391" s="35">
        <v>43183</v>
      </c>
      <c r="H391" s="34" t="s">
        <v>16</v>
      </c>
      <c r="I391" s="34" t="s">
        <v>79</v>
      </c>
    </row>
    <row r="392" spans="1:9" ht="14.4">
      <c r="A392" s="36">
        <v>1682</v>
      </c>
      <c r="B392" s="33" t="s">
        <v>192</v>
      </c>
      <c r="C392" s="36">
        <v>13025</v>
      </c>
      <c r="D392" s="36" t="s">
        <v>13</v>
      </c>
      <c r="E392" s="36">
        <v>204</v>
      </c>
      <c r="F392" s="37">
        <v>41141</v>
      </c>
      <c r="G392" s="37">
        <v>52097</v>
      </c>
      <c r="H392" s="36" t="s">
        <v>16</v>
      </c>
      <c r="I392" s="36" t="s">
        <v>79</v>
      </c>
    </row>
    <row r="393" spans="1:9" ht="14.4">
      <c r="A393" s="34">
        <v>1683</v>
      </c>
      <c r="B393" s="32" t="s">
        <v>192</v>
      </c>
      <c r="C393" s="34">
        <v>13026</v>
      </c>
      <c r="D393" s="34" t="s">
        <v>13</v>
      </c>
      <c r="E393" s="34">
        <v>202</v>
      </c>
      <c r="F393" s="35">
        <v>41141</v>
      </c>
      <c r="G393" s="35">
        <v>52097</v>
      </c>
      <c r="H393" s="34" t="s">
        <v>16</v>
      </c>
      <c r="I393" s="34" t="s">
        <v>79</v>
      </c>
    </row>
    <row r="394" spans="1:9" ht="14.4">
      <c r="A394" s="36">
        <v>1686</v>
      </c>
      <c r="B394" s="33" t="s">
        <v>194</v>
      </c>
      <c r="C394" s="36">
        <v>13065</v>
      </c>
      <c r="D394" s="36" t="s">
        <v>13</v>
      </c>
      <c r="E394" s="36">
        <v>177</v>
      </c>
      <c r="F394" s="37">
        <v>41536</v>
      </c>
      <c r="G394" s="37">
        <v>52492</v>
      </c>
      <c r="H394" s="36" t="s">
        <v>70</v>
      </c>
      <c r="I394" s="36" t="s">
        <v>79</v>
      </c>
    </row>
    <row r="395" spans="1:9" ht="14.4">
      <c r="A395" s="34">
        <v>1688</v>
      </c>
      <c r="B395" s="32" t="s">
        <v>195</v>
      </c>
      <c r="C395" s="34">
        <v>13076</v>
      </c>
      <c r="D395" s="34" t="s">
        <v>30</v>
      </c>
      <c r="E395" s="34">
        <v>57</v>
      </c>
      <c r="F395" s="35">
        <v>44662</v>
      </c>
      <c r="G395" s="35">
        <v>46578</v>
      </c>
      <c r="H395" s="34" t="s">
        <v>84</v>
      </c>
      <c r="I395" s="34" t="s">
        <v>79</v>
      </c>
    </row>
    <row r="396" spans="1:9" ht="14.4">
      <c r="A396" s="36">
        <v>1689</v>
      </c>
      <c r="B396" s="33" t="s">
        <v>141</v>
      </c>
      <c r="C396" s="36">
        <v>13079</v>
      </c>
      <c r="D396" s="36" t="s">
        <v>30</v>
      </c>
      <c r="E396" s="36">
        <v>3</v>
      </c>
      <c r="F396" s="37">
        <v>43142</v>
      </c>
      <c r="G396" s="37">
        <v>44967</v>
      </c>
      <c r="H396" s="36" t="s">
        <v>14</v>
      </c>
      <c r="I396" s="36" t="s">
        <v>79</v>
      </c>
    </row>
    <row r="397" spans="1:9" ht="14.4">
      <c r="A397" s="34">
        <v>1690</v>
      </c>
      <c r="B397" s="32" t="s">
        <v>196</v>
      </c>
      <c r="C397" s="34">
        <v>13080</v>
      </c>
      <c r="D397" s="34" t="s">
        <v>13</v>
      </c>
      <c r="E397" s="34">
        <v>187</v>
      </c>
      <c r="F397" s="35">
        <v>41121</v>
      </c>
      <c r="G397" s="35">
        <v>52077</v>
      </c>
      <c r="H397" s="34" t="s">
        <v>14</v>
      </c>
      <c r="I397" s="34" t="s">
        <v>79</v>
      </c>
    </row>
    <row r="398" spans="1:9" ht="14.4">
      <c r="A398" s="36">
        <v>1691</v>
      </c>
      <c r="B398" s="33" t="s">
        <v>197</v>
      </c>
      <c r="C398" s="36">
        <v>13081</v>
      </c>
      <c r="D398" s="36" t="s">
        <v>13</v>
      </c>
      <c r="E398" s="36">
        <v>44</v>
      </c>
      <c r="F398" s="37">
        <v>41299</v>
      </c>
      <c r="G398" s="37">
        <v>52286</v>
      </c>
      <c r="H398" s="36" t="s">
        <v>70</v>
      </c>
      <c r="I398" s="36" t="s">
        <v>79</v>
      </c>
    </row>
    <row r="399" spans="1:9" ht="14.4">
      <c r="A399" s="34">
        <v>1693</v>
      </c>
      <c r="B399" s="32" t="s">
        <v>102</v>
      </c>
      <c r="C399" s="34">
        <v>13083</v>
      </c>
      <c r="D399" s="34" t="s">
        <v>13</v>
      </c>
      <c r="E399" s="34">
        <v>4</v>
      </c>
      <c r="F399" s="35">
        <v>41247</v>
      </c>
      <c r="G399" s="35">
        <v>45385</v>
      </c>
      <c r="H399" s="34" t="s">
        <v>16</v>
      </c>
      <c r="I399" s="34" t="s">
        <v>79</v>
      </c>
    </row>
    <row r="400" spans="1:9" ht="14.4">
      <c r="A400" s="36">
        <v>1694</v>
      </c>
      <c r="B400" s="33" t="s">
        <v>198</v>
      </c>
      <c r="C400" s="36">
        <v>13085</v>
      </c>
      <c r="D400" s="36" t="s">
        <v>13</v>
      </c>
      <c r="E400" s="36">
        <v>33</v>
      </c>
      <c r="F400" s="37">
        <v>41482</v>
      </c>
      <c r="G400" s="37">
        <v>52438</v>
      </c>
      <c r="H400" s="36" t="s">
        <v>14</v>
      </c>
      <c r="I400" s="36" t="s">
        <v>79</v>
      </c>
    </row>
    <row r="401" spans="1:9" ht="14.4">
      <c r="A401" s="34">
        <v>1696</v>
      </c>
      <c r="B401" s="32" t="s">
        <v>180</v>
      </c>
      <c r="C401" s="34">
        <v>13089</v>
      </c>
      <c r="D401" s="34" t="s">
        <v>13</v>
      </c>
      <c r="E401" s="34">
        <v>16</v>
      </c>
      <c r="F401" s="35">
        <v>43377</v>
      </c>
      <c r="G401" s="35">
        <v>52507</v>
      </c>
      <c r="H401" s="34" t="s">
        <v>59</v>
      </c>
      <c r="I401" s="34" t="s">
        <v>79</v>
      </c>
    </row>
    <row r="402" spans="1:9" ht="14.4">
      <c r="A402" s="36">
        <v>1697</v>
      </c>
      <c r="B402" s="33" t="s">
        <v>122</v>
      </c>
      <c r="C402" s="36">
        <v>13090</v>
      </c>
      <c r="D402" s="36" t="s">
        <v>13</v>
      </c>
      <c r="E402" s="36">
        <v>16</v>
      </c>
      <c r="F402" s="37">
        <v>43377</v>
      </c>
      <c r="G402" s="37">
        <v>52507</v>
      </c>
      <c r="H402" s="36" t="s">
        <v>59</v>
      </c>
      <c r="I402" s="36" t="s">
        <v>79</v>
      </c>
    </row>
    <row r="403" spans="1:9" ht="14.4">
      <c r="A403" s="34">
        <v>1699</v>
      </c>
      <c r="B403" s="32" t="s">
        <v>175</v>
      </c>
      <c r="C403" s="34">
        <v>13093</v>
      </c>
      <c r="D403" s="34" t="s">
        <v>13</v>
      </c>
      <c r="E403" s="34">
        <v>21</v>
      </c>
      <c r="F403" s="35">
        <v>41834</v>
      </c>
      <c r="G403" s="35">
        <v>52791</v>
      </c>
      <c r="H403" s="34" t="s">
        <v>14</v>
      </c>
      <c r="I403" s="34" t="s">
        <v>79</v>
      </c>
    </row>
    <row r="404" spans="1:9" ht="14.4">
      <c r="A404" s="36">
        <v>1701</v>
      </c>
      <c r="B404" s="33" t="s">
        <v>15</v>
      </c>
      <c r="C404" s="36">
        <v>13097</v>
      </c>
      <c r="D404" s="36" t="s">
        <v>13</v>
      </c>
      <c r="E404" s="36">
        <v>49</v>
      </c>
      <c r="F404" s="37">
        <v>42216</v>
      </c>
      <c r="G404" s="37">
        <v>53173</v>
      </c>
      <c r="H404" s="36" t="s">
        <v>70</v>
      </c>
      <c r="I404" s="36" t="s">
        <v>79</v>
      </c>
    </row>
    <row r="405" spans="1:9" ht="14.4">
      <c r="A405" s="34">
        <v>1702</v>
      </c>
      <c r="B405" s="32" t="s">
        <v>15</v>
      </c>
      <c r="C405" s="34">
        <v>13098</v>
      </c>
      <c r="D405" s="34" t="s">
        <v>13</v>
      </c>
      <c r="E405" s="34">
        <v>54</v>
      </c>
      <c r="F405" s="35">
        <v>42209</v>
      </c>
      <c r="G405" s="35">
        <v>53166</v>
      </c>
      <c r="H405" s="34" t="s">
        <v>70</v>
      </c>
      <c r="I405" s="34" t="s">
        <v>79</v>
      </c>
    </row>
    <row r="406" spans="1:9" ht="14.4">
      <c r="A406" s="36">
        <v>1703</v>
      </c>
      <c r="B406" s="33" t="s">
        <v>199</v>
      </c>
      <c r="C406" s="36">
        <v>13099</v>
      </c>
      <c r="D406" s="36" t="s">
        <v>30</v>
      </c>
      <c r="E406" s="36">
        <v>5</v>
      </c>
      <c r="F406" s="37">
        <v>43508</v>
      </c>
      <c r="G406" s="37">
        <v>45333</v>
      </c>
      <c r="H406" s="36" t="s">
        <v>14</v>
      </c>
      <c r="I406" s="36" t="s">
        <v>79</v>
      </c>
    </row>
    <row r="407" spans="1:9" ht="14.4">
      <c r="A407" s="34">
        <v>1704</v>
      </c>
      <c r="B407" s="32" t="s">
        <v>43</v>
      </c>
      <c r="C407" s="34">
        <v>13102</v>
      </c>
      <c r="D407" s="34" t="s">
        <v>44</v>
      </c>
      <c r="E407" s="34">
        <v>2</v>
      </c>
      <c r="F407" s="35">
        <v>43699</v>
      </c>
      <c r="G407" s="35">
        <v>45525</v>
      </c>
      <c r="H407" s="34" t="s">
        <v>14</v>
      </c>
      <c r="I407" s="34" t="s">
        <v>79</v>
      </c>
    </row>
    <row r="408" spans="1:9" ht="14.4">
      <c r="A408" s="36">
        <v>1706</v>
      </c>
      <c r="B408" s="33" t="s">
        <v>116</v>
      </c>
      <c r="C408" s="36">
        <v>13114</v>
      </c>
      <c r="D408" s="36" t="s">
        <v>13</v>
      </c>
      <c r="E408" s="36">
        <v>28</v>
      </c>
      <c r="F408" s="37">
        <v>42209</v>
      </c>
      <c r="G408" s="37">
        <v>53166</v>
      </c>
      <c r="H408" s="36" t="s">
        <v>16</v>
      </c>
      <c r="I408" s="36" t="s">
        <v>79</v>
      </c>
    </row>
    <row r="409" spans="1:9" ht="14.4">
      <c r="A409" s="34">
        <v>1707</v>
      </c>
      <c r="B409" s="32" t="s">
        <v>169</v>
      </c>
      <c r="C409" s="34">
        <v>13117</v>
      </c>
      <c r="D409" s="34" t="s">
        <v>163</v>
      </c>
      <c r="E409" s="34">
        <v>2</v>
      </c>
      <c r="F409" s="35">
        <v>42050</v>
      </c>
      <c r="G409" s="35">
        <v>43875</v>
      </c>
      <c r="H409" s="34" t="s">
        <v>22</v>
      </c>
      <c r="I409" s="34" t="s">
        <v>79</v>
      </c>
    </row>
    <row r="410" spans="1:9" ht="14.4">
      <c r="A410" s="36">
        <v>1708</v>
      </c>
      <c r="B410" s="33" t="s">
        <v>122</v>
      </c>
      <c r="C410" s="36">
        <v>13118</v>
      </c>
      <c r="D410" s="36" t="s">
        <v>13</v>
      </c>
      <c r="E410" s="36">
        <v>6</v>
      </c>
      <c r="F410" s="37">
        <v>41978</v>
      </c>
      <c r="G410" s="37">
        <v>52357</v>
      </c>
      <c r="H410" s="36" t="s">
        <v>59</v>
      </c>
      <c r="I410" s="36" t="s">
        <v>79</v>
      </c>
    </row>
    <row r="411" spans="1:9" ht="14.4">
      <c r="A411" s="34">
        <v>1709</v>
      </c>
      <c r="B411" s="32" t="s">
        <v>200</v>
      </c>
      <c r="C411" s="34">
        <v>13119</v>
      </c>
      <c r="D411" s="34" t="s">
        <v>13</v>
      </c>
      <c r="E411" s="34">
        <v>6</v>
      </c>
      <c r="F411" s="35">
        <v>42676</v>
      </c>
      <c r="G411" s="35">
        <v>53632</v>
      </c>
      <c r="H411" s="34" t="s">
        <v>14</v>
      </c>
      <c r="I411" s="34" t="s">
        <v>79</v>
      </c>
    </row>
    <row r="412" spans="1:9" ht="14.4">
      <c r="A412" s="36">
        <v>1710</v>
      </c>
      <c r="B412" s="33" t="s">
        <v>161</v>
      </c>
      <c r="C412" s="36">
        <v>13120</v>
      </c>
      <c r="D412" s="36" t="s">
        <v>13</v>
      </c>
      <c r="E412" s="36">
        <v>2</v>
      </c>
      <c r="F412" s="37">
        <v>41806</v>
      </c>
      <c r="G412" s="37">
        <v>52508</v>
      </c>
      <c r="H412" s="36" t="s">
        <v>14</v>
      </c>
      <c r="I412" s="36" t="s">
        <v>79</v>
      </c>
    </row>
    <row r="413" spans="1:9" ht="14.4">
      <c r="A413" s="34">
        <v>1711</v>
      </c>
      <c r="B413" s="32" t="s">
        <v>43</v>
      </c>
      <c r="C413" s="34">
        <v>13121</v>
      </c>
      <c r="D413" s="34" t="s">
        <v>13</v>
      </c>
      <c r="E413" s="34">
        <v>3</v>
      </c>
      <c r="F413" s="35">
        <v>41806</v>
      </c>
      <c r="G413" s="35">
        <v>52508</v>
      </c>
      <c r="H413" s="34" t="s">
        <v>14</v>
      </c>
      <c r="I413" s="34" t="s">
        <v>79</v>
      </c>
    </row>
    <row r="414" spans="1:9" ht="14.4">
      <c r="A414" s="36">
        <v>1716</v>
      </c>
      <c r="B414" s="33" t="s">
        <v>17</v>
      </c>
      <c r="C414" s="36">
        <v>13155</v>
      </c>
      <c r="D414" s="36" t="s">
        <v>13</v>
      </c>
      <c r="E414" s="36">
        <v>151</v>
      </c>
      <c r="F414" s="37">
        <v>42038</v>
      </c>
      <c r="G414" s="37">
        <v>52995</v>
      </c>
      <c r="H414" s="36" t="s">
        <v>19</v>
      </c>
      <c r="I414" s="36" t="s">
        <v>79</v>
      </c>
    </row>
    <row r="415" spans="1:9" ht="14.4">
      <c r="A415" s="34">
        <v>1717</v>
      </c>
      <c r="B415" s="32" t="s">
        <v>92</v>
      </c>
      <c r="C415" s="34">
        <v>13157</v>
      </c>
      <c r="D415" s="34" t="s">
        <v>13</v>
      </c>
      <c r="E415" s="34">
        <v>28</v>
      </c>
      <c r="F415" s="35">
        <v>42209</v>
      </c>
      <c r="G415" s="35">
        <v>53166</v>
      </c>
      <c r="H415" s="34" t="s">
        <v>14</v>
      </c>
      <c r="I415" s="34" t="s">
        <v>79</v>
      </c>
    </row>
    <row r="416" spans="1:9" ht="14.4">
      <c r="A416" s="36">
        <v>1718</v>
      </c>
      <c r="B416" s="33" t="s">
        <v>92</v>
      </c>
      <c r="C416" s="36">
        <v>13158</v>
      </c>
      <c r="D416" s="36" t="s">
        <v>13</v>
      </c>
      <c r="E416" s="36">
        <v>51</v>
      </c>
      <c r="F416" s="37">
        <v>42209</v>
      </c>
      <c r="G416" s="37">
        <v>53166</v>
      </c>
      <c r="H416" s="36" t="s">
        <v>14</v>
      </c>
      <c r="I416" s="36" t="s">
        <v>79</v>
      </c>
    </row>
    <row r="417" spans="1:9" ht="14.4">
      <c r="A417" s="34">
        <v>1719</v>
      </c>
      <c r="B417" s="32" t="s">
        <v>92</v>
      </c>
      <c r="C417" s="34">
        <v>13159</v>
      </c>
      <c r="D417" s="34" t="s">
        <v>13</v>
      </c>
      <c r="E417" s="34">
        <v>48</v>
      </c>
      <c r="F417" s="35">
        <v>42209</v>
      </c>
      <c r="G417" s="35">
        <v>53166</v>
      </c>
      <c r="H417" s="34" t="s">
        <v>14</v>
      </c>
      <c r="I417" s="34" t="s">
        <v>79</v>
      </c>
    </row>
    <row r="418" spans="1:9" ht="14.4">
      <c r="A418" s="36">
        <v>1720</v>
      </c>
      <c r="B418" s="33" t="s">
        <v>92</v>
      </c>
      <c r="C418" s="36">
        <v>13160</v>
      </c>
      <c r="D418" s="36" t="s">
        <v>13</v>
      </c>
      <c r="E418" s="36">
        <v>26</v>
      </c>
      <c r="F418" s="37">
        <v>42209</v>
      </c>
      <c r="G418" s="37">
        <v>53166</v>
      </c>
      <c r="H418" s="36" t="s">
        <v>14</v>
      </c>
      <c r="I418" s="36" t="s">
        <v>79</v>
      </c>
    </row>
    <row r="419" spans="1:9" ht="14.4">
      <c r="A419" s="34">
        <v>1726</v>
      </c>
      <c r="B419" s="32" t="s">
        <v>169</v>
      </c>
      <c r="C419" s="34">
        <v>13168</v>
      </c>
      <c r="D419" s="34" t="s">
        <v>163</v>
      </c>
      <c r="E419" s="34">
        <v>4</v>
      </c>
      <c r="F419" s="35">
        <v>42025</v>
      </c>
      <c r="G419" s="35">
        <v>43850</v>
      </c>
      <c r="H419" s="34" t="s">
        <v>22</v>
      </c>
      <c r="I419" s="34" t="s">
        <v>79</v>
      </c>
    </row>
    <row r="420" spans="1:9" ht="14.4">
      <c r="A420" s="36">
        <v>1727</v>
      </c>
      <c r="B420" s="33" t="s">
        <v>169</v>
      </c>
      <c r="C420" s="36">
        <v>13169</v>
      </c>
      <c r="D420" s="36" t="s">
        <v>163</v>
      </c>
      <c r="E420" s="36">
        <v>4</v>
      </c>
      <c r="F420" s="37">
        <v>42390</v>
      </c>
      <c r="G420" s="37">
        <v>44216</v>
      </c>
      <c r="H420" s="36" t="s">
        <v>22</v>
      </c>
      <c r="I420" s="36" t="s">
        <v>79</v>
      </c>
    </row>
    <row r="421" spans="1:9" ht="14.4">
      <c r="A421" s="34">
        <v>1728</v>
      </c>
      <c r="B421" s="32" t="s">
        <v>169</v>
      </c>
      <c r="C421" s="34">
        <v>13170</v>
      </c>
      <c r="D421" s="34" t="s">
        <v>163</v>
      </c>
      <c r="E421" s="34">
        <v>4</v>
      </c>
      <c r="F421" s="35">
        <v>42390</v>
      </c>
      <c r="G421" s="35">
        <v>44216</v>
      </c>
      <c r="H421" s="34" t="s">
        <v>22</v>
      </c>
      <c r="I421" s="34" t="s">
        <v>79</v>
      </c>
    </row>
    <row r="422" spans="1:9" ht="14.4">
      <c r="A422" s="36">
        <v>1729</v>
      </c>
      <c r="B422" s="33" t="s">
        <v>169</v>
      </c>
      <c r="C422" s="36">
        <v>13171</v>
      </c>
      <c r="D422" s="36" t="s">
        <v>163</v>
      </c>
      <c r="E422" s="36">
        <v>4</v>
      </c>
      <c r="F422" s="37">
        <v>42390</v>
      </c>
      <c r="G422" s="37">
        <v>44216</v>
      </c>
      <c r="H422" s="36" t="s">
        <v>22</v>
      </c>
      <c r="I422" s="36" t="s">
        <v>79</v>
      </c>
    </row>
    <row r="423" spans="1:9" ht="14.4">
      <c r="A423" s="34">
        <v>1730</v>
      </c>
      <c r="B423" s="32" t="s">
        <v>169</v>
      </c>
      <c r="C423" s="34">
        <v>13172</v>
      </c>
      <c r="D423" s="34" t="s">
        <v>163</v>
      </c>
      <c r="E423" s="34">
        <v>4</v>
      </c>
      <c r="F423" s="35">
        <v>42019</v>
      </c>
      <c r="G423" s="35">
        <v>43844</v>
      </c>
      <c r="H423" s="34" t="s">
        <v>22</v>
      </c>
      <c r="I423" s="34" t="s">
        <v>79</v>
      </c>
    </row>
    <row r="424" spans="1:9" ht="14.4">
      <c r="A424" s="36">
        <v>1731</v>
      </c>
      <c r="B424" s="33" t="s">
        <v>169</v>
      </c>
      <c r="C424" s="36">
        <v>13173</v>
      </c>
      <c r="D424" s="36" t="s">
        <v>163</v>
      </c>
      <c r="E424" s="36">
        <v>4</v>
      </c>
      <c r="F424" s="37">
        <v>42390</v>
      </c>
      <c r="G424" s="37">
        <v>44216</v>
      </c>
      <c r="H424" s="36" t="s">
        <v>22</v>
      </c>
      <c r="I424" s="36" t="s">
        <v>79</v>
      </c>
    </row>
    <row r="425" spans="1:9" ht="14.4">
      <c r="A425" s="34">
        <v>1732</v>
      </c>
      <c r="B425" s="32" t="s">
        <v>169</v>
      </c>
      <c r="C425" s="34">
        <v>13174</v>
      </c>
      <c r="D425" s="34" t="s">
        <v>163</v>
      </c>
      <c r="E425" s="34">
        <v>3</v>
      </c>
      <c r="F425" s="35">
        <v>42390</v>
      </c>
      <c r="G425" s="35">
        <v>44216</v>
      </c>
      <c r="H425" s="34" t="s">
        <v>22</v>
      </c>
      <c r="I425" s="34" t="s">
        <v>79</v>
      </c>
    </row>
    <row r="426" spans="1:9" ht="14.4">
      <c r="A426" s="36">
        <v>1734</v>
      </c>
      <c r="B426" s="33" t="s">
        <v>201</v>
      </c>
      <c r="C426" s="36">
        <v>13177</v>
      </c>
      <c r="D426" s="36" t="s">
        <v>13</v>
      </c>
      <c r="E426" s="36">
        <v>13</v>
      </c>
      <c r="F426" s="37">
        <v>42067</v>
      </c>
      <c r="G426" s="37">
        <v>53024</v>
      </c>
      <c r="H426" s="36" t="s">
        <v>84</v>
      </c>
      <c r="I426" s="36" t="s">
        <v>79</v>
      </c>
    </row>
    <row r="427" spans="1:9" ht="14.4">
      <c r="A427" s="34">
        <v>1735</v>
      </c>
      <c r="B427" s="32" t="s">
        <v>201</v>
      </c>
      <c r="C427" s="34">
        <v>13178</v>
      </c>
      <c r="D427" s="34" t="s">
        <v>13</v>
      </c>
      <c r="E427" s="34">
        <v>60</v>
      </c>
      <c r="F427" s="35">
        <v>42067</v>
      </c>
      <c r="G427" s="35">
        <v>53024</v>
      </c>
      <c r="H427" s="34" t="s">
        <v>84</v>
      </c>
      <c r="I427" s="34" t="s">
        <v>79</v>
      </c>
    </row>
    <row r="428" spans="1:9" ht="14.4">
      <c r="A428" s="36">
        <v>1736</v>
      </c>
      <c r="B428" s="33" t="s">
        <v>201</v>
      </c>
      <c r="C428" s="36">
        <v>13179</v>
      </c>
      <c r="D428" s="36" t="s">
        <v>13</v>
      </c>
      <c r="E428" s="36">
        <v>84</v>
      </c>
      <c r="F428" s="37">
        <v>42067</v>
      </c>
      <c r="G428" s="37">
        <v>53024</v>
      </c>
      <c r="H428" s="36" t="s">
        <v>84</v>
      </c>
      <c r="I428" s="36" t="s">
        <v>79</v>
      </c>
    </row>
    <row r="429" spans="1:9" ht="14.4">
      <c r="A429" s="34">
        <v>1739</v>
      </c>
      <c r="B429" s="32" t="s">
        <v>202</v>
      </c>
      <c r="C429" s="34">
        <v>13227</v>
      </c>
      <c r="D429" s="34" t="s">
        <v>163</v>
      </c>
      <c r="E429" s="34">
        <v>2</v>
      </c>
      <c r="F429" s="35">
        <v>42420</v>
      </c>
      <c r="G429" s="35">
        <v>42785</v>
      </c>
      <c r="H429" s="34" t="s">
        <v>14</v>
      </c>
      <c r="I429" s="34" t="s">
        <v>79</v>
      </c>
    </row>
    <row r="430" spans="1:9" ht="14.4">
      <c r="A430" s="36">
        <v>1742</v>
      </c>
      <c r="B430" s="33" t="s">
        <v>43</v>
      </c>
      <c r="C430" s="36">
        <v>13234</v>
      </c>
      <c r="D430" s="36" t="s">
        <v>13</v>
      </c>
      <c r="E430" s="36">
        <v>2</v>
      </c>
      <c r="F430" s="37">
        <v>42553</v>
      </c>
      <c r="G430" s="37">
        <v>45384</v>
      </c>
      <c r="H430" s="36" t="s">
        <v>14</v>
      </c>
      <c r="I430" s="36" t="s">
        <v>79</v>
      </c>
    </row>
    <row r="431" spans="1:9" ht="14.4">
      <c r="A431" s="34">
        <v>1743</v>
      </c>
      <c r="B431" s="32" t="s">
        <v>43</v>
      </c>
      <c r="C431" s="34">
        <v>13235</v>
      </c>
      <c r="D431" s="34" t="s">
        <v>13</v>
      </c>
      <c r="E431" s="34">
        <v>3</v>
      </c>
      <c r="F431" s="35">
        <v>42553</v>
      </c>
      <c r="G431" s="35">
        <v>45384</v>
      </c>
      <c r="H431" s="34" t="s">
        <v>14</v>
      </c>
      <c r="I431" s="34" t="s">
        <v>79</v>
      </c>
    </row>
    <row r="432" spans="1:9" ht="14.4">
      <c r="A432" s="36">
        <v>1744</v>
      </c>
      <c r="B432" s="33" t="s">
        <v>166</v>
      </c>
      <c r="C432" s="36">
        <v>13236</v>
      </c>
      <c r="D432" s="36" t="s">
        <v>13</v>
      </c>
      <c r="E432" s="36">
        <v>13</v>
      </c>
      <c r="F432" s="37">
        <v>42553</v>
      </c>
      <c r="G432" s="37">
        <v>45384</v>
      </c>
      <c r="H432" s="36" t="s">
        <v>14</v>
      </c>
      <c r="I432" s="36" t="s">
        <v>79</v>
      </c>
    </row>
    <row r="433" spans="1:9" ht="14.4">
      <c r="A433" s="34">
        <v>1745</v>
      </c>
      <c r="B433" s="32" t="s">
        <v>166</v>
      </c>
      <c r="C433" s="34">
        <v>13237</v>
      </c>
      <c r="D433" s="34" t="s">
        <v>13</v>
      </c>
      <c r="E433" s="34">
        <v>5</v>
      </c>
      <c r="F433" s="35">
        <v>42553</v>
      </c>
      <c r="G433" s="35">
        <v>51202</v>
      </c>
      <c r="H433" s="34" t="s">
        <v>14</v>
      </c>
      <c r="I433" s="34" t="s">
        <v>79</v>
      </c>
    </row>
    <row r="434" spans="1:9" ht="14.4">
      <c r="A434" s="36">
        <v>1746</v>
      </c>
      <c r="B434" s="33" t="s">
        <v>166</v>
      </c>
      <c r="C434" s="36">
        <v>13238</v>
      </c>
      <c r="D434" s="36" t="s">
        <v>13</v>
      </c>
      <c r="E434" s="36">
        <v>3</v>
      </c>
      <c r="F434" s="37">
        <v>42553</v>
      </c>
      <c r="G434" s="37">
        <v>45384</v>
      </c>
      <c r="H434" s="36" t="s">
        <v>14</v>
      </c>
      <c r="I434" s="36" t="s">
        <v>79</v>
      </c>
    </row>
    <row r="435" spans="1:9" ht="14.4">
      <c r="A435" s="34">
        <v>1747</v>
      </c>
      <c r="B435" s="32" t="s">
        <v>166</v>
      </c>
      <c r="C435" s="34">
        <v>13239</v>
      </c>
      <c r="D435" s="34" t="s">
        <v>13</v>
      </c>
      <c r="E435" s="34">
        <v>1</v>
      </c>
      <c r="F435" s="35">
        <v>42553</v>
      </c>
      <c r="G435" s="35">
        <v>45384</v>
      </c>
      <c r="H435" s="34" t="s">
        <v>14</v>
      </c>
      <c r="I435" s="34" t="s">
        <v>79</v>
      </c>
    </row>
    <row r="436" spans="1:9" ht="14.4">
      <c r="A436" s="36">
        <v>1748</v>
      </c>
      <c r="B436" s="33" t="s">
        <v>166</v>
      </c>
      <c r="C436" s="36">
        <v>13240</v>
      </c>
      <c r="D436" s="36" t="s">
        <v>13</v>
      </c>
      <c r="E436" s="36">
        <v>1</v>
      </c>
      <c r="F436" s="37">
        <v>42553</v>
      </c>
      <c r="G436" s="37">
        <v>45384</v>
      </c>
      <c r="H436" s="36" t="s">
        <v>14</v>
      </c>
      <c r="I436" s="36" t="s">
        <v>79</v>
      </c>
    </row>
    <row r="437" spans="1:9" ht="14.4">
      <c r="A437" s="34">
        <v>1750</v>
      </c>
      <c r="B437" s="32" t="s">
        <v>186</v>
      </c>
      <c r="C437" s="34">
        <v>13247</v>
      </c>
      <c r="D437" s="34" t="s">
        <v>13</v>
      </c>
      <c r="E437" s="34">
        <v>28</v>
      </c>
      <c r="F437" s="35">
        <v>43150</v>
      </c>
      <c r="G437" s="35">
        <v>54106</v>
      </c>
      <c r="H437" s="34" t="s">
        <v>59</v>
      </c>
      <c r="I437" s="34" t="s">
        <v>79</v>
      </c>
    </row>
    <row r="438" spans="1:9" ht="14.4">
      <c r="A438" s="36">
        <v>1751</v>
      </c>
      <c r="B438" s="33" t="s">
        <v>203</v>
      </c>
      <c r="C438" s="36">
        <v>13248</v>
      </c>
      <c r="D438" s="36" t="s">
        <v>13</v>
      </c>
      <c r="E438" s="36">
        <v>78</v>
      </c>
      <c r="F438" s="37">
        <v>43220</v>
      </c>
      <c r="G438" s="37">
        <v>53458</v>
      </c>
      <c r="H438" s="36" t="s">
        <v>59</v>
      </c>
      <c r="I438" s="36" t="s">
        <v>79</v>
      </c>
    </row>
    <row r="439" spans="1:9" ht="14.4">
      <c r="A439" s="34">
        <v>1754</v>
      </c>
      <c r="B439" s="32" t="s">
        <v>43</v>
      </c>
      <c r="C439" s="34">
        <v>13254</v>
      </c>
      <c r="D439" s="34" t="s">
        <v>13</v>
      </c>
      <c r="E439" s="34">
        <v>4</v>
      </c>
      <c r="F439" s="35">
        <v>43006</v>
      </c>
      <c r="G439" s="35">
        <v>45384</v>
      </c>
      <c r="H439" s="34" t="s">
        <v>14</v>
      </c>
      <c r="I439" s="34" t="s">
        <v>79</v>
      </c>
    </row>
    <row r="440" spans="1:9" ht="14.4">
      <c r="A440" s="36">
        <v>1755</v>
      </c>
      <c r="B440" s="33" t="s">
        <v>204</v>
      </c>
      <c r="C440" s="36">
        <v>13255</v>
      </c>
      <c r="D440" s="36" t="s">
        <v>13</v>
      </c>
      <c r="E440" s="36">
        <v>4</v>
      </c>
      <c r="F440" s="37">
        <v>42839</v>
      </c>
      <c r="G440" s="37">
        <v>51325</v>
      </c>
      <c r="H440" s="36" t="s">
        <v>14</v>
      </c>
      <c r="I440" s="36" t="s">
        <v>79</v>
      </c>
    </row>
    <row r="441" spans="1:9" ht="14.4">
      <c r="A441" s="34">
        <v>1756</v>
      </c>
      <c r="B441" s="32" t="s">
        <v>43</v>
      </c>
      <c r="C441" s="34">
        <v>13256</v>
      </c>
      <c r="D441" s="34" t="s">
        <v>13</v>
      </c>
      <c r="E441" s="34">
        <v>31</v>
      </c>
      <c r="F441" s="35">
        <v>43006</v>
      </c>
      <c r="G441" s="35">
        <v>45384</v>
      </c>
      <c r="H441" s="34" t="s">
        <v>14</v>
      </c>
      <c r="I441" s="34" t="s">
        <v>79</v>
      </c>
    </row>
    <row r="442" spans="1:9" ht="14.4">
      <c r="A442" s="36">
        <v>1757</v>
      </c>
      <c r="B442" s="33" t="s">
        <v>204</v>
      </c>
      <c r="C442" s="36">
        <v>13257</v>
      </c>
      <c r="D442" s="36" t="s">
        <v>13</v>
      </c>
      <c r="E442" s="36">
        <v>102</v>
      </c>
      <c r="F442" s="37">
        <v>42839</v>
      </c>
      <c r="G442" s="37">
        <v>51353</v>
      </c>
      <c r="H442" s="36" t="s">
        <v>16</v>
      </c>
      <c r="I442" s="36" t="s">
        <v>79</v>
      </c>
    </row>
    <row r="443" spans="1:9" ht="14.4">
      <c r="A443" s="34">
        <v>1759</v>
      </c>
      <c r="B443" s="32" t="s">
        <v>204</v>
      </c>
      <c r="C443" s="34">
        <v>13259</v>
      </c>
      <c r="D443" s="34" t="s">
        <v>13</v>
      </c>
      <c r="E443" s="34">
        <v>4</v>
      </c>
      <c r="F443" s="35">
        <v>42839</v>
      </c>
      <c r="G443" s="35">
        <v>45384</v>
      </c>
      <c r="H443" s="34" t="s">
        <v>14</v>
      </c>
      <c r="I443" s="34" t="s">
        <v>79</v>
      </c>
    </row>
    <row r="444" spans="1:9" ht="14.4">
      <c r="A444" s="36">
        <v>1760</v>
      </c>
      <c r="B444" s="33" t="s">
        <v>204</v>
      </c>
      <c r="C444" s="36">
        <v>13260</v>
      </c>
      <c r="D444" s="36" t="s">
        <v>13</v>
      </c>
      <c r="E444" s="36">
        <v>25</v>
      </c>
      <c r="F444" s="37">
        <v>42839</v>
      </c>
      <c r="G444" s="37">
        <v>45384</v>
      </c>
      <c r="H444" s="36" t="s">
        <v>14</v>
      </c>
      <c r="I444" s="36" t="s">
        <v>79</v>
      </c>
    </row>
    <row r="445" spans="1:9" ht="14.4">
      <c r="A445" s="34">
        <v>1799</v>
      </c>
      <c r="B445" s="32" t="s">
        <v>205</v>
      </c>
      <c r="C445" s="34">
        <v>13332</v>
      </c>
      <c r="D445" s="34" t="s">
        <v>18</v>
      </c>
      <c r="E445" s="34">
        <v>6</v>
      </c>
      <c r="F445" s="35">
        <v>43006</v>
      </c>
      <c r="G445" s="35">
        <v>44831</v>
      </c>
      <c r="H445" s="34" t="s">
        <v>70</v>
      </c>
      <c r="I445" s="34" t="s">
        <v>79</v>
      </c>
    </row>
    <row r="446" spans="1:9" ht="14.4">
      <c r="A446" s="36">
        <v>1809</v>
      </c>
      <c r="B446" s="33" t="s">
        <v>206</v>
      </c>
      <c r="C446" s="36">
        <v>13353</v>
      </c>
      <c r="D446" s="36" t="s">
        <v>18</v>
      </c>
      <c r="E446" s="36">
        <v>284</v>
      </c>
      <c r="F446" s="37">
        <v>44288</v>
      </c>
      <c r="G446" s="37">
        <v>46113</v>
      </c>
      <c r="H446" s="36" t="s">
        <v>14</v>
      </c>
      <c r="I446" s="36" t="s">
        <v>79</v>
      </c>
    </row>
    <row r="447" spans="1:9" ht="14.4">
      <c r="A447" s="34">
        <v>1833</v>
      </c>
      <c r="B447" s="32" t="s">
        <v>207</v>
      </c>
      <c r="C447" s="34">
        <v>13407</v>
      </c>
      <c r="D447" s="34" t="s">
        <v>21</v>
      </c>
      <c r="E447" s="34">
        <v>4</v>
      </c>
      <c r="F447" s="35">
        <v>44677</v>
      </c>
      <c r="G447" s="35">
        <v>46502</v>
      </c>
      <c r="H447" s="34" t="s">
        <v>14</v>
      </c>
      <c r="I447" s="34" t="s">
        <v>79</v>
      </c>
    </row>
    <row r="448" spans="1:9" ht="14.4">
      <c r="A448" s="36">
        <v>1866</v>
      </c>
      <c r="B448" s="33" t="s">
        <v>207</v>
      </c>
      <c r="C448" s="36">
        <v>13487</v>
      </c>
      <c r="D448" s="36" t="s">
        <v>21</v>
      </c>
      <c r="E448" s="36">
        <v>4</v>
      </c>
      <c r="F448" s="37">
        <v>44926</v>
      </c>
      <c r="G448" s="37">
        <v>46751</v>
      </c>
      <c r="H448" s="36" t="s">
        <v>16</v>
      </c>
      <c r="I448" s="36" t="s">
        <v>79</v>
      </c>
    </row>
    <row r="449" spans="1:9" ht="14.4">
      <c r="A449" s="34">
        <v>1879</v>
      </c>
      <c r="B449" s="32" t="s">
        <v>208</v>
      </c>
      <c r="C449" s="34">
        <v>13537</v>
      </c>
      <c r="D449" s="34" t="s">
        <v>18</v>
      </c>
      <c r="E449" s="34">
        <v>130</v>
      </c>
      <c r="F449" s="35">
        <v>42992</v>
      </c>
      <c r="G449" s="35">
        <v>44817</v>
      </c>
      <c r="H449" s="34" t="s">
        <v>56</v>
      </c>
      <c r="I449" s="34" t="s">
        <v>79</v>
      </c>
    </row>
    <row r="450" spans="1:9" ht="14.4">
      <c r="A450" s="36">
        <v>1882</v>
      </c>
      <c r="B450" s="33" t="s">
        <v>209</v>
      </c>
      <c r="C450" s="36">
        <v>13543</v>
      </c>
      <c r="D450" s="36" t="s">
        <v>18</v>
      </c>
      <c r="E450" s="36">
        <v>71</v>
      </c>
      <c r="F450" s="37">
        <v>42991</v>
      </c>
      <c r="G450" s="37">
        <v>44816</v>
      </c>
      <c r="H450" s="36" t="s">
        <v>19</v>
      </c>
      <c r="I450" s="36" t="s">
        <v>79</v>
      </c>
    </row>
    <row r="451" spans="1:9" ht="14.4">
      <c r="A451" s="34">
        <v>1883</v>
      </c>
      <c r="B451" s="32" t="s">
        <v>209</v>
      </c>
      <c r="C451" s="34">
        <v>13544</v>
      </c>
      <c r="D451" s="34" t="s">
        <v>18</v>
      </c>
      <c r="E451" s="34">
        <v>54</v>
      </c>
      <c r="F451" s="35">
        <v>44495</v>
      </c>
      <c r="G451" s="35">
        <v>46320</v>
      </c>
      <c r="H451" s="34" t="s">
        <v>16</v>
      </c>
      <c r="I451" s="34" t="s">
        <v>79</v>
      </c>
    </row>
    <row r="452" spans="1:9" ht="14.4">
      <c r="A452" s="36">
        <v>1939</v>
      </c>
      <c r="B452" s="33" t="s">
        <v>210</v>
      </c>
      <c r="C452" s="36">
        <v>13717</v>
      </c>
      <c r="D452" s="36" t="s">
        <v>18</v>
      </c>
      <c r="E452" s="36">
        <v>52</v>
      </c>
      <c r="F452" s="37">
        <v>42999</v>
      </c>
      <c r="G452" s="37">
        <v>44459</v>
      </c>
      <c r="H452" s="36" t="s">
        <v>26</v>
      </c>
      <c r="I452" s="36" t="s">
        <v>79</v>
      </c>
    </row>
    <row r="453" spans="1:9" ht="14.4">
      <c r="A453" s="34">
        <v>1940</v>
      </c>
      <c r="B453" s="32" t="s">
        <v>211</v>
      </c>
      <c r="C453" s="34">
        <v>13720</v>
      </c>
      <c r="D453" s="34" t="s">
        <v>18</v>
      </c>
      <c r="E453" s="34">
        <v>4</v>
      </c>
      <c r="F453" s="35">
        <v>44132</v>
      </c>
      <c r="G453" s="35">
        <v>45957</v>
      </c>
      <c r="H453" s="34" t="s">
        <v>19</v>
      </c>
      <c r="I453" s="34" t="s">
        <v>79</v>
      </c>
    </row>
    <row r="454" spans="1:9" ht="14.4">
      <c r="A454" s="36">
        <v>1950</v>
      </c>
      <c r="B454" s="33" t="s">
        <v>211</v>
      </c>
      <c r="C454" s="36">
        <v>13736</v>
      </c>
      <c r="D454" s="36" t="s">
        <v>18</v>
      </c>
      <c r="E454" s="36">
        <v>1</v>
      </c>
      <c r="F454" s="37">
        <v>43222</v>
      </c>
      <c r="G454" s="37">
        <v>45047</v>
      </c>
      <c r="H454" s="36" t="s">
        <v>19</v>
      </c>
      <c r="I454" s="36" t="s">
        <v>79</v>
      </c>
    </row>
    <row r="455" spans="1:9" ht="14.4">
      <c r="A455" s="34">
        <v>1951</v>
      </c>
      <c r="B455" s="32" t="s">
        <v>212</v>
      </c>
      <c r="C455" s="34">
        <v>13739</v>
      </c>
      <c r="D455" s="34" t="s">
        <v>21</v>
      </c>
      <c r="E455" s="34">
        <v>5</v>
      </c>
      <c r="F455" s="35">
        <v>43517</v>
      </c>
      <c r="G455" s="35">
        <v>46438</v>
      </c>
      <c r="H455" s="34" t="s">
        <v>59</v>
      </c>
      <c r="I455" s="34" t="s">
        <v>79</v>
      </c>
    </row>
    <row r="456" spans="1:9" ht="14.4">
      <c r="A456" s="36">
        <v>1957</v>
      </c>
      <c r="B456" s="33" t="s">
        <v>213</v>
      </c>
      <c r="C456" s="36">
        <v>13755</v>
      </c>
      <c r="D456" s="36" t="s">
        <v>18</v>
      </c>
      <c r="E456" s="36">
        <v>21</v>
      </c>
      <c r="F456" s="37">
        <v>43019</v>
      </c>
      <c r="G456" s="37">
        <v>44844</v>
      </c>
      <c r="H456" s="36" t="s">
        <v>59</v>
      </c>
      <c r="I456" s="36" t="s">
        <v>79</v>
      </c>
    </row>
    <row r="457" spans="1:9" ht="14.4">
      <c r="A457" s="34">
        <v>1958</v>
      </c>
      <c r="B457" s="32" t="s">
        <v>212</v>
      </c>
      <c r="C457" s="34">
        <v>13757</v>
      </c>
      <c r="D457" s="34" t="s">
        <v>21</v>
      </c>
      <c r="E457" s="34">
        <v>5</v>
      </c>
      <c r="F457" s="35">
        <v>44218</v>
      </c>
      <c r="G457" s="35">
        <v>46043</v>
      </c>
      <c r="H457" s="34" t="s">
        <v>59</v>
      </c>
      <c r="I457" s="34" t="s">
        <v>79</v>
      </c>
    </row>
    <row r="458" spans="1:9" ht="14.4">
      <c r="A458" s="36">
        <v>1962</v>
      </c>
      <c r="B458" s="33" t="s">
        <v>214</v>
      </c>
      <c r="C458" s="36">
        <v>13779</v>
      </c>
      <c r="D458" s="36" t="s">
        <v>18</v>
      </c>
      <c r="E458" s="36">
        <v>306</v>
      </c>
      <c r="F458" s="37">
        <v>43222</v>
      </c>
      <c r="G458" s="37">
        <v>45047</v>
      </c>
      <c r="H458" s="36" t="s">
        <v>16</v>
      </c>
      <c r="I458" s="36" t="s">
        <v>79</v>
      </c>
    </row>
    <row r="459" spans="1:9" ht="14.4">
      <c r="A459" s="34">
        <v>1972</v>
      </c>
      <c r="B459" s="32" t="s">
        <v>215</v>
      </c>
      <c r="C459" s="34">
        <v>13813</v>
      </c>
      <c r="D459" s="34" t="s">
        <v>30</v>
      </c>
      <c r="E459" s="34">
        <v>5</v>
      </c>
      <c r="F459" s="35">
        <v>42895</v>
      </c>
      <c r="G459" s="35">
        <v>46546</v>
      </c>
      <c r="H459" s="34" t="s">
        <v>16</v>
      </c>
      <c r="I459" s="34" t="s">
        <v>79</v>
      </c>
    </row>
    <row r="460" spans="1:9" ht="14.4">
      <c r="A460" s="36">
        <v>1981</v>
      </c>
      <c r="B460" s="33" t="s">
        <v>43</v>
      </c>
      <c r="C460" s="36">
        <v>13829</v>
      </c>
      <c r="D460" s="36" t="s">
        <v>13</v>
      </c>
      <c r="E460" s="36">
        <v>24</v>
      </c>
      <c r="F460" s="37">
        <v>42999</v>
      </c>
      <c r="G460" s="37">
        <v>45384</v>
      </c>
      <c r="H460" s="36" t="s">
        <v>14</v>
      </c>
      <c r="I460" s="36" t="s">
        <v>79</v>
      </c>
    </row>
    <row r="461" spans="1:9" ht="14.4">
      <c r="A461" s="34">
        <v>1982</v>
      </c>
      <c r="B461" s="32" t="s">
        <v>43</v>
      </c>
      <c r="C461" s="34">
        <v>13830</v>
      </c>
      <c r="D461" s="34" t="s">
        <v>13</v>
      </c>
      <c r="E461" s="34">
        <v>15</v>
      </c>
      <c r="F461" s="35">
        <v>42999</v>
      </c>
      <c r="G461" s="35">
        <v>45384</v>
      </c>
      <c r="H461" s="34" t="s">
        <v>14</v>
      </c>
      <c r="I461" s="34" t="s">
        <v>79</v>
      </c>
    </row>
    <row r="462" spans="1:9" ht="14.4">
      <c r="A462" s="36">
        <v>1983</v>
      </c>
      <c r="B462" s="33" t="s">
        <v>43</v>
      </c>
      <c r="C462" s="36">
        <v>13831</v>
      </c>
      <c r="D462" s="36" t="s">
        <v>13</v>
      </c>
      <c r="E462" s="36">
        <v>33</v>
      </c>
      <c r="F462" s="37">
        <v>43000</v>
      </c>
      <c r="G462" s="37">
        <v>52508</v>
      </c>
      <c r="H462" s="36" t="s">
        <v>14</v>
      </c>
      <c r="I462" s="36" t="s">
        <v>79</v>
      </c>
    </row>
    <row r="463" spans="1:9" ht="14.4">
      <c r="A463" s="34">
        <v>1984</v>
      </c>
      <c r="B463" s="32" t="s">
        <v>96</v>
      </c>
      <c r="C463" s="34">
        <v>13832</v>
      </c>
      <c r="D463" s="34" t="s">
        <v>13</v>
      </c>
      <c r="E463" s="34">
        <v>6</v>
      </c>
      <c r="F463" s="35">
        <v>43000</v>
      </c>
      <c r="G463" s="35">
        <v>52508</v>
      </c>
      <c r="H463" s="34" t="s">
        <v>14</v>
      </c>
      <c r="I463" s="34" t="s">
        <v>79</v>
      </c>
    </row>
    <row r="464" spans="1:9" ht="14.4">
      <c r="A464" s="36">
        <v>1986</v>
      </c>
      <c r="B464" s="33" t="s">
        <v>211</v>
      </c>
      <c r="C464" s="36">
        <v>13836</v>
      </c>
      <c r="D464" s="36" t="s">
        <v>18</v>
      </c>
      <c r="E464" s="36">
        <v>4</v>
      </c>
      <c r="F464" s="37">
        <v>43222</v>
      </c>
      <c r="G464" s="37">
        <v>45047</v>
      </c>
      <c r="H464" s="36" t="s">
        <v>19</v>
      </c>
      <c r="I464" s="36" t="s">
        <v>79</v>
      </c>
    </row>
    <row r="465" spans="1:9" ht="14.4">
      <c r="A465" s="34">
        <v>1987</v>
      </c>
      <c r="B465" s="32" t="s">
        <v>211</v>
      </c>
      <c r="C465" s="34">
        <v>13837</v>
      </c>
      <c r="D465" s="34" t="s">
        <v>18</v>
      </c>
      <c r="E465" s="34">
        <v>9</v>
      </c>
      <c r="F465" s="35">
        <v>43222</v>
      </c>
      <c r="G465" s="35">
        <v>45047</v>
      </c>
      <c r="H465" s="34" t="s">
        <v>19</v>
      </c>
      <c r="I465" s="34" t="s">
        <v>79</v>
      </c>
    </row>
    <row r="466" spans="1:9" ht="14.4">
      <c r="A466" s="36">
        <v>1998</v>
      </c>
      <c r="B466" s="33" t="s">
        <v>216</v>
      </c>
      <c r="C466" s="36">
        <v>13860</v>
      </c>
      <c r="D466" s="36" t="s">
        <v>13</v>
      </c>
      <c r="E466" s="36">
        <v>8</v>
      </c>
      <c r="F466" s="37">
        <v>42811</v>
      </c>
      <c r="G466" s="37">
        <v>53767</v>
      </c>
      <c r="H466" s="36" t="s">
        <v>22</v>
      </c>
      <c r="I466" s="36" t="s">
        <v>79</v>
      </c>
    </row>
    <row r="467" spans="1:9" ht="14.4">
      <c r="A467" s="34">
        <v>2000</v>
      </c>
      <c r="B467" s="32" t="s">
        <v>217</v>
      </c>
      <c r="C467" s="34">
        <v>13864</v>
      </c>
      <c r="D467" s="34" t="s">
        <v>18</v>
      </c>
      <c r="E467" s="34">
        <v>6</v>
      </c>
      <c r="F467" s="35">
        <v>43222</v>
      </c>
      <c r="G467" s="35">
        <v>45047</v>
      </c>
      <c r="H467" s="34" t="s">
        <v>73</v>
      </c>
      <c r="I467" s="34" t="s">
        <v>79</v>
      </c>
    </row>
    <row r="468" spans="1:9" ht="14.4">
      <c r="A468" s="36">
        <v>2003</v>
      </c>
      <c r="B468" s="33" t="s">
        <v>218</v>
      </c>
      <c r="C468" s="36">
        <v>13870</v>
      </c>
      <c r="D468" s="36" t="s">
        <v>18</v>
      </c>
      <c r="E468" s="36">
        <v>21</v>
      </c>
      <c r="F468" s="37">
        <v>43133</v>
      </c>
      <c r="G468" s="37">
        <v>44958</v>
      </c>
      <c r="H468" s="36" t="s">
        <v>19</v>
      </c>
      <c r="I468" s="36" t="s">
        <v>79</v>
      </c>
    </row>
    <row r="469" spans="1:9" ht="14.4">
      <c r="A469" s="34">
        <v>2004</v>
      </c>
      <c r="B469" s="32" t="s">
        <v>218</v>
      </c>
      <c r="C469" s="34">
        <v>13871</v>
      </c>
      <c r="D469" s="34" t="s">
        <v>18</v>
      </c>
      <c r="E469" s="34">
        <v>18</v>
      </c>
      <c r="F469" s="35">
        <v>43133</v>
      </c>
      <c r="G469" s="35">
        <v>44958</v>
      </c>
      <c r="H469" s="34" t="s">
        <v>19</v>
      </c>
      <c r="I469" s="34" t="s">
        <v>79</v>
      </c>
    </row>
    <row r="470" spans="1:9" ht="14.4">
      <c r="A470" s="36">
        <v>2009</v>
      </c>
      <c r="B470" s="33" t="s">
        <v>147</v>
      </c>
      <c r="C470" s="36">
        <v>13876</v>
      </c>
      <c r="D470" s="36" t="s">
        <v>18</v>
      </c>
      <c r="E470" s="36">
        <v>9</v>
      </c>
      <c r="F470" s="37">
        <v>43159</v>
      </c>
      <c r="G470" s="37">
        <v>44984</v>
      </c>
      <c r="H470" s="36" t="s">
        <v>26</v>
      </c>
      <c r="I470" s="36" t="s">
        <v>79</v>
      </c>
    </row>
    <row r="471" spans="1:9" ht="14.4">
      <c r="A471" s="34">
        <v>2010</v>
      </c>
      <c r="B471" s="32" t="s">
        <v>147</v>
      </c>
      <c r="C471" s="34">
        <v>13877</v>
      </c>
      <c r="D471" s="34" t="s">
        <v>18</v>
      </c>
      <c r="E471" s="34">
        <v>57</v>
      </c>
      <c r="F471" s="35">
        <v>43159</v>
      </c>
      <c r="G471" s="35">
        <v>44984</v>
      </c>
      <c r="H471" s="34" t="s">
        <v>16</v>
      </c>
      <c r="I471" s="34" t="s">
        <v>79</v>
      </c>
    </row>
    <row r="472" spans="1:9" ht="14.4">
      <c r="A472" s="36">
        <v>2011</v>
      </c>
      <c r="B472" s="33" t="s">
        <v>147</v>
      </c>
      <c r="C472" s="36">
        <v>13878</v>
      </c>
      <c r="D472" s="36" t="s">
        <v>18</v>
      </c>
      <c r="E472" s="36">
        <v>16</v>
      </c>
      <c r="F472" s="37">
        <v>43159</v>
      </c>
      <c r="G472" s="37">
        <v>44984</v>
      </c>
      <c r="H472" s="36" t="s">
        <v>22</v>
      </c>
      <c r="I472" s="36" t="s">
        <v>79</v>
      </c>
    </row>
    <row r="473" spans="1:9" ht="14.4">
      <c r="A473" s="34">
        <v>2012</v>
      </c>
      <c r="B473" s="32" t="s">
        <v>147</v>
      </c>
      <c r="C473" s="34">
        <v>13879</v>
      </c>
      <c r="D473" s="34" t="s">
        <v>18</v>
      </c>
      <c r="E473" s="34">
        <v>12</v>
      </c>
      <c r="F473" s="35">
        <v>43159</v>
      </c>
      <c r="G473" s="35">
        <v>44984</v>
      </c>
      <c r="H473" s="34" t="s">
        <v>22</v>
      </c>
      <c r="I473" s="34" t="s">
        <v>79</v>
      </c>
    </row>
    <row r="474" spans="1:9" ht="14.4">
      <c r="A474" s="36">
        <v>2014</v>
      </c>
      <c r="B474" s="33" t="s">
        <v>147</v>
      </c>
      <c r="C474" s="36">
        <v>13886</v>
      </c>
      <c r="D474" s="36" t="s">
        <v>18</v>
      </c>
      <c r="E474" s="36">
        <v>15</v>
      </c>
      <c r="F474" s="37">
        <v>43159</v>
      </c>
      <c r="G474" s="37">
        <v>44984</v>
      </c>
      <c r="H474" s="36" t="s">
        <v>219</v>
      </c>
      <c r="I474" s="36" t="s">
        <v>79</v>
      </c>
    </row>
    <row r="475" spans="1:9" ht="14.4">
      <c r="A475" s="34">
        <v>2015</v>
      </c>
      <c r="B475" s="32" t="s">
        <v>147</v>
      </c>
      <c r="C475" s="34">
        <v>13887</v>
      </c>
      <c r="D475" s="34" t="s">
        <v>18</v>
      </c>
      <c r="E475" s="34">
        <v>20</v>
      </c>
      <c r="F475" s="35">
        <v>43159</v>
      </c>
      <c r="G475" s="35">
        <v>44984</v>
      </c>
      <c r="H475" s="34" t="s">
        <v>22</v>
      </c>
      <c r="I475" s="34" t="s">
        <v>79</v>
      </c>
    </row>
    <row r="476" spans="1:9" ht="14.4">
      <c r="A476" s="36">
        <v>2016</v>
      </c>
      <c r="B476" s="33" t="s">
        <v>220</v>
      </c>
      <c r="C476" s="36">
        <v>13888</v>
      </c>
      <c r="D476" s="36" t="s">
        <v>13</v>
      </c>
      <c r="E476" s="36">
        <v>12</v>
      </c>
      <c r="F476" s="37">
        <v>42817</v>
      </c>
      <c r="G476" s="37">
        <v>53767</v>
      </c>
      <c r="H476" s="36" t="s">
        <v>22</v>
      </c>
      <c r="I476" s="36" t="s">
        <v>79</v>
      </c>
    </row>
    <row r="477" spans="1:9" ht="14.4">
      <c r="A477" s="34">
        <v>2022</v>
      </c>
      <c r="B477" s="32" t="s">
        <v>207</v>
      </c>
      <c r="C477" s="34">
        <v>13900</v>
      </c>
      <c r="D477" s="34" t="s">
        <v>18</v>
      </c>
      <c r="E477" s="34">
        <v>10</v>
      </c>
      <c r="F477" s="35">
        <v>43137</v>
      </c>
      <c r="G477" s="35">
        <v>44962</v>
      </c>
      <c r="H477" s="34" t="s">
        <v>14</v>
      </c>
      <c r="I477" s="34" t="s">
        <v>79</v>
      </c>
    </row>
    <row r="478" spans="1:9" ht="14.4">
      <c r="A478" s="36">
        <v>2023</v>
      </c>
      <c r="B478" s="33" t="s">
        <v>207</v>
      </c>
      <c r="C478" s="36">
        <v>13901</v>
      </c>
      <c r="D478" s="36" t="s">
        <v>18</v>
      </c>
      <c r="E478" s="36">
        <v>42</v>
      </c>
      <c r="F478" s="37">
        <v>43137</v>
      </c>
      <c r="G478" s="37">
        <v>44962</v>
      </c>
      <c r="H478" s="36" t="s">
        <v>14</v>
      </c>
      <c r="I478" s="36" t="s">
        <v>79</v>
      </c>
    </row>
    <row r="479" spans="1:9" ht="14.4">
      <c r="A479" s="34">
        <v>2024</v>
      </c>
      <c r="B479" s="32" t="s">
        <v>207</v>
      </c>
      <c r="C479" s="34">
        <v>13903</v>
      </c>
      <c r="D479" s="34" t="s">
        <v>18</v>
      </c>
      <c r="E479" s="34">
        <v>6</v>
      </c>
      <c r="F479" s="35">
        <v>43222</v>
      </c>
      <c r="G479" s="35">
        <v>45047</v>
      </c>
      <c r="H479" s="34" t="s">
        <v>16</v>
      </c>
      <c r="I479" s="34" t="s">
        <v>79</v>
      </c>
    </row>
    <row r="480" spans="1:9" ht="14.4">
      <c r="A480" s="36">
        <v>2025</v>
      </c>
      <c r="B480" s="33" t="s">
        <v>207</v>
      </c>
      <c r="C480" s="36">
        <v>13904</v>
      </c>
      <c r="D480" s="36" t="s">
        <v>18</v>
      </c>
      <c r="E480" s="36">
        <v>30</v>
      </c>
      <c r="F480" s="37">
        <v>43222</v>
      </c>
      <c r="G480" s="37">
        <v>45047</v>
      </c>
      <c r="H480" s="36" t="s">
        <v>16</v>
      </c>
      <c r="I480" s="36" t="s">
        <v>79</v>
      </c>
    </row>
    <row r="481" spans="1:9" ht="14.4">
      <c r="A481" s="34">
        <v>2026</v>
      </c>
      <c r="B481" s="32" t="s">
        <v>207</v>
      </c>
      <c r="C481" s="34">
        <v>13905</v>
      </c>
      <c r="D481" s="34" t="s">
        <v>18</v>
      </c>
      <c r="E481" s="34">
        <v>12</v>
      </c>
      <c r="F481" s="35">
        <v>43222</v>
      </c>
      <c r="G481" s="35">
        <v>45047</v>
      </c>
      <c r="H481" s="34" t="s">
        <v>16</v>
      </c>
      <c r="I481" s="34" t="s">
        <v>79</v>
      </c>
    </row>
    <row r="482" spans="1:9" ht="14.4">
      <c r="A482" s="36">
        <v>2027</v>
      </c>
      <c r="B482" s="33" t="s">
        <v>207</v>
      </c>
      <c r="C482" s="36">
        <v>13907</v>
      </c>
      <c r="D482" s="36" t="s">
        <v>18</v>
      </c>
      <c r="E482" s="36">
        <v>6</v>
      </c>
      <c r="F482" s="37">
        <v>43222</v>
      </c>
      <c r="G482" s="37">
        <v>45047</v>
      </c>
      <c r="H482" s="36" t="s">
        <v>16</v>
      </c>
      <c r="I482" s="36" t="s">
        <v>79</v>
      </c>
    </row>
    <row r="483" spans="1:9" ht="14.4">
      <c r="A483" s="34">
        <v>2028</v>
      </c>
      <c r="B483" s="32" t="s">
        <v>207</v>
      </c>
      <c r="C483" s="34">
        <v>13908</v>
      </c>
      <c r="D483" s="34" t="s">
        <v>18</v>
      </c>
      <c r="E483" s="34">
        <v>24</v>
      </c>
      <c r="F483" s="35">
        <v>43137</v>
      </c>
      <c r="G483" s="35">
        <v>44962</v>
      </c>
      <c r="H483" s="34" t="s">
        <v>16</v>
      </c>
      <c r="I483" s="34" t="s">
        <v>79</v>
      </c>
    </row>
    <row r="484" spans="1:9" ht="14.4">
      <c r="A484" s="36">
        <v>2029</v>
      </c>
      <c r="B484" s="33" t="s">
        <v>207</v>
      </c>
      <c r="C484" s="36">
        <v>13909</v>
      </c>
      <c r="D484" s="36" t="s">
        <v>18</v>
      </c>
      <c r="E484" s="36">
        <v>8</v>
      </c>
      <c r="F484" s="37">
        <v>43137</v>
      </c>
      <c r="G484" s="37">
        <v>44962</v>
      </c>
      <c r="H484" s="36" t="s">
        <v>14</v>
      </c>
      <c r="I484" s="36" t="s">
        <v>79</v>
      </c>
    </row>
    <row r="485" spans="1:9" ht="14.4">
      <c r="A485" s="34">
        <v>2030</v>
      </c>
      <c r="B485" s="32" t="s">
        <v>207</v>
      </c>
      <c r="C485" s="34">
        <v>13910</v>
      </c>
      <c r="D485" s="34" t="s">
        <v>18</v>
      </c>
      <c r="E485" s="34">
        <v>2</v>
      </c>
      <c r="F485" s="35">
        <v>43137</v>
      </c>
      <c r="G485" s="35">
        <v>44962</v>
      </c>
      <c r="H485" s="34" t="s">
        <v>16</v>
      </c>
      <c r="I485" s="34" t="s">
        <v>79</v>
      </c>
    </row>
    <row r="486" spans="1:9" ht="14.4">
      <c r="A486" s="36">
        <v>2031</v>
      </c>
      <c r="B486" s="33" t="s">
        <v>207</v>
      </c>
      <c r="C486" s="36">
        <v>13911</v>
      </c>
      <c r="D486" s="36" t="s">
        <v>18</v>
      </c>
      <c r="E486" s="36">
        <v>6</v>
      </c>
      <c r="F486" s="37">
        <v>43222</v>
      </c>
      <c r="G486" s="37">
        <v>45047</v>
      </c>
      <c r="H486" s="36" t="s">
        <v>16</v>
      </c>
      <c r="I486" s="36" t="s">
        <v>79</v>
      </c>
    </row>
    <row r="487" spans="1:9" ht="14.4">
      <c r="A487" s="34">
        <v>2032</v>
      </c>
      <c r="B487" s="32" t="s">
        <v>207</v>
      </c>
      <c r="C487" s="34">
        <v>13912</v>
      </c>
      <c r="D487" s="34" t="s">
        <v>18</v>
      </c>
      <c r="E487" s="34">
        <v>23</v>
      </c>
      <c r="F487" s="35">
        <v>43137</v>
      </c>
      <c r="G487" s="35">
        <v>44962</v>
      </c>
      <c r="H487" s="34" t="s">
        <v>16</v>
      </c>
      <c r="I487" s="34" t="s">
        <v>79</v>
      </c>
    </row>
    <row r="488" spans="1:9" ht="14.4">
      <c r="A488" s="36">
        <v>2033</v>
      </c>
      <c r="B488" s="33" t="s">
        <v>207</v>
      </c>
      <c r="C488" s="36">
        <v>13913</v>
      </c>
      <c r="D488" s="36" t="s">
        <v>18</v>
      </c>
      <c r="E488" s="36">
        <v>42</v>
      </c>
      <c r="F488" s="37">
        <v>43137</v>
      </c>
      <c r="G488" s="37">
        <v>44962</v>
      </c>
      <c r="H488" s="36" t="s">
        <v>84</v>
      </c>
      <c r="I488" s="36" t="s">
        <v>79</v>
      </c>
    </row>
    <row r="489" spans="1:9" ht="14.4">
      <c r="A489" s="34">
        <v>2034</v>
      </c>
      <c r="B489" s="32" t="s">
        <v>207</v>
      </c>
      <c r="C489" s="34">
        <v>13914</v>
      </c>
      <c r="D489" s="34" t="s">
        <v>18</v>
      </c>
      <c r="E489" s="34">
        <v>4</v>
      </c>
      <c r="F489" s="35">
        <v>43585</v>
      </c>
      <c r="G489" s="35">
        <v>45411</v>
      </c>
      <c r="H489" s="34" t="s">
        <v>14</v>
      </c>
      <c r="I489" s="34" t="s">
        <v>79</v>
      </c>
    </row>
    <row r="490" spans="1:9" ht="14.4">
      <c r="A490" s="36">
        <v>2035</v>
      </c>
      <c r="B490" s="33" t="s">
        <v>221</v>
      </c>
      <c r="C490" s="36">
        <v>13920</v>
      </c>
      <c r="D490" s="36" t="s">
        <v>18</v>
      </c>
      <c r="E490" s="36">
        <v>2</v>
      </c>
      <c r="F490" s="37">
        <v>43374</v>
      </c>
      <c r="G490" s="37">
        <v>45199</v>
      </c>
      <c r="H490" s="36" t="s">
        <v>14</v>
      </c>
      <c r="I490" s="36" t="s">
        <v>79</v>
      </c>
    </row>
    <row r="491" spans="1:9" ht="14.4">
      <c r="A491" s="34">
        <v>2036</v>
      </c>
      <c r="B491" s="32" t="s">
        <v>221</v>
      </c>
      <c r="C491" s="34">
        <v>13925</v>
      </c>
      <c r="D491" s="34" t="s">
        <v>18</v>
      </c>
      <c r="E491" s="34">
        <v>28</v>
      </c>
      <c r="F491" s="35">
        <v>43374</v>
      </c>
      <c r="G491" s="35">
        <v>45199</v>
      </c>
      <c r="H491" s="34" t="s">
        <v>14</v>
      </c>
      <c r="I491" s="34" t="s">
        <v>79</v>
      </c>
    </row>
    <row r="492" spans="1:9" ht="14.4">
      <c r="A492" s="36">
        <v>2037</v>
      </c>
      <c r="B492" s="33" t="s">
        <v>221</v>
      </c>
      <c r="C492" s="36">
        <v>13926</v>
      </c>
      <c r="D492" s="36" t="s">
        <v>18</v>
      </c>
      <c r="E492" s="36">
        <v>3</v>
      </c>
      <c r="F492" s="37">
        <v>43374</v>
      </c>
      <c r="G492" s="37">
        <v>45199</v>
      </c>
      <c r="H492" s="36" t="s">
        <v>14</v>
      </c>
      <c r="I492" s="36" t="s">
        <v>79</v>
      </c>
    </row>
    <row r="493" spans="1:9" ht="14.4">
      <c r="A493" s="34">
        <v>2038</v>
      </c>
      <c r="B493" s="32" t="s">
        <v>221</v>
      </c>
      <c r="C493" s="34">
        <v>13927</v>
      </c>
      <c r="D493" s="34" t="s">
        <v>18</v>
      </c>
      <c r="E493" s="34">
        <v>14</v>
      </c>
      <c r="F493" s="35">
        <v>43374</v>
      </c>
      <c r="G493" s="35">
        <v>45199</v>
      </c>
      <c r="H493" s="34" t="s">
        <v>14</v>
      </c>
      <c r="I493" s="34" t="s">
        <v>79</v>
      </c>
    </row>
    <row r="494" spans="1:9" ht="14.4">
      <c r="A494" s="36">
        <v>2039</v>
      </c>
      <c r="B494" s="33" t="s">
        <v>221</v>
      </c>
      <c r="C494" s="36">
        <v>13928</v>
      </c>
      <c r="D494" s="36" t="s">
        <v>18</v>
      </c>
      <c r="E494" s="36">
        <v>6</v>
      </c>
      <c r="F494" s="37">
        <v>43374</v>
      </c>
      <c r="G494" s="37">
        <v>45199</v>
      </c>
      <c r="H494" s="36" t="s">
        <v>16</v>
      </c>
      <c r="I494" s="36" t="s">
        <v>79</v>
      </c>
    </row>
    <row r="495" spans="1:9" ht="14.4">
      <c r="A495" s="34">
        <v>2040</v>
      </c>
      <c r="B495" s="32" t="s">
        <v>222</v>
      </c>
      <c r="C495" s="34">
        <v>13929</v>
      </c>
      <c r="D495" s="34" t="s">
        <v>18</v>
      </c>
      <c r="E495" s="34">
        <v>8</v>
      </c>
      <c r="F495" s="35">
        <v>43222</v>
      </c>
      <c r="G495" s="35">
        <v>45047</v>
      </c>
      <c r="H495" s="34" t="s">
        <v>219</v>
      </c>
      <c r="I495" s="34" t="s">
        <v>79</v>
      </c>
    </row>
    <row r="496" spans="1:9" ht="14.4">
      <c r="A496" s="36">
        <v>2044</v>
      </c>
      <c r="B496" s="33" t="s">
        <v>223</v>
      </c>
      <c r="C496" s="36">
        <v>13937</v>
      </c>
      <c r="D496" s="36" t="s">
        <v>18</v>
      </c>
      <c r="E496" s="36">
        <v>14</v>
      </c>
      <c r="F496" s="37">
        <v>43146</v>
      </c>
      <c r="G496" s="37">
        <v>44971</v>
      </c>
      <c r="H496" s="36" t="s">
        <v>16</v>
      </c>
      <c r="I496" s="36" t="s">
        <v>79</v>
      </c>
    </row>
    <row r="497" spans="1:9" ht="14.4">
      <c r="A497" s="34">
        <v>2045</v>
      </c>
      <c r="B497" s="32" t="s">
        <v>223</v>
      </c>
      <c r="C497" s="34">
        <v>13938</v>
      </c>
      <c r="D497" s="34" t="s">
        <v>18</v>
      </c>
      <c r="E497" s="34">
        <v>10</v>
      </c>
      <c r="F497" s="35">
        <v>43146</v>
      </c>
      <c r="G497" s="35">
        <v>44971</v>
      </c>
      <c r="H497" s="34" t="s">
        <v>59</v>
      </c>
      <c r="I497" s="34" t="s">
        <v>79</v>
      </c>
    </row>
    <row r="498" spans="1:9" ht="14.4">
      <c r="A498" s="36">
        <v>2046</v>
      </c>
      <c r="B498" s="33" t="s">
        <v>223</v>
      </c>
      <c r="C498" s="36">
        <v>13939</v>
      </c>
      <c r="D498" s="36" t="s">
        <v>18</v>
      </c>
      <c r="E498" s="36">
        <v>36</v>
      </c>
      <c r="F498" s="37">
        <v>43146</v>
      </c>
      <c r="G498" s="37">
        <v>44971</v>
      </c>
      <c r="H498" s="36" t="s">
        <v>16</v>
      </c>
      <c r="I498" s="36" t="s">
        <v>79</v>
      </c>
    </row>
    <row r="499" spans="1:9" ht="14.4">
      <c r="A499" s="34">
        <v>2047</v>
      </c>
      <c r="B499" s="32" t="s">
        <v>223</v>
      </c>
      <c r="C499" s="34">
        <v>13940</v>
      </c>
      <c r="D499" s="34" t="s">
        <v>18</v>
      </c>
      <c r="E499" s="34">
        <v>27</v>
      </c>
      <c r="F499" s="35">
        <v>43146</v>
      </c>
      <c r="G499" s="35">
        <v>44971</v>
      </c>
      <c r="H499" s="34" t="s">
        <v>14</v>
      </c>
      <c r="I499" s="34" t="s">
        <v>79</v>
      </c>
    </row>
    <row r="500" spans="1:9" ht="14.4">
      <c r="A500" s="36">
        <v>2048</v>
      </c>
      <c r="B500" s="33" t="s">
        <v>223</v>
      </c>
      <c r="C500" s="36">
        <v>13941</v>
      </c>
      <c r="D500" s="36" t="s">
        <v>18</v>
      </c>
      <c r="E500" s="36">
        <v>24</v>
      </c>
      <c r="F500" s="37">
        <v>43146</v>
      </c>
      <c r="G500" s="37">
        <v>44971</v>
      </c>
      <c r="H500" s="36" t="s">
        <v>14</v>
      </c>
      <c r="I500" s="36" t="s">
        <v>79</v>
      </c>
    </row>
    <row r="501" spans="1:9" ht="14.4">
      <c r="A501" s="34">
        <v>2049</v>
      </c>
      <c r="B501" s="32" t="s">
        <v>223</v>
      </c>
      <c r="C501" s="34">
        <v>13942</v>
      </c>
      <c r="D501" s="34" t="s">
        <v>18</v>
      </c>
      <c r="E501" s="34">
        <v>40</v>
      </c>
      <c r="F501" s="35">
        <v>43146</v>
      </c>
      <c r="G501" s="35">
        <v>44971</v>
      </c>
      <c r="H501" s="34" t="s">
        <v>70</v>
      </c>
      <c r="I501" s="34" t="s">
        <v>79</v>
      </c>
    </row>
    <row r="502" spans="1:9" ht="14.4">
      <c r="A502" s="36">
        <v>2050</v>
      </c>
      <c r="B502" s="33" t="s">
        <v>223</v>
      </c>
      <c r="C502" s="36">
        <v>13943</v>
      </c>
      <c r="D502" s="36" t="s">
        <v>18</v>
      </c>
      <c r="E502" s="36">
        <v>30</v>
      </c>
      <c r="F502" s="37">
        <v>43146</v>
      </c>
      <c r="G502" s="37">
        <v>44971</v>
      </c>
      <c r="H502" s="36" t="s">
        <v>59</v>
      </c>
      <c r="I502" s="36" t="s">
        <v>79</v>
      </c>
    </row>
    <row r="503" spans="1:9" ht="14.4">
      <c r="A503" s="34">
        <v>2058</v>
      </c>
      <c r="B503" s="32" t="s">
        <v>207</v>
      </c>
      <c r="C503" s="34">
        <v>13958</v>
      </c>
      <c r="D503" s="34" t="s">
        <v>18</v>
      </c>
      <c r="E503" s="34">
        <v>14</v>
      </c>
      <c r="F503" s="35">
        <v>43222</v>
      </c>
      <c r="G503" s="35">
        <v>45047</v>
      </c>
      <c r="H503" s="34" t="s">
        <v>16</v>
      </c>
      <c r="I503" s="34" t="s">
        <v>79</v>
      </c>
    </row>
    <row r="504" spans="1:9" ht="14.4">
      <c r="A504" s="36">
        <v>2059</v>
      </c>
      <c r="B504" s="33" t="s">
        <v>224</v>
      </c>
      <c r="C504" s="36">
        <v>13961</v>
      </c>
      <c r="D504" s="36" t="s">
        <v>18</v>
      </c>
      <c r="E504" s="36">
        <v>90</v>
      </c>
      <c r="F504" s="37">
        <v>43374</v>
      </c>
      <c r="G504" s="37">
        <v>45199</v>
      </c>
      <c r="H504" s="36" t="s">
        <v>25</v>
      </c>
      <c r="I504" s="36" t="s">
        <v>79</v>
      </c>
    </row>
    <row r="505" spans="1:9" ht="14.4">
      <c r="A505" s="34">
        <v>2069</v>
      </c>
      <c r="B505" s="32" t="s">
        <v>225</v>
      </c>
      <c r="C505" s="34">
        <v>13994</v>
      </c>
      <c r="D505" s="34" t="s">
        <v>18</v>
      </c>
      <c r="E505" s="34">
        <v>50</v>
      </c>
      <c r="F505" s="35">
        <v>42979</v>
      </c>
      <c r="G505" s="35">
        <v>44804</v>
      </c>
      <c r="H505" s="34" t="s">
        <v>84</v>
      </c>
      <c r="I505" s="34" t="s">
        <v>79</v>
      </c>
    </row>
    <row r="506" spans="1:9" ht="14.4">
      <c r="A506" s="36">
        <v>2070</v>
      </c>
      <c r="B506" s="33" t="s">
        <v>225</v>
      </c>
      <c r="C506" s="36">
        <v>13998</v>
      </c>
      <c r="D506" s="36" t="s">
        <v>18</v>
      </c>
      <c r="E506" s="36">
        <v>330</v>
      </c>
      <c r="F506" s="37">
        <v>43169</v>
      </c>
      <c r="G506" s="37">
        <v>44994</v>
      </c>
      <c r="H506" s="36" t="s">
        <v>19</v>
      </c>
      <c r="I506" s="36" t="s">
        <v>79</v>
      </c>
    </row>
    <row r="507" spans="1:9" ht="14.4">
      <c r="A507" s="34">
        <v>2078</v>
      </c>
      <c r="B507" s="32" t="s">
        <v>226</v>
      </c>
      <c r="C507" s="34">
        <v>14032</v>
      </c>
      <c r="D507" s="34" t="s">
        <v>18</v>
      </c>
      <c r="E507" s="34">
        <v>41</v>
      </c>
      <c r="F507" s="35">
        <v>43220</v>
      </c>
      <c r="G507" s="35">
        <v>45045</v>
      </c>
      <c r="H507" s="34" t="s">
        <v>59</v>
      </c>
      <c r="I507" s="34" t="s">
        <v>79</v>
      </c>
    </row>
    <row r="508" spans="1:9" ht="14.4">
      <c r="A508" s="36">
        <v>2079</v>
      </c>
      <c r="B508" s="33" t="s">
        <v>226</v>
      </c>
      <c r="C508" s="36">
        <v>14034</v>
      </c>
      <c r="D508" s="36" t="s">
        <v>18</v>
      </c>
      <c r="E508" s="36">
        <v>104</v>
      </c>
      <c r="F508" s="37">
        <v>43222</v>
      </c>
      <c r="G508" s="37">
        <v>45047</v>
      </c>
      <c r="H508" s="36" t="s">
        <v>14</v>
      </c>
      <c r="I508" s="36" t="s">
        <v>79</v>
      </c>
    </row>
    <row r="509" spans="1:9" ht="14.4">
      <c r="A509" s="34">
        <v>2085</v>
      </c>
      <c r="B509" s="32" t="s">
        <v>227</v>
      </c>
      <c r="C509" s="34">
        <v>14044</v>
      </c>
      <c r="D509" s="34" t="s">
        <v>13</v>
      </c>
      <c r="E509" s="34">
        <v>74</v>
      </c>
      <c r="F509" s="35">
        <v>43046</v>
      </c>
      <c r="G509" s="35">
        <v>54002</v>
      </c>
      <c r="H509" s="34" t="s">
        <v>16</v>
      </c>
      <c r="I509" s="34" t="s">
        <v>79</v>
      </c>
    </row>
    <row r="510" spans="1:9" ht="14.4">
      <c r="A510" s="36">
        <v>2087</v>
      </c>
      <c r="B510" s="33" t="s">
        <v>228</v>
      </c>
      <c r="C510" s="36">
        <v>14048</v>
      </c>
      <c r="D510" s="36" t="s">
        <v>30</v>
      </c>
      <c r="E510" s="36">
        <v>78</v>
      </c>
      <c r="F510" s="37">
        <v>44074</v>
      </c>
      <c r="G510" s="37">
        <v>45899</v>
      </c>
      <c r="H510" s="36" t="s">
        <v>84</v>
      </c>
      <c r="I510" s="36" t="s">
        <v>79</v>
      </c>
    </row>
    <row r="511" spans="1:9" ht="14.4">
      <c r="A511" s="34">
        <v>2089</v>
      </c>
      <c r="B511" s="32" t="s">
        <v>229</v>
      </c>
      <c r="C511" s="34">
        <v>14050</v>
      </c>
      <c r="D511" s="34" t="s">
        <v>13</v>
      </c>
      <c r="E511" s="34">
        <v>8</v>
      </c>
      <c r="F511" s="35">
        <v>43711</v>
      </c>
      <c r="G511" s="35">
        <v>52842</v>
      </c>
      <c r="H511" s="34" t="s">
        <v>16</v>
      </c>
      <c r="I511" s="34" t="s">
        <v>79</v>
      </c>
    </row>
    <row r="512" spans="1:9" ht="14.4">
      <c r="A512" s="36">
        <v>2090</v>
      </c>
      <c r="B512" s="33" t="s">
        <v>101</v>
      </c>
      <c r="C512" s="36">
        <v>14051</v>
      </c>
      <c r="D512" s="36" t="s">
        <v>13</v>
      </c>
      <c r="E512" s="36">
        <v>16</v>
      </c>
      <c r="F512" s="37">
        <v>42999</v>
      </c>
      <c r="G512" s="37">
        <v>45385</v>
      </c>
      <c r="H512" s="36" t="s">
        <v>16</v>
      </c>
      <c r="I512" s="36" t="s">
        <v>79</v>
      </c>
    </row>
    <row r="513" spans="1:9" ht="14.4">
      <c r="A513" s="34">
        <v>2091</v>
      </c>
      <c r="B513" s="32" t="s">
        <v>43</v>
      </c>
      <c r="C513" s="34">
        <v>14052</v>
      </c>
      <c r="D513" s="34" t="s">
        <v>13</v>
      </c>
      <c r="E513" s="34">
        <v>14</v>
      </c>
      <c r="F513" s="35">
        <v>43000</v>
      </c>
      <c r="G513" s="35">
        <v>51202</v>
      </c>
      <c r="H513" s="34" t="s">
        <v>14</v>
      </c>
      <c r="I513" s="34" t="s">
        <v>79</v>
      </c>
    </row>
    <row r="514" spans="1:9" ht="14.4">
      <c r="A514" s="36">
        <v>2092</v>
      </c>
      <c r="B514" s="33" t="s">
        <v>101</v>
      </c>
      <c r="C514" s="36">
        <v>14053</v>
      </c>
      <c r="D514" s="36" t="s">
        <v>13</v>
      </c>
      <c r="E514" s="36">
        <v>18</v>
      </c>
      <c r="F514" s="37">
        <v>43000</v>
      </c>
      <c r="G514" s="37">
        <v>51202</v>
      </c>
      <c r="H514" s="36" t="s">
        <v>14</v>
      </c>
      <c r="I514" s="36" t="s">
        <v>79</v>
      </c>
    </row>
    <row r="515" spans="1:9" ht="14.4">
      <c r="A515" s="34">
        <v>2095</v>
      </c>
      <c r="B515" s="32" t="s">
        <v>230</v>
      </c>
      <c r="C515" s="34">
        <v>14059</v>
      </c>
      <c r="D515" s="34" t="s">
        <v>18</v>
      </c>
      <c r="E515" s="34">
        <v>25</v>
      </c>
      <c r="F515" s="35">
        <v>43132</v>
      </c>
      <c r="G515" s="35">
        <v>44592</v>
      </c>
      <c r="H515" s="34" t="s">
        <v>59</v>
      </c>
      <c r="I515" s="34" t="s">
        <v>79</v>
      </c>
    </row>
    <row r="516" spans="1:9" ht="14.4">
      <c r="A516" s="36">
        <v>2096</v>
      </c>
      <c r="B516" s="33" t="s">
        <v>15</v>
      </c>
      <c r="C516" s="36">
        <v>14062</v>
      </c>
      <c r="D516" s="36" t="s">
        <v>21</v>
      </c>
      <c r="E516" s="36">
        <v>4</v>
      </c>
      <c r="F516" s="37">
        <v>43300</v>
      </c>
      <c r="G516" s="37">
        <v>45125</v>
      </c>
      <c r="H516" s="36" t="s">
        <v>14</v>
      </c>
      <c r="I516" s="36" t="s">
        <v>79</v>
      </c>
    </row>
    <row r="517" spans="1:9" ht="14.4">
      <c r="A517" s="34">
        <v>2097</v>
      </c>
      <c r="B517" s="32" t="s">
        <v>15</v>
      </c>
      <c r="C517" s="34">
        <v>14063</v>
      </c>
      <c r="D517" s="34" t="s">
        <v>21</v>
      </c>
      <c r="E517" s="34">
        <v>4</v>
      </c>
      <c r="F517" s="35">
        <v>43300</v>
      </c>
      <c r="G517" s="35">
        <v>45125</v>
      </c>
      <c r="H517" s="34" t="s">
        <v>16</v>
      </c>
      <c r="I517" s="34" t="s">
        <v>79</v>
      </c>
    </row>
    <row r="518" spans="1:9" ht="14.4">
      <c r="A518" s="36">
        <v>2098</v>
      </c>
      <c r="B518" s="33" t="s">
        <v>15</v>
      </c>
      <c r="C518" s="36">
        <v>14064</v>
      </c>
      <c r="D518" s="36" t="s">
        <v>21</v>
      </c>
      <c r="E518" s="36">
        <v>4</v>
      </c>
      <c r="F518" s="37">
        <v>43300</v>
      </c>
      <c r="G518" s="37">
        <v>45125</v>
      </c>
      <c r="H518" s="36" t="s">
        <v>16</v>
      </c>
      <c r="I518" s="36" t="s">
        <v>79</v>
      </c>
    </row>
    <row r="519" spans="1:9" ht="14.4">
      <c r="A519" s="34">
        <v>2099</v>
      </c>
      <c r="B519" s="32" t="s">
        <v>15</v>
      </c>
      <c r="C519" s="34">
        <v>14065</v>
      </c>
      <c r="D519" s="34" t="s">
        <v>21</v>
      </c>
      <c r="E519" s="34">
        <v>4</v>
      </c>
      <c r="F519" s="35">
        <v>43300</v>
      </c>
      <c r="G519" s="35">
        <v>45125</v>
      </c>
      <c r="H519" s="34" t="s">
        <v>16</v>
      </c>
      <c r="I519" s="34" t="s">
        <v>79</v>
      </c>
    </row>
    <row r="520" spans="1:9" ht="14.4">
      <c r="A520" s="36">
        <v>2100</v>
      </c>
      <c r="B520" s="33" t="s">
        <v>15</v>
      </c>
      <c r="C520" s="36">
        <v>14066</v>
      </c>
      <c r="D520" s="36" t="s">
        <v>21</v>
      </c>
      <c r="E520" s="36">
        <v>5</v>
      </c>
      <c r="F520" s="37">
        <v>43300</v>
      </c>
      <c r="G520" s="37">
        <v>45125</v>
      </c>
      <c r="H520" s="36" t="s">
        <v>16</v>
      </c>
      <c r="I520" s="36" t="s">
        <v>79</v>
      </c>
    </row>
    <row r="521" spans="1:9" ht="14.4">
      <c r="A521" s="34">
        <v>2101</v>
      </c>
      <c r="B521" s="32" t="s">
        <v>15</v>
      </c>
      <c r="C521" s="34">
        <v>14067</v>
      </c>
      <c r="D521" s="34" t="s">
        <v>21</v>
      </c>
      <c r="E521" s="34">
        <v>4</v>
      </c>
      <c r="F521" s="35">
        <v>43300</v>
      </c>
      <c r="G521" s="35">
        <v>45125</v>
      </c>
      <c r="H521" s="34" t="s">
        <v>16</v>
      </c>
      <c r="I521" s="34" t="s">
        <v>79</v>
      </c>
    </row>
    <row r="522" spans="1:9" ht="14.4">
      <c r="A522" s="36">
        <v>2105</v>
      </c>
      <c r="B522" s="33" t="s">
        <v>231</v>
      </c>
      <c r="C522" s="36">
        <v>14073</v>
      </c>
      <c r="D522" s="36" t="s">
        <v>18</v>
      </c>
      <c r="E522" s="36">
        <v>20</v>
      </c>
      <c r="F522" s="37">
        <v>43531</v>
      </c>
      <c r="G522" s="37">
        <v>45357</v>
      </c>
      <c r="H522" s="36" t="s">
        <v>70</v>
      </c>
      <c r="I522" s="36" t="s">
        <v>79</v>
      </c>
    </row>
    <row r="523" spans="1:9" ht="14.4">
      <c r="A523" s="34">
        <v>2106</v>
      </c>
      <c r="B523" s="32" t="s">
        <v>231</v>
      </c>
      <c r="C523" s="34">
        <v>14074</v>
      </c>
      <c r="D523" s="34" t="s">
        <v>18</v>
      </c>
      <c r="E523" s="34">
        <v>14</v>
      </c>
      <c r="F523" s="35">
        <v>43531</v>
      </c>
      <c r="G523" s="35">
        <v>45357</v>
      </c>
      <c r="H523" s="34" t="s">
        <v>16</v>
      </c>
      <c r="I523" s="34" t="s">
        <v>79</v>
      </c>
    </row>
    <row r="524" spans="1:9" ht="14.4">
      <c r="A524" s="36">
        <v>2108</v>
      </c>
      <c r="B524" s="33" t="s">
        <v>232</v>
      </c>
      <c r="C524" s="36">
        <v>14076</v>
      </c>
      <c r="D524" s="36" t="s">
        <v>18</v>
      </c>
      <c r="E524" s="36">
        <v>14</v>
      </c>
      <c r="F524" s="37">
        <v>43169</v>
      </c>
      <c r="G524" s="37">
        <v>44994</v>
      </c>
      <c r="H524" s="36" t="s">
        <v>14</v>
      </c>
      <c r="I524" s="36" t="s">
        <v>79</v>
      </c>
    </row>
    <row r="525" spans="1:9" ht="14.4">
      <c r="A525" s="34">
        <v>2109</v>
      </c>
      <c r="B525" s="32" t="s">
        <v>233</v>
      </c>
      <c r="C525" s="34">
        <v>14079</v>
      </c>
      <c r="D525" s="34" t="s">
        <v>18</v>
      </c>
      <c r="E525" s="34">
        <v>13</v>
      </c>
      <c r="F525" s="35">
        <v>43169</v>
      </c>
      <c r="G525" s="35">
        <v>44994</v>
      </c>
      <c r="H525" s="34" t="s">
        <v>70</v>
      </c>
      <c r="I525" s="34" t="s">
        <v>79</v>
      </c>
    </row>
    <row r="526" spans="1:9" ht="14.4">
      <c r="A526" s="36">
        <v>2110</v>
      </c>
      <c r="B526" s="33" t="s">
        <v>233</v>
      </c>
      <c r="C526" s="36">
        <v>14081</v>
      </c>
      <c r="D526" s="36" t="s">
        <v>18</v>
      </c>
      <c r="E526" s="36">
        <v>12</v>
      </c>
      <c r="F526" s="37">
        <v>43169</v>
      </c>
      <c r="G526" s="37">
        <v>44994</v>
      </c>
      <c r="H526" s="36" t="s">
        <v>70</v>
      </c>
      <c r="I526" s="36" t="s">
        <v>79</v>
      </c>
    </row>
    <row r="527" spans="1:9" ht="14.4">
      <c r="A527" s="34">
        <v>2111</v>
      </c>
      <c r="B527" s="32" t="s">
        <v>234</v>
      </c>
      <c r="C527" s="34">
        <v>14082</v>
      </c>
      <c r="D527" s="34" t="s">
        <v>21</v>
      </c>
      <c r="E527" s="34">
        <v>2</v>
      </c>
      <c r="F527" s="35">
        <v>44719</v>
      </c>
      <c r="G527" s="35">
        <v>46544</v>
      </c>
      <c r="H527" s="34" t="s">
        <v>19</v>
      </c>
      <c r="I527" s="34" t="s">
        <v>79</v>
      </c>
    </row>
    <row r="528" spans="1:9" ht="14.4">
      <c r="A528" s="36">
        <v>2115</v>
      </c>
      <c r="B528" s="33" t="s">
        <v>233</v>
      </c>
      <c r="C528" s="36">
        <v>14090</v>
      </c>
      <c r="D528" s="36" t="s">
        <v>18</v>
      </c>
      <c r="E528" s="36">
        <v>10</v>
      </c>
      <c r="F528" s="37">
        <v>43169</v>
      </c>
      <c r="G528" s="37">
        <v>44994</v>
      </c>
      <c r="H528" s="36" t="s">
        <v>31</v>
      </c>
      <c r="I528" s="36" t="s">
        <v>79</v>
      </c>
    </row>
    <row r="529" spans="1:9" ht="14.4">
      <c r="A529" s="34">
        <v>2116</v>
      </c>
      <c r="B529" s="32" t="s">
        <v>233</v>
      </c>
      <c r="C529" s="34">
        <v>14091</v>
      </c>
      <c r="D529" s="34" t="s">
        <v>18</v>
      </c>
      <c r="E529" s="34">
        <v>4</v>
      </c>
      <c r="F529" s="35">
        <v>43169</v>
      </c>
      <c r="G529" s="35">
        <v>44994</v>
      </c>
      <c r="H529" s="34" t="s">
        <v>31</v>
      </c>
      <c r="I529" s="34" t="s">
        <v>79</v>
      </c>
    </row>
    <row r="530" spans="1:9" ht="14.4">
      <c r="A530" s="36">
        <v>2117</v>
      </c>
      <c r="B530" s="33" t="s">
        <v>235</v>
      </c>
      <c r="C530" s="36">
        <v>14092</v>
      </c>
      <c r="D530" s="36" t="s">
        <v>13</v>
      </c>
      <c r="E530" s="36">
        <v>15</v>
      </c>
      <c r="F530" s="37">
        <v>43783</v>
      </c>
      <c r="G530" s="37">
        <v>52914</v>
      </c>
      <c r="H530" s="36" t="s">
        <v>19</v>
      </c>
      <c r="I530" s="36" t="s">
        <v>79</v>
      </c>
    </row>
    <row r="531" spans="1:9" ht="14.4">
      <c r="A531" s="34">
        <v>2118</v>
      </c>
      <c r="B531" s="32" t="s">
        <v>235</v>
      </c>
      <c r="C531" s="34">
        <v>14093</v>
      </c>
      <c r="D531" s="34" t="s">
        <v>13</v>
      </c>
      <c r="E531" s="34">
        <v>8</v>
      </c>
      <c r="F531" s="35">
        <v>43783</v>
      </c>
      <c r="G531" s="35">
        <v>52914</v>
      </c>
      <c r="H531" s="34" t="s">
        <v>84</v>
      </c>
      <c r="I531" s="34" t="s">
        <v>79</v>
      </c>
    </row>
    <row r="532" spans="1:9" ht="14.4">
      <c r="A532" s="36">
        <v>2120</v>
      </c>
      <c r="B532" s="33" t="s">
        <v>236</v>
      </c>
      <c r="C532" s="36">
        <v>14095</v>
      </c>
      <c r="D532" s="36" t="s">
        <v>18</v>
      </c>
      <c r="E532" s="36">
        <v>2</v>
      </c>
      <c r="F532" s="37">
        <v>43169</v>
      </c>
      <c r="G532" s="37">
        <v>44994</v>
      </c>
      <c r="H532" s="36" t="s">
        <v>56</v>
      </c>
      <c r="I532" s="36" t="s">
        <v>79</v>
      </c>
    </row>
    <row r="533" spans="1:9" ht="14.4">
      <c r="A533" s="34">
        <v>2122</v>
      </c>
      <c r="B533" s="32" t="s">
        <v>236</v>
      </c>
      <c r="C533" s="34">
        <v>14097</v>
      </c>
      <c r="D533" s="34" t="s">
        <v>18</v>
      </c>
      <c r="E533" s="34">
        <v>4</v>
      </c>
      <c r="F533" s="35">
        <v>43169</v>
      </c>
      <c r="G533" s="35">
        <v>44994</v>
      </c>
      <c r="H533" s="34" t="s">
        <v>56</v>
      </c>
      <c r="I533" s="34" t="s">
        <v>79</v>
      </c>
    </row>
    <row r="534" spans="1:9" ht="14.4">
      <c r="A534" s="36">
        <v>2123</v>
      </c>
      <c r="B534" s="33" t="s">
        <v>237</v>
      </c>
      <c r="C534" s="36">
        <v>14098</v>
      </c>
      <c r="D534" s="36" t="s">
        <v>18</v>
      </c>
      <c r="E534" s="36">
        <v>6</v>
      </c>
      <c r="F534" s="37">
        <v>43169</v>
      </c>
      <c r="G534" s="37">
        <v>44994</v>
      </c>
      <c r="H534" s="36" t="s">
        <v>14</v>
      </c>
      <c r="I534" s="36" t="s">
        <v>79</v>
      </c>
    </row>
    <row r="535" spans="1:9" ht="14.4">
      <c r="A535" s="34">
        <v>2124</v>
      </c>
      <c r="B535" s="32" t="s">
        <v>237</v>
      </c>
      <c r="C535" s="34">
        <v>14099</v>
      </c>
      <c r="D535" s="34" t="s">
        <v>18</v>
      </c>
      <c r="E535" s="34">
        <v>8</v>
      </c>
      <c r="F535" s="35">
        <v>43169</v>
      </c>
      <c r="G535" s="35">
        <v>44994</v>
      </c>
      <c r="H535" s="34" t="s">
        <v>14</v>
      </c>
      <c r="I535" s="34" t="s">
        <v>79</v>
      </c>
    </row>
    <row r="536" spans="1:9" ht="14.4">
      <c r="A536" s="36">
        <v>2125</v>
      </c>
      <c r="B536" s="33" t="s">
        <v>237</v>
      </c>
      <c r="C536" s="36">
        <v>14100</v>
      </c>
      <c r="D536" s="36" t="s">
        <v>18</v>
      </c>
      <c r="E536" s="36">
        <v>6</v>
      </c>
      <c r="F536" s="37">
        <v>43169</v>
      </c>
      <c r="G536" s="37">
        <v>44994</v>
      </c>
      <c r="H536" s="36" t="s">
        <v>14</v>
      </c>
      <c r="I536" s="36" t="s">
        <v>79</v>
      </c>
    </row>
    <row r="537" spans="1:9" ht="14.4">
      <c r="A537" s="34">
        <v>2126</v>
      </c>
      <c r="B537" s="32" t="s">
        <v>27</v>
      </c>
      <c r="C537" s="34">
        <v>14102</v>
      </c>
      <c r="D537" s="34" t="s">
        <v>18</v>
      </c>
      <c r="E537" s="34">
        <v>39</v>
      </c>
      <c r="F537" s="35">
        <v>43510</v>
      </c>
      <c r="G537" s="35">
        <v>45335</v>
      </c>
      <c r="H537" s="34" t="s">
        <v>14</v>
      </c>
      <c r="I537" s="34" t="s">
        <v>79</v>
      </c>
    </row>
    <row r="538" spans="1:9" ht="14.4">
      <c r="A538" s="36">
        <v>2128</v>
      </c>
      <c r="B538" s="33" t="s">
        <v>238</v>
      </c>
      <c r="C538" s="36">
        <v>14105</v>
      </c>
      <c r="D538" s="36" t="s">
        <v>18</v>
      </c>
      <c r="E538" s="36">
        <v>10</v>
      </c>
      <c r="F538" s="37">
        <v>43160</v>
      </c>
      <c r="G538" s="37">
        <v>44985</v>
      </c>
      <c r="H538" s="36" t="s">
        <v>70</v>
      </c>
      <c r="I538" s="36" t="s">
        <v>79</v>
      </c>
    </row>
    <row r="539" spans="1:9" ht="14.4">
      <c r="A539" s="34">
        <v>2129</v>
      </c>
      <c r="B539" s="32" t="s">
        <v>239</v>
      </c>
      <c r="C539" s="34">
        <v>14107</v>
      </c>
      <c r="D539" s="34" t="s">
        <v>18</v>
      </c>
      <c r="E539" s="34">
        <v>15</v>
      </c>
      <c r="F539" s="35">
        <v>43510</v>
      </c>
      <c r="G539" s="35">
        <v>45335</v>
      </c>
      <c r="H539" s="34" t="s">
        <v>16</v>
      </c>
      <c r="I539" s="34" t="s">
        <v>79</v>
      </c>
    </row>
    <row r="540" spans="1:9" ht="14.4">
      <c r="A540" s="36">
        <v>2130</v>
      </c>
      <c r="B540" s="33" t="s">
        <v>240</v>
      </c>
      <c r="C540" s="36">
        <v>14110</v>
      </c>
      <c r="D540" s="36" t="s">
        <v>18</v>
      </c>
      <c r="E540" s="36">
        <v>105</v>
      </c>
      <c r="F540" s="37">
        <v>43222</v>
      </c>
      <c r="G540" s="37">
        <v>45047</v>
      </c>
      <c r="H540" s="36" t="s">
        <v>70</v>
      </c>
      <c r="I540" s="36" t="s">
        <v>79</v>
      </c>
    </row>
    <row r="541" spans="1:9" ht="14.4">
      <c r="A541" s="34">
        <v>2131</v>
      </c>
      <c r="B541" s="32" t="s">
        <v>241</v>
      </c>
      <c r="C541" s="34">
        <v>14115</v>
      </c>
      <c r="D541" s="34" t="s">
        <v>18</v>
      </c>
      <c r="E541" s="34">
        <v>5</v>
      </c>
      <c r="F541" s="35">
        <v>43320</v>
      </c>
      <c r="G541" s="35">
        <v>45145</v>
      </c>
      <c r="H541" s="34" t="s">
        <v>14</v>
      </c>
      <c r="I541" s="34" t="s">
        <v>79</v>
      </c>
    </row>
    <row r="542" spans="1:9" ht="14.4">
      <c r="A542" s="36">
        <v>2132</v>
      </c>
      <c r="B542" s="33" t="s">
        <v>242</v>
      </c>
      <c r="C542" s="36">
        <v>14128</v>
      </c>
      <c r="D542" s="36" t="s">
        <v>18</v>
      </c>
      <c r="E542" s="36">
        <v>4</v>
      </c>
      <c r="F542" s="37">
        <v>43377</v>
      </c>
      <c r="G542" s="37">
        <v>45202</v>
      </c>
      <c r="H542" s="36" t="s">
        <v>14</v>
      </c>
      <c r="I542" s="36" t="s">
        <v>79</v>
      </c>
    </row>
    <row r="543" spans="1:9" ht="14.4">
      <c r="A543" s="34">
        <v>2133</v>
      </c>
      <c r="B543" s="32" t="s">
        <v>242</v>
      </c>
      <c r="C543" s="34">
        <v>14129</v>
      </c>
      <c r="D543" s="34" t="s">
        <v>18</v>
      </c>
      <c r="E543" s="34">
        <v>4</v>
      </c>
      <c r="F543" s="35">
        <v>43377</v>
      </c>
      <c r="G543" s="35">
        <v>45202</v>
      </c>
      <c r="H543" s="34" t="s">
        <v>14</v>
      </c>
      <c r="I543" s="34" t="s">
        <v>79</v>
      </c>
    </row>
    <row r="544" spans="1:9" ht="14.4">
      <c r="A544" s="36">
        <v>2134</v>
      </c>
      <c r="B544" s="33" t="s">
        <v>242</v>
      </c>
      <c r="C544" s="36">
        <v>14130</v>
      </c>
      <c r="D544" s="36" t="s">
        <v>18</v>
      </c>
      <c r="E544" s="36">
        <v>3</v>
      </c>
      <c r="F544" s="37">
        <v>43377</v>
      </c>
      <c r="G544" s="37">
        <v>45202</v>
      </c>
      <c r="H544" s="36" t="s">
        <v>14</v>
      </c>
      <c r="I544" s="36" t="s">
        <v>79</v>
      </c>
    </row>
    <row r="545" spans="1:9" ht="14.4">
      <c r="A545" s="34">
        <v>2135</v>
      </c>
      <c r="B545" s="32" t="s">
        <v>243</v>
      </c>
      <c r="C545" s="34">
        <v>14131</v>
      </c>
      <c r="D545" s="34" t="s">
        <v>13</v>
      </c>
      <c r="E545" s="34">
        <v>67</v>
      </c>
      <c r="F545" s="35">
        <v>43744</v>
      </c>
      <c r="G545" s="35">
        <v>49222</v>
      </c>
      <c r="H545" s="34" t="s">
        <v>14</v>
      </c>
      <c r="I545" s="34" t="s">
        <v>79</v>
      </c>
    </row>
    <row r="546" spans="1:9" ht="14.4">
      <c r="A546" s="36">
        <v>2136</v>
      </c>
      <c r="B546" s="33" t="s">
        <v>244</v>
      </c>
      <c r="C546" s="36">
        <v>14132</v>
      </c>
      <c r="D546" s="36" t="s">
        <v>18</v>
      </c>
      <c r="E546" s="36">
        <v>4</v>
      </c>
      <c r="F546" s="37">
        <v>43377</v>
      </c>
      <c r="G546" s="37">
        <v>45202</v>
      </c>
      <c r="H546" s="36" t="s">
        <v>26</v>
      </c>
      <c r="I546" s="36" t="s">
        <v>79</v>
      </c>
    </row>
    <row r="547" spans="1:9" ht="14.4">
      <c r="A547" s="34">
        <v>2137</v>
      </c>
      <c r="B547" s="32" t="s">
        <v>245</v>
      </c>
      <c r="C547" s="34">
        <v>14142</v>
      </c>
      <c r="D547" s="34" t="s">
        <v>18</v>
      </c>
      <c r="E547" s="34">
        <v>16</v>
      </c>
      <c r="F547" s="35">
        <v>43169</v>
      </c>
      <c r="G547" s="35">
        <v>44994</v>
      </c>
      <c r="H547" s="34" t="s">
        <v>14</v>
      </c>
      <c r="I547" s="34" t="s">
        <v>79</v>
      </c>
    </row>
    <row r="548" spans="1:9" ht="14.4">
      <c r="A548" s="36">
        <v>2138</v>
      </c>
      <c r="B548" s="33" t="s">
        <v>245</v>
      </c>
      <c r="C548" s="36">
        <v>14143</v>
      </c>
      <c r="D548" s="36" t="s">
        <v>18</v>
      </c>
      <c r="E548" s="36">
        <v>4</v>
      </c>
      <c r="F548" s="37">
        <v>43169</v>
      </c>
      <c r="G548" s="37">
        <v>44994</v>
      </c>
      <c r="H548" s="36" t="s">
        <v>14</v>
      </c>
      <c r="I548" s="36" t="s">
        <v>79</v>
      </c>
    </row>
    <row r="549" spans="1:9" ht="14.4">
      <c r="A549" s="34">
        <v>2139</v>
      </c>
      <c r="B549" s="32" t="s">
        <v>246</v>
      </c>
      <c r="C549" s="34">
        <v>14154</v>
      </c>
      <c r="D549" s="34" t="s">
        <v>18</v>
      </c>
      <c r="E549" s="34">
        <v>4</v>
      </c>
      <c r="F549" s="35">
        <v>43711</v>
      </c>
      <c r="G549" s="35">
        <v>45537</v>
      </c>
      <c r="H549" s="34" t="s">
        <v>70</v>
      </c>
      <c r="I549" s="34" t="s">
        <v>79</v>
      </c>
    </row>
    <row r="550" spans="1:9" ht="14.4">
      <c r="A550" s="36">
        <v>2140</v>
      </c>
      <c r="B550" s="33" t="s">
        <v>247</v>
      </c>
      <c r="C550" s="36">
        <v>14159</v>
      </c>
      <c r="D550" s="36" t="s">
        <v>18</v>
      </c>
      <c r="E550" s="36">
        <v>30</v>
      </c>
      <c r="F550" s="37">
        <v>43615</v>
      </c>
      <c r="G550" s="37">
        <v>45441</v>
      </c>
      <c r="H550" s="36" t="s">
        <v>24</v>
      </c>
      <c r="I550" s="36" t="s">
        <v>79</v>
      </c>
    </row>
    <row r="551" spans="1:9" ht="14.4">
      <c r="A551" s="34">
        <v>2141</v>
      </c>
      <c r="B551" s="32" t="s">
        <v>245</v>
      </c>
      <c r="C551" s="34">
        <v>14163</v>
      </c>
      <c r="D551" s="34" t="s">
        <v>18</v>
      </c>
      <c r="E551" s="34">
        <v>13</v>
      </c>
      <c r="F551" s="35">
        <v>43377</v>
      </c>
      <c r="G551" s="35">
        <v>45202</v>
      </c>
      <c r="H551" s="34" t="s">
        <v>14</v>
      </c>
      <c r="I551" s="34" t="s">
        <v>79</v>
      </c>
    </row>
    <row r="552" spans="1:9" ht="14.4">
      <c r="A552" s="36">
        <v>2142</v>
      </c>
      <c r="B552" s="33" t="s">
        <v>245</v>
      </c>
      <c r="C552" s="36">
        <v>14164</v>
      </c>
      <c r="D552" s="36" t="s">
        <v>18</v>
      </c>
      <c r="E552" s="36">
        <v>5</v>
      </c>
      <c r="F552" s="37">
        <v>43377</v>
      </c>
      <c r="G552" s="37">
        <v>45202</v>
      </c>
      <c r="H552" s="36" t="s">
        <v>14</v>
      </c>
      <c r="I552" s="36" t="s">
        <v>79</v>
      </c>
    </row>
    <row r="553" spans="1:9" ht="14.4">
      <c r="A553" s="34">
        <v>2143</v>
      </c>
      <c r="B553" s="32" t="s">
        <v>245</v>
      </c>
      <c r="C553" s="34">
        <v>14165</v>
      </c>
      <c r="D553" s="34" t="s">
        <v>18</v>
      </c>
      <c r="E553" s="34">
        <v>1</v>
      </c>
      <c r="F553" s="35">
        <v>43377</v>
      </c>
      <c r="G553" s="35">
        <v>45202</v>
      </c>
      <c r="H553" s="34" t="s">
        <v>14</v>
      </c>
      <c r="I553" s="34" t="s">
        <v>79</v>
      </c>
    </row>
    <row r="554" spans="1:9" ht="14.4">
      <c r="A554" s="36">
        <v>2144</v>
      </c>
      <c r="B554" s="33" t="s">
        <v>245</v>
      </c>
      <c r="C554" s="36">
        <v>14166</v>
      </c>
      <c r="D554" s="36" t="s">
        <v>18</v>
      </c>
      <c r="E554" s="36">
        <v>7</v>
      </c>
      <c r="F554" s="37">
        <v>43377</v>
      </c>
      <c r="G554" s="37">
        <v>45202</v>
      </c>
      <c r="H554" s="36" t="s">
        <v>14</v>
      </c>
      <c r="I554" s="36" t="s">
        <v>79</v>
      </c>
    </row>
    <row r="555" spans="1:9" ht="14.4">
      <c r="A555" s="34">
        <v>2145</v>
      </c>
      <c r="B555" s="32" t="s">
        <v>248</v>
      </c>
      <c r="C555" s="34">
        <v>14167</v>
      </c>
      <c r="D555" s="34" t="s">
        <v>18</v>
      </c>
      <c r="E555" s="34">
        <v>5</v>
      </c>
      <c r="F555" s="35">
        <v>43510</v>
      </c>
      <c r="G555" s="35">
        <v>45335</v>
      </c>
      <c r="H555" s="34" t="s">
        <v>16</v>
      </c>
      <c r="I555" s="34" t="s">
        <v>79</v>
      </c>
    </row>
    <row r="556" spans="1:9" ht="14.4">
      <c r="A556" s="36">
        <v>2146</v>
      </c>
      <c r="B556" s="33" t="s">
        <v>248</v>
      </c>
      <c r="C556" s="36">
        <v>14168</v>
      </c>
      <c r="D556" s="36" t="s">
        <v>18</v>
      </c>
      <c r="E556" s="36">
        <v>5</v>
      </c>
      <c r="F556" s="37">
        <v>43546</v>
      </c>
      <c r="G556" s="37">
        <v>45372</v>
      </c>
      <c r="H556" s="36" t="s">
        <v>14</v>
      </c>
      <c r="I556" s="36" t="s">
        <v>79</v>
      </c>
    </row>
    <row r="557" spans="1:9" ht="14.4">
      <c r="A557" s="34">
        <v>2147</v>
      </c>
      <c r="B557" s="32" t="s">
        <v>249</v>
      </c>
      <c r="C557" s="34">
        <v>14169</v>
      </c>
      <c r="D557" s="34" t="s">
        <v>13</v>
      </c>
      <c r="E557" s="34">
        <v>30</v>
      </c>
      <c r="F557" s="35">
        <v>44218</v>
      </c>
      <c r="G557" s="35">
        <v>53348</v>
      </c>
      <c r="H557" s="34" t="s">
        <v>59</v>
      </c>
      <c r="I557" s="34" t="s">
        <v>79</v>
      </c>
    </row>
    <row r="558" spans="1:9" ht="14.4">
      <c r="A558" s="36">
        <v>2151</v>
      </c>
      <c r="B558" s="33" t="s">
        <v>250</v>
      </c>
      <c r="C558" s="36">
        <v>14177</v>
      </c>
      <c r="D558" s="36" t="s">
        <v>18</v>
      </c>
      <c r="E558" s="36">
        <v>8</v>
      </c>
      <c r="F558" s="37">
        <v>43374</v>
      </c>
      <c r="G558" s="37">
        <v>45199</v>
      </c>
      <c r="H558" s="36" t="s">
        <v>16</v>
      </c>
      <c r="I558" s="36" t="s">
        <v>79</v>
      </c>
    </row>
    <row r="559" spans="1:9" ht="14.4">
      <c r="A559" s="34">
        <v>2154</v>
      </c>
      <c r="B559" s="32" t="s">
        <v>51</v>
      </c>
      <c r="C559" s="34">
        <v>14182</v>
      </c>
      <c r="D559" s="34" t="s">
        <v>18</v>
      </c>
      <c r="E559" s="34">
        <v>28</v>
      </c>
      <c r="F559" s="35">
        <v>43374</v>
      </c>
      <c r="G559" s="35">
        <v>45199</v>
      </c>
      <c r="H559" s="34" t="s">
        <v>22</v>
      </c>
      <c r="I559" s="34" t="s">
        <v>79</v>
      </c>
    </row>
    <row r="560" spans="1:9" ht="14.4">
      <c r="A560" s="36">
        <v>2155</v>
      </c>
      <c r="B560" s="33" t="s">
        <v>51</v>
      </c>
      <c r="C560" s="36">
        <v>14183</v>
      </c>
      <c r="D560" s="36" t="s">
        <v>18</v>
      </c>
      <c r="E560" s="36">
        <v>6</v>
      </c>
      <c r="F560" s="37">
        <v>43374</v>
      </c>
      <c r="G560" s="37">
        <v>45199</v>
      </c>
      <c r="H560" s="36" t="s">
        <v>22</v>
      </c>
      <c r="I560" s="36" t="s">
        <v>79</v>
      </c>
    </row>
    <row r="561" spans="1:9" ht="14.4">
      <c r="A561" s="34">
        <v>2156</v>
      </c>
      <c r="B561" s="32" t="s">
        <v>51</v>
      </c>
      <c r="C561" s="34">
        <v>14184</v>
      </c>
      <c r="D561" s="34" t="s">
        <v>18</v>
      </c>
      <c r="E561" s="34">
        <v>26</v>
      </c>
      <c r="F561" s="35">
        <v>43374</v>
      </c>
      <c r="G561" s="35">
        <v>45229</v>
      </c>
      <c r="H561" s="34" t="s">
        <v>22</v>
      </c>
      <c r="I561" s="34" t="s">
        <v>79</v>
      </c>
    </row>
    <row r="562" spans="1:9" ht="14.4">
      <c r="A562" s="36">
        <v>2157</v>
      </c>
      <c r="B562" s="33" t="s">
        <v>51</v>
      </c>
      <c r="C562" s="36">
        <v>14185</v>
      </c>
      <c r="D562" s="36" t="s">
        <v>18</v>
      </c>
      <c r="E562" s="36">
        <v>11</v>
      </c>
      <c r="F562" s="37">
        <v>43374</v>
      </c>
      <c r="G562" s="37">
        <v>45199</v>
      </c>
      <c r="H562" s="36" t="s">
        <v>22</v>
      </c>
      <c r="I562" s="36" t="s">
        <v>79</v>
      </c>
    </row>
    <row r="563" spans="1:9" ht="14.4">
      <c r="A563" s="34">
        <v>2158</v>
      </c>
      <c r="B563" s="32" t="s">
        <v>51</v>
      </c>
      <c r="C563" s="34">
        <v>14186</v>
      </c>
      <c r="D563" s="34" t="s">
        <v>18</v>
      </c>
      <c r="E563" s="34">
        <v>38</v>
      </c>
      <c r="F563" s="35">
        <v>43374</v>
      </c>
      <c r="G563" s="35">
        <v>45199</v>
      </c>
      <c r="H563" s="34" t="s">
        <v>22</v>
      </c>
      <c r="I563" s="34" t="s">
        <v>79</v>
      </c>
    </row>
    <row r="564" spans="1:9" ht="14.4">
      <c r="A564" s="36">
        <v>2159</v>
      </c>
      <c r="B564" s="33" t="s">
        <v>51</v>
      </c>
      <c r="C564" s="36">
        <v>14187</v>
      </c>
      <c r="D564" s="36" t="s">
        <v>18</v>
      </c>
      <c r="E564" s="36">
        <v>180</v>
      </c>
      <c r="F564" s="37">
        <v>43374</v>
      </c>
      <c r="G564" s="37">
        <v>45199</v>
      </c>
      <c r="H564" s="36" t="s">
        <v>22</v>
      </c>
      <c r="I564" s="36" t="s">
        <v>79</v>
      </c>
    </row>
    <row r="565" spans="1:9" ht="14.4">
      <c r="A565" s="34">
        <v>2160</v>
      </c>
      <c r="B565" s="32" t="s">
        <v>51</v>
      </c>
      <c r="C565" s="34">
        <v>14188</v>
      </c>
      <c r="D565" s="34" t="s">
        <v>18</v>
      </c>
      <c r="E565" s="34">
        <v>16</v>
      </c>
      <c r="F565" s="35">
        <v>43374</v>
      </c>
      <c r="G565" s="35">
        <v>45199</v>
      </c>
      <c r="H565" s="34" t="s">
        <v>22</v>
      </c>
      <c r="I565" s="34" t="s">
        <v>79</v>
      </c>
    </row>
    <row r="566" spans="1:9" ht="14.4">
      <c r="A566" s="36">
        <v>2161</v>
      </c>
      <c r="B566" s="33" t="s">
        <v>238</v>
      </c>
      <c r="C566" s="36">
        <v>14189</v>
      </c>
      <c r="D566" s="36" t="s">
        <v>13</v>
      </c>
      <c r="E566" s="36">
        <v>56</v>
      </c>
      <c r="F566" s="37">
        <v>43444</v>
      </c>
      <c r="G566" s="37">
        <v>52574</v>
      </c>
      <c r="H566" s="36" t="s">
        <v>14</v>
      </c>
      <c r="I566" s="36" t="s">
        <v>79</v>
      </c>
    </row>
    <row r="567" spans="1:9" ht="14.4">
      <c r="A567" s="34">
        <v>2162</v>
      </c>
      <c r="B567" s="32" t="s">
        <v>251</v>
      </c>
      <c r="C567" s="34">
        <v>14190</v>
      </c>
      <c r="D567" s="34" t="s">
        <v>18</v>
      </c>
      <c r="E567" s="34">
        <v>6</v>
      </c>
      <c r="F567" s="35">
        <v>43560</v>
      </c>
      <c r="G567" s="35">
        <v>45386</v>
      </c>
      <c r="H567" s="34" t="s">
        <v>56</v>
      </c>
      <c r="I567" s="34" t="s">
        <v>79</v>
      </c>
    </row>
    <row r="568" spans="1:9" ht="14.4">
      <c r="A568" s="36">
        <v>2163</v>
      </c>
      <c r="B568" s="33" t="s">
        <v>251</v>
      </c>
      <c r="C568" s="36">
        <v>14191</v>
      </c>
      <c r="D568" s="36" t="s">
        <v>18</v>
      </c>
      <c r="E568" s="36">
        <v>5</v>
      </c>
      <c r="F568" s="37">
        <v>43560</v>
      </c>
      <c r="G568" s="37">
        <v>45386</v>
      </c>
      <c r="H568" s="36" t="s">
        <v>56</v>
      </c>
      <c r="I568" s="36" t="s">
        <v>79</v>
      </c>
    </row>
    <row r="569" spans="1:9" ht="14.4">
      <c r="A569" s="34">
        <v>2164</v>
      </c>
      <c r="B569" s="32" t="s">
        <v>251</v>
      </c>
      <c r="C569" s="34">
        <v>14192</v>
      </c>
      <c r="D569" s="34" t="s">
        <v>18</v>
      </c>
      <c r="E569" s="34">
        <v>4</v>
      </c>
      <c r="F569" s="35">
        <v>43560</v>
      </c>
      <c r="G569" s="35">
        <v>45386</v>
      </c>
      <c r="H569" s="34" t="s">
        <v>56</v>
      </c>
      <c r="I569" s="34" t="s">
        <v>79</v>
      </c>
    </row>
    <row r="570" spans="1:9" ht="14.4">
      <c r="A570" s="36">
        <v>2165</v>
      </c>
      <c r="B570" s="33" t="s">
        <v>252</v>
      </c>
      <c r="C570" s="36">
        <v>14195</v>
      </c>
      <c r="D570" s="36" t="s">
        <v>18</v>
      </c>
      <c r="E570" s="36">
        <v>2</v>
      </c>
      <c r="F570" s="37">
        <v>43153</v>
      </c>
      <c r="G570" s="37">
        <v>44978</v>
      </c>
      <c r="H570" s="36" t="s">
        <v>84</v>
      </c>
      <c r="I570" s="36" t="s">
        <v>79</v>
      </c>
    </row>
    <row r="571" spans="1:9" ht="14.4">
      <c r="A571" s="34">
        <v>2166</v>
      </c>
      <c r="B571" s="32" t="s">
        <v>126</v>
      </c>
      <c r="C571" s="34">
        <v>14198</v>
      </c>
      <c r="D571" s="34" t="s">
        <v>18</v>
      </c>
      <c r="E571" s="34">
        <v>19</v>
      </c>
      <c r="F571" s="35">
        <v>43493</v>
      </c>
      <c r="G571" s="35">
        <v>45318</v>
      </c>
      <c r="H571" s="34" t="s">
        <v>16</v>
      </c>
      <c r="I571" s="34" t="s">
        <v>79</v>
      </c>
    </row>
    <row r="572" spans="1:9" ht="14.4">
      <c r="A572" s="36">
        <v>2167</v>
      </c>
      <c r="B572" s="33" t="s">
        <v>253</v>
      </c>
      <c r="C572" s="36">
        <v>14199</v>
      </c>
      <c r="D572" s="36" t="s">
        <v>18</v>
      </c>
      <c r="E572" s="36">
        <v>3</v>
      </c>
      <c r="F572" s="37">
        <v>43493</v>
      </c>
      <c r="G572" s="37">
        <v>45318</v>
      </c>
      <c r="H572" s="36" t="s">
        <v>14</v>
      </c>
      <c r="I572" s="36" t="s">
        <v>79</v>
      </c>
    </row>
    <row r="573" spans="1:9" ht="14.4">
      <c r="A573" s="34">
        <v>2168</v>
      </c>
      <c r="B573" s="32" t="s">
        <v>254</v>
      </c>
      <c r="C573" s="34">
        <v>14209</v>
      </c>
      <c r="D573" s="34" t="s">
        <v>18</v>
      </c>
      <c r="E573" s="34">
        <v>1</v>
      </c>
      <c r="F573" s="35">
        <v>43493</v>
      </c>
      <c r="G573" s="35">
        <v>45318</v>
      </c>
      <c r="H573" s="34" t="s">
        <v>24</v>
      </c>
      <c r="I573" s="34" t="s">
        <v>79</v>
      </c>
    </row>
    <row r="574" spans="1:9" ht="14.4">
      <c r="A574" s="36">
        <v>2169</v>
      </c>
      <c r="B574" s="33" t="s">
        <v>254</v>
      </c>
      <c r="C574" s="36">
        <v>14210</v>
      </c>
      <c r="D574" s="36" t="s">
        <v>18</v>
      </c>
      <c r="E574" s="36">
        <v>1</v>
      </c>
      <c r="F574" s="37">
        <v>43493</v>
      </c>
      <c r="G574" s="37">
        <v>45318</v>
      </c>
      <c r="H574" s="36" t="s">
        <v>24</v>
      </c>
      <c r="I574" s="36" t="s">
        <v>79</v>
      </c>
    </row>
    <row r="575" spans="1:9" ht="14.4">
      <c r="A575" s="34">
        <v>2170</v>
      </c>
      <c r="B575" s="32" t="s">
        <v>254</v>
      </c>
      <c r="C575" s="34">
        <v>14211</v>
      </c>
      <c r="D575" s="34" t="s">
        <v>18</v>
      </c>
      <c r="E575" s="34">
        <v>1</v>
      </c>
      <c r="F575" s="35">
        <v>43493</v>
      </c>
      <c r="G575" s="35">
        <v>45318</v>
      </c>
      <c r="H575" s="34" t="s">
        <v>25</v>
      </c>
      <c r="I575" s="34" t="s">
        <v>79</v>
      </c>
    </row>
    <row r="576" spans="1:9" ht="14.4">
      <c r="A576" s="36">
        <v>2171</v>
      </c>
      <c r="B576" s="33" t="s">
        <v>254</v>
      </c>
      <c r="C576" s="36">
        <v>14212</v>
      </c>
      <c r="D576" s="36" t="s">
        <v>18</v>
      </c>
      <c r="E576" s="36">
        <v>1</v>
      </c>
      <c r="F576" s="37">
        <v>43493</v>
      </c>
      <c r="G576" s="37">
        <v>45318</v>
      </c>
      <c r="H576" s="36" t="s">
        <v>25</v>
      </c>
      <c r="I576" s="36" t="s">
        <v>79</v>
      </c>
    </row>
    <row r="577" spans="1:9" ht="14.4">
      <c r="A577" s="34">
        <v>2172</v>
      </c>
      <c r="B577" s="32" t="s">
        <v>254</v>
      </c>
      <c r="C577" s="34">
        <v>14213</v>
      </c>
      <c r="D577" s="34" t="s">
        <v>18</v>
      </c>
      <c r="E577" s="34">
        <v>2</v>
      </c>
      <c r="F577" s="35">
        <v>43493</v>
      </c>
      <c r="G577" s="35">
        <v>45318</v>
      </c>
      <c r="H577" s="34" t="s">
        <v>24</v>
      </c>
      <c r="I577" s="34" t="s">
        <v>79</v>
      </c>
    </row>
    <row r="578" spans="1:9" ht="14.4">
      <c r="A578" s="36">
        <v>2176</v>
      </c>
      <c r="B578" s="33" t="s">
        <v>255</v>
      </c>
      <c r="C578" s="36">
        <v>14222</v>
      </c>
      <c r="D578" s="36" t="s">
        <v>18</v>
      </c>
      <c r="E578" s="36">
        <v>2</v>
      </c>
      <c r="F578" s="37">
        <v>43550</v>
      </c>
      <c r="G578" s="37">
        <v>45376</v>
      </c>
      <c r="H578" s="36" t="s">
        <v>26</v>
      </c>
      <c r="I578" s="36" t="s">
        <v>79</v>
      </c>
    </row>
    <row r="579" spans="1:9" ht="14.4">
      <c r="A579" s="34">
        <v>2177</v>
      </c>
      <c r="B579" s="32" t="s">
        <v>256</v>
      </c>
      <c r="C579" s="34">
        <v>14223</v>
      </c>
      <c r="D579" s="34" t="s">
        <v>18</v>
      </c>
      <c r="E579" s="34">
        <v>2</v>
      </c>
      <c r="F579" s="35">
        <v>43493</v>
      </c>
      <c r="G579" s="35">
        <v>45318</v>
      </c>
      <c r="H579" s="34" t="s">
        <v>31</v>
      </c>
      <c r="I579" s="34" t="s">
        <v>79</v>
      </c>
    </row>
    <row r="580" spans="1:9" ht="14.4">
      <c r="A580" s="36">
        <v>2179</v>
      </c>
      <c r="B580" s="33" t="s">
        <v>257</v>
      </c>
      <c r="C580" s="36">
        <v>14229</v>
      </c>
      <c r="D580" s="36" t="s">
        <v>18</v>
      </c>
      <c r="E580" s="36">
        <v>1</v>
      </c>
      <c r="F580" s="37">
        <v>43419</v>
      </c>
      <c r="G580" s="37">
        <v>45244</v>
      </c>
      <c r="H580" s="36" t="s">
        <v>84</v>
      </c>
      <c r="I580" s="36" t="s">
        <v>79</v>
      </c>
    </row>
    <row r="581" spans="1:9" ht="14.4">
      <c r="A581" s="34">
        <v>2180</v>
      </c>
      <c r="B581" s="32" t="s">
        <v>258</v>
      </c>
      <c r="C581" s="34">
        <v>14231</v>
      </c>
      <c r="D581" s="34" t="s">
        <v>18</v>
      </c>
      <c r="E581" s="34">
        <v>12</v>
      </c>
      <c r="F581" s="35">
        <v>43493</v>
      </c>
      <c r="G581" s="35">
        <v>45318</v>
      </c>
      <c r="H581" s="34" t="s">
        <v>14</v>
      </c>
      <c r="I581" s="34" t="s">
        <v>79</v>
      </c>
    </row>
    <row r="582" spans="1:9" ht="14.4">
      <c r="A582" s="36">
        <v>2181</v>
      </c>
      <c r="B582" s="33" t="s">
        <v>259</v>
      </c>
      <c r="C582" s="36">
        <v>14232</v>
      </c>
      <c r="D582" s="36" t="s">
        <v>18</v>
      </c>
      <c r="E582" s="36">
        <v>3</v>
      </c>
      <c r="F582" s="37">
        <v>43493</v>
      </c>
      <c r="G582" s="37">
        <v>45318</v>
      </c>
      <c r="H582" s="36" t="s">
        <v>14</v>
      </c>
      <c r="I582" s="36" t="s">
        <v>79</v>
      </c>
    </row>
    <row r="583" spans="1:9" ht="14.4">
      <c r="A583" s="34">
        <v>2183</v>
      </c>
      <c r="B583" s="32" t="s">
        <v>254</v>
      </c>
      <c r="C583" s="34">
        <v>14234</v>
      </c>
      <c r="D583" s="34" t="s">
        <v>18</v>
      </c>
      <c r="E583" s="34">
        <v>4</v>
      </c>
      <c r="F583" s="35">
        <v>43493</v>
      </c>
      <c r="G583" s="35">
        <v>45318</v>
      </c>
      <c r="H583" s="34" t="s">
        <v>31</v>
      </c>
      <c r="I583" s="34" t="s">
        <v>79</v>
      </c>
    </row>
    <row r="584" spans="1:9" ht="14.4">
      <c r="A584" s="36">
        <v>2185</v>
      </c>
      <c r="B584" s="33" t="s">
        <v>259</v>
      </c>
      <c r="C584" s="36">
        <v>14238</v>
      </c>
      <c r="D584" s="36" t="s">
        <v>18</v>
      </c>
      <c r="E584" s="36">
        <v>6</v>
      </c>
      <c r="F584" s="37">
        <v>43493</v>
      </c>
      <c r="G584" s="37">
        <v>45318</v>
      </c>
      <c r="H584" s="36" t="s">
        <v>14</v>
      </c>
      <c r="I584" s="36" t="s">
        <v>79</v>
      </c>
    </row>
    <row r="585" spans="1:9" ht="14.4">
      <c r="A585" s="34">
        <v>2189</v>
      </c>
      <c r="B585" s="32" t="s">
        <v>260</v>
      </c>
      <c r="C585" s="34">
        <v>14244</v>
      </c>
      <c r="D585" s="34" t="s">
        <v>18</v>
      </c>
      <c r="E585" s="34">
        <v>1</v>
      </c>
      <c r="F585" s="35">
        <v>43419</v>
      </c>
      <c r="G585" s="35">
        <v>45244</v>
      </c>
      <c r="H585" s="34" t="s">
        <v>19</v>
      </c>
      <c r="I585" s="34" t="s">
        <v>79</v>
      </c>
    </row>
    <row r="586" spans="1:9" ht="14.4">
      <c r="A586" s="36">
        <v>2190</v>
      </c>
      <c r="B586" s="33" t="s">
        <v>116</v>
      </c>
      <c r="C586" s="36">
        <v>14247</v>
      </c>
      <c r="D586" s="36" t="s">
        <v>13</v>
      </c>
      <c r="E586" s="36">
        <v>25</v>
      </c>
      <c r="F586" s="37">
        <v>43496</v>
      </c>
      <c r="G586" s="37">
        <v>52626</v>
      </c>
      <c r="H586" s="36" t="s">
        <v>16</v>
      </c>
      <c r="I586" s="36" t="s">
        <v>79</v>
      </c>
    </row>
    <row r="587" spans="1:9" ht="14.4">
      <c r="A587" s="34">
        <v>2193</v>
      </c>
      <c r="B587" s="32" t="s">
        <v>126</v>
      </c>
      <c r="C587" s="34">
        <v>14251</v>
      </c>
      <c r="D587" s="34" t="s">
        <v>18</v>
      </c>
      <c r="E587" s="34">
        <v>16</v>
      </c>
      <c r="F587" s="35">
        <v>43493</v>
      </c>
      <c r="G587" s="35">
        <v>45318</v>
      </c>
      <c r="H587" s="34" t="s">
        <v>16</v>
      </c>
      <c r="I587" s="34" t="s">
        <v>79</v>
      </c>
    </row>
    <row r="588" spans="1:9" ht="14.4">
      <c r="A588" s="36">
        <v>2194</v>
      </c>
      <c r="B588" s="33" t="s">
        <v>126</v>
      </c>
      <c r="C588" s="36">
        <v>14252</v>
      </c>
      <c r="D588" s="36" t="s">
        <v>18</v>
      </c>
      <c r="E588" s="36">
        <v>20</v>
      </c>
      <c r="F588" s="37">
        <v>43493</v>
      </c>
      <c r="G588" s="37">
        <v>45318</v>
      </c>
      <c r="H588" s="36" t="s">
        <v>14</v>
      </c>
      <c r="I588" s="36" t="s">
        <v>79</v>
      </c>
    </row>
    <row r="589" spans="1:9" ht="14.4">
      <c r="A589" s="34">
        <v>2195</v>
      </c>
      <c r="B589" s="32" t="s">
        <v>126</v>
      </c>
      <c r="C589" s="34">
        <v>14253</v>
      </c>
      <c r="D589" s="34" t="s">
        <v>18</v>
      </c>
      <c r="E589" s="34">
        <v>21</v>
      </c>
      <c r="F589" s="35">
        <v>43493</v>
      </c>
      <c r="G589" s="35">
        <v>45318</v>
      </c>
      <c r="H589" s="34" t="s">
        <v>14</v>
      </c>
      <c r="I589" s="34" t="s">
        <v>79</v>
      </c>
    </row>
    <row r="590" spans="1:9" ht="14.4">
      <c r="A590" s="36">
        <v>2196</v>
      </c>
      <c r="B590" s="33" t="s">
        <v>261</v>
      </c>
      <c r="C590" s="36">
        <v>14254</v>
      </c>
      <c r="D590" s="36" t="s">
        <v>18</v>
      </c>
      <c r="E590" s="36">
        <v>5</v>
      </c>
      <c r="F590" s="37">
        <v>43550</v>
      </c>
      <c r="G590" s="37">
        <v>45376</v>
      </c>
      <c r="H590" s="36" t="s">
        <v>16</v>
      </c>
      <c r="I590" s="36" t="s">
        <v>79</v>
      </c>
    </row>
    <row r="591" spans="1:9" ht="14.4">
      <c r="A591" s="34">
        <v>2197</v>
      </c>
      <c r="B591" s="32" t="s">
        <v>262</v>
      </c>
      <c r="C591" s="34">
        <v>14256</v>
      </c>
      <c r="D591" s="34" t="s">
        <v>18</v>
      </c>
      <c r="E591" s="34">
        <v>2</v>
      </c>
      <c r="F591" s="35">
        <v>43419</v>
      </c>
      <c r="G591" s="35">
        <v>45244</v>
      </c>
      <c r="H591" s="34" t="s">
        <v>84</v>
      </c>
      <c r="I591" s="34" t="s">
        <v>79</v>
      </c>
    </row>
    <row r="592" spans="1:9" ht="14.4">
      <c r="A592" s="36">
        <v>2198</v>
      </c>
      <c r="B592" s="33" t="s">
        <v>263</v>
      </c>
      <c r="C592" s="36">
        <v>14257</v>
      </c>
      <c r="D592" s="36" t="s">
        <v>18</v>
      </c>
      <c r="E592" s="36">
        <v>10</v>
      </c>
      <c r="F592" s="37">
        <v>43585</v>
      </c>
      <c r="G592" s="37">
        <v>45411</v>
      </c>
      <c r="H592" s="36" t="s">
        <v>14</v>
      </c>
      <c r="I592" s="36" t="s">
        <v>79</v>
      </c>
    </row>
    <row r="593" spans="1:9" ht="14.4">
      <c r="A593" s="34">
        <v>2199</v>
      </c>
      <c r="B593" s="32" t="s">
        <v>263</v>
      </c>
      <c r="C593" s="34">
        <v>14258</v>
      </c>
      <c r="D593" s="34" t="s">
        <v>18</v>
      </c>
      <c r="E593" s="34">
        <v>10</v>
      </c>
      <c r="F593" s="35">
        <v>43585</v>
      </c>
      <c r="G593" s="35">
        <v>45411</v>
      </c>
      <c r="H593" s="34" t="s">
        <v>14</v>
      </c>
      <c r="I593" s="34" t="s">
        <v>79</v>
      </c>
    </row>
    <row r="594" spans="1:9" ht="14.4">
      <c r="A594" s="36">
        <v>2202</v>
      </c>
      <c r="B594" s="33" t="s">
        <v>264</v>
      </c>
      <c r="C594" s="36">
        <v>14264</v>
      </c>
      <c r="D594" s="36" t="s">
        <v>18</v>
      </c>
      <c r="E594" s="36">
        <v>6</v>
      </c>
      <c r="F594" s="37">
        <v>43510</v>
      </c>
      <c r="G594" s="37">
        <v>45335</v>
      </c>
      <c r="H594" s="36" t="s">
        <v>14</v>
      </c>
      <c r="I594" s="36" t="s">
        <v>79</v>
      </c>
    </row>
    <row r="595" spans="1:9" ht="14.4">
      <c r="A595" s="34">
        <v>2203</v>
      </c>
      <c r="B595" s="32" t="s">
        <v>264</v>
      </c>
      <c r="C595" s="34">
        <v>14265</v>
      </c>
      <c r="D595" s="34" t="s">
        <v>18</v>
      </c>
      <c r="E595" s="34">
        <v>10</v>
      </c>
      <c r="F595" s="35">
        <v>43510</v>
      </c>
      <c r="G595" s="35">
        <v>45335</v>
      </c>
      <c r="H595" s="34" t="s">
        <v>16</v>
      </c>
      <c r="I595" s="34" t="s">
        <v>79</v>
      </c>
    </row>
    <row r="596" spans="1:9" ht="14.4">
      <c r="A596" s="36">
        <v>2204</v>
      </c>
      <c r="B596" s="33" t="s">
        <v>264</v>
      </c>
      <c r="C596" s="36">
        <v>14266</v>
      </c>
      <c r="D596" s="36" t="s">
        <v>18</v>
      </c>
      <c r="E596" s="36">
        <v>2</v>
      </c>
      <c r="F596" s="37">
        <v>43510</v>
      </c>
      <c r="G596" s="37">
        <v>45335</v>
      </c>
      <c r="H596" s="36" t="s">
        <v>14</v>
      </c>
      <c r="I596" s="36" t="s">
        <v>79</v>
      </c>
    </row>
    <row r="597" spans="1:9" ht="14.4">
      <c r="A597" s="34">
        <v>2205</v>
      </c>
      <c r="B597" s="32" t="s">
        <v>264</v>
      </c>
      <c r="C597" s="34">
        <v>14267</v>
      </c>
      <c r="D597" s="34" t="s">
        <v>18</v>
      </c>
      <c r="E597" s="34">
        <v>19</v>
      </c>
      <c r="F597" s="35">
        <v>43510</v>
      </c>
      <c r="G597" s="35">
        <v>45335</v>
      </c>
      <c r="H597" s="34" t="s">
        <v>16</v>
      </c>
      <c r="I597" s="34" t="s">
        <v>79</v>
      </c>
    </row>
    <row r="598" spans="1:9" ht="14.4">
      <c r="A598" s="36">
        <v>2206</v>
      </c>
      <c r="B598" s="33" t="s">
        <v>264</v>
      </c>
      <c r="C598" s="36">
        <v>14268</v>
      </c>
      <c r="D598" s="36" t="s">
        <v>18</v>
      </c>
      <c r="E598" s="36">
        <v>8</v>
      </c>
      <c r="F598" s="37">
        <v>43510</v>
      </c>
      <c r="G598" s="37">
        <v>45335</v>
      </c>
      <c r="H598" s="36" t="s">
        <v>16</v>
      </c>
      <c r="I598" s="36" t="s">
        <v>79</v>
      </c>
    </row>
    <row r="599" spans="1:9" ht="14.4">
      <c r="A599" s="34">
        <v>2207</v>
      </c>
      <c r="B599" s="32" t="s">
        <v>248</v>
      </c>
      <c r="C599" s="34">
        <v>14269</v>
      </c>
      <c r="D599" s="34" t="s">
        <v>18</v>
      </c>
      <c r="E599" s="34">
        <v>8</v>
      </c>
      <c r="F599" s="35">
        <v>43546</v>
      </c>
      <c r="G599" s="35">
        <v>45372</v>
      </c>
      <c r="H599" s="34" t="s">
        <v>14</v>
      </c>
      <c r="I599" s="34" t="s">
        <v>79</v>
      </c>
    </row>
    <row r="600" spans="1:9" ht="14.4">
      <c r="A600" s="36">
        <v>2208</v>
      </c>
      <c r="B600" s="33" t="s">
        <v>265</v>
      </c>
      <c r="C600" s="36">
        <v>14272</v>
      </c>
      <c r="D600" s="36" t="s">
        <v>18</v>
      </c>
      <c r="E600" s="36">
        <v>7</v>
      </c>
      <c r="F600" s="37">
        <v>43543</v>
      </c>
      <c r="G600" s="37">
        <v>45369</v>
      </c>
      <c r="H600" s="36" t="s">
        <v>14</v>
      </c>
      <c r="I600" s="36" t="s">
        <v>79</v>
      </c>
    </row>
    <row r="601" spans="1:9" ht="14.4">
      <c r="A601" s="34">
        <v>2209</v>
      </c>
      <c r="B601" s="32" t="s">
        <v>266</v>
      </c>
      <c r="C601" s="34">
        <v>14273</v>
      </c>
      <c r="D601" s="34" t="s">
        <v>18</v>
      </c>
      <c r="E601" s="34">
        <v>10</v>
      </c>
      <c r="F601" s="35">
        <v>43650</v>
      </c>
      <c r="G601" s="35">
        <v>45476</v>
      </c>
      <c r="H601" s="34" t="s">
        <v>34</v>
      </c>
      <c r="I601" s="34" t="s">
        <v>79</v>
      </c>
    </row>
    <row r="602" spans="1:9" ht="14.4">
      <c r="A602" s="36">
        <v>2210</v>
      </c>
      <c r="B602" s="33" t="s">
        <v>238</v>
      </c>
      <c r="C602" s="36">
        <v>14274</v>
      </c>
      <c r="D602" s="36" t="s">
        <v>18</v>
      </c>
      <c r="E602" s="36">
        <v>60</v>
      </c>
      <c r="F602" s="37">
        <v>43585</v>
      </c>
      <c r="G602" s="37">
        <v>45411</v>
      </c>
      <c r="H602" s="36" t="s">
        <v>59</v>
      </c>
      <c r="I602" s="36" t="s">
        <v>79</v>
      </c>
    </row>
    <row r="603" spans="1:9" ht="14.4">
      <c r="A603" s="34">
        <v>2211</v>
      </c>
      <c r="B603" s="32" t="s">
        <v>238</v>
      </c>
      <c r="C603" s="34">
        <v>14275</v>
      </c>
      <c r="D603" s="34" t="s">
        <v>18</v>
      </c>
      <c r="E603" s="34">
        <v>6</v>
      </c>
      <c r="F603" s="35">
        <v>43585</v>
      </c>
      <c r="G603" s="35">
        <v>45411</v>
      </c>
      <c r="H603" s="34" t="s">
        <v>16</v>
      </c>
      <c r="I603" s="34" t="s">
        <v>79</v>
      </c>
    </row>
    <row r="604" spans="1:9" ht="14.4">
      <c r="A604" s="36">
        <v>2214</v>
      </c>
      <c r="B604" s="33" t="s">
        <v>267</v>
      </c>
      <c r="C604" s="36">
        <v>14278</v>
      </c>
      <c r="D604" s="36" t="s">
        <v>18</v>
      </c>
      <c r="E604" s="36">
        <v>6</v>
      </c>
      <c r="F604" s="37">
        <v>44194</v>
      </c>
      <c r="G604" s="37">
        <v>46019</v>
      </c>
      <c r="H604" s="36" t="s">
        <v>14</v>
      </c>
      <c r="I604" s="36" t="s">
        <v>79</v>
      </c>
    </row>
    <row r="605" spans="1:9" ht="14.4">
      <c r="A605" s="34">
        <v>2216</v>
      </c>
      <c r="B605" s="32" t="s">
        <v>237</v>
      </c>
      <c r="C605" s="34">
        <v>14280</v>
      </c>
      <c r="D605" s="34" t="s">
        <v>18</v>
      </c>
      <c r="E605" s="34">
        <v>4</v>
      </c>
      <c r="F605" s="35">
        <v>43577</v>
      </c>
      <c r="G605" s="35">
        <v>45403</v>
      </c>
      <c r="H605" s="34" t="s">
        <v>16</v>
      </c>
      <c r="I605" s="34" t="s">
        <v>79</v>
      </c>
    </row>
    <row r="606" spans="1:9" ht="14.4">
      <c r="A606" s="36">
        <v>2218</v>
      </c>
      <c r="B606" s="33" t="s">
        <v>233</v>
      </c>
      <c r="C606" s="36">
        <v>14287</v>
      </c>
      <c r="D606" s="36" t="s">
        <v>18</v>
      </c>
      <c r="E606" s="36">
        <v>9</v>
      </c>
      <c r="F606" s="37">
        <v>43550</v>
      </c>
      <c r="G606" s="37">
        <v>45376</v>
      </c>
      <c r="H606" s="36" t="s">
        <v>31</v>
      </c>
      <c r="I606" s="36" t="s">
        <v>79</v>
      </c>
    </row>
    <row r="607" spans="1:9" ht="14.4">
      <c r="A607" s="34">
        <v>2219</v>
      </c>
      <c r="B607" s="32" t="s">
        <v>268</v>
      </c>
      <c r="C607" s="34">
        <v>14291</v>
      </c>
      <c r="D607" s="34" t="s">
        <v>21</v>
      </c>
      <c r="E607" s="34">
        <v>5</v>
      </c>
      <c r="F607" s="35">
        <v>44915</v>
      </c>
      <c r="G607" s="35">
        <v>46740</v>
      </c>
      <c r="H607" s="34" t="s">
        <v>34</v>
      </c>
      <c r="I607" s="34" t="s">
        <v>79</v>
      </c>
    </row>
    <row r="608" spans="1:9" ht="14.4">
      <c r="A608" s="36">
        <v>2220</v>
      </c>
      <c r="B608" s="33" t="s">
        <v>262</v>
      </c>
      <c r="C608" s="36">
        <v>14292</v>
      </c>
      <c r="D608" s="36" t="s">
        <v>18</v>
      </c>
      <c r="E608" s="36">
        <v>2</v>
      </c>
      <c r="F608" s="37">
        <v>43419</v>
      </c>
      <c r="G608" s="37">
        <v>45244</v>
      </c>
      <c r="H608" s="36" t="s">
        <v>19</v>
      </c>
      <c r="I608" s="36" t="s">
        <v>79</v>
      </c>
    </row>
    <row r="609" spans="1:9" ht="14.4">
      <c r="A609" s="34">
        <v>2221</v>
      </c>
      <c r="B609" s="32" t="s">
        <v>262</v>
      </c>
      <c r="C609" s="34">
        <v>14293</v>
      </c>
      <c r="D609" s="34" t="s">
        <v>18</v>
      </c>
      <c r="E609" s="34">
        <v>2</v>
      </c>
      <c r="F609" s="35">
        <v>43419</v>
      </c>
      <c r="G609" s="35">
        <v>45244</v>
      </c>
      <c r="H609" s="34" t="s">
        <v>19</v>
      </c>
      <c r="I609" s="34" t="s">
        <v>79</v>
      </c>
    </row>
    <row r="610" spans="1:9" ht="14.4">
      <c r="A610" s="36">
        <v>2223</v>
      </c>
      <c r="B610" s="33" t="s">
        <v>269</v>
      </c>
      <c r="C610" s="36">
        <v>14295</v>
      </c>
      <c r="D610" s="36" t="s">
        <v>18</v>
      </c>
      <c r="E610" s="36">
        <v>4</v>
      </c>
      <c r="F610" s="37">
        <v>43493</v>
      </c>
      <c r="G610" s="37">
        <v>45318</v>
      </c>
      <c r="H610" s="36" t="s">
        <v>14</v>
      </c>
      <c r="I610" s="36" t="s">
        <v>79</v>
      </c>
    </row>
    <row r="611" spans="1:9" ht="14.4">
      <c r="A611" s="34">
        <v>2224</v>
      </c>
      <c r="B611" s="32" t="s">
        <v>269</v>
      </c>
      <c r="C611" s="34">
        <v>14296</v>
      </c>
      <c r="D611" s="34" t="s">
        <v>18</v>
      </c>
      <c r="E611" s="34">
        <v>4</v>
      </c>
      <c r="F611" s="35">
        <v>43493</v>
      </c>
      <c r="G611" s="35">
        <v>45318</v>
      </c>
      <c r="H611" s="34" t="s">
        <v>14</v>
      </c>
      <c r="I611" s="34" t="s">
        <v>79</v>
      </c>
    </row>
    <row r="612" spans="1:9" ht="14.4">
      <c r="A612" s="36">
        <v>2226</v>
      </c>
      <c r="B612" s="33" t="s">
        <v>270</v>
      </c>
      <c r="C612" s="36">
        <v>14298</v>
      </c>
      <c r="D612" s="36" t="s">
        <v>18</v>
      </c>
      <c r="E612" s="36">
        <v>7</v>
      </c>
      <c r="F612" s="37">
        <v>43496</v>
      </c>
      <c r="G612" s="37">
        <v>45321</v>
      </c>
      <c r="H612" s="36" t="s">
        <v>16</v>
      </c>
      <c r="I612" s="36" t="s">
        <v>79</v>
      </c>
    </row>
    <row r="613" spans="1:9" ht="14.4">
      <c r="A613" s="34">
        <v>2227</v>
      </c>
      <c r="B613" s="32" t="s">
        <v>270</v>
      </c>
      <c r="C613" s="34">
        <v>14299</v>
      </c>
      <c r="D613" s="34" t="s">
        <v>18</v>
      </c>
      <c r="E613" s="34">
        <v>9</v>
      </c>
      <c r="F613" s="35">
        <v>43496</v>
      </c>
      <c r="G613" s="35">
        <v>45321</v>
      </c>
      <c r="H613" s="34" t="s">
        <v>14</v>
      </c>
      <c r="I613" s="34" t="s">
        <v>79</v>
      </c>
    </row>
    <row r="614" spans="1:9" ht="14.4">
      <c r="A614" s="36">
        <v>2228</v>
      </c>
      <c r="B614" s="33" t="s">
        <v>271</v>
      </c>
      <c r="C614" s="36">
        <v>14300</v>
      </c>
      <c r="D614" s="36" t="s">
        <v>18</v>
      </c>
      <c r="E614" s="36">
        <v>3</v>
      </c>
      <c r="F614" s="37">
        <v>43670</v>
      </c>
      <c r="G614" s="37">
        <v>45496</v>
      </c>
      <c r="H614" s="36" t="s">
        <v>14</v>
      </c>
      <c r="I614" s="36" t="s">
        <v>79</v>
      </c>
    </row>
    <row r="615" spans="1:9" ht="14.4">
      <c r="A615" s="34">
        <v>2229</v>
      </c>
      <c r="B615" s="32" t="s">
        <v>271</v>
      </c>
      <c r="C615" s="34">
        <v>14301</v>
      </c>
      <c r="D615" s="34" t="s">
        <v>18</v>
      </c>
      <c r="E615" s="34">
        <v>6</v>
      </c>
      <c r="F615" s="35">
        <v>43670</v>
      </c>
      <c r="G615" s="35">
        <v>45496</v>
      </c>
      <c r="H615" s="34" t="s">
        <v>16</v>
      </c>
      <c r="I615" s="34" t="s">
        <v>79</v>
      </c>
    </row>
    <row r="616" spans="1:9" ht="14.4">
      <c r="A616" s="36">
        <v>2230</v>
      </c>
      <c r="B616" s="33" t="s">
        <v>272</v>
      </c>
      <c r="C616" s="36">
        <v>14302</v>
      </c>
      <c r="D616" s="36" t="s">
        <v>18</v>
      </c>
      <c r="E616" s="36">
        <v>16</v>
      </c>
      <c r="F616" s="37">
        <v>43510</v>
      </c>
      <c r="G616" s="37">
        <v>45335</v>
      </c>
      <c r="H616" s="36" t="s">
        <v>16</v>
      </c>
      <c r="I616" s="36" t="s">
        <v>79</v>
      </c>
    </row>
    <row r="617" spans="1:9" ht="14.4">
      <c r="A617" s="34">
        <v>2231</v>
      </c>
      <c r="B617" s="32" t="s">
        <v>272</v>
      </c>
      <c r="C617" s="34">
        <v>14303</v>
      </c>
      <c r="D617" s="34" t="s">
        <v>18</v>
      </c>
      <c r="E617" s="34">
        <v>1</v>
      </c>
      <c r="F617" s="35">
        <v>43510</v>
      </c>
      <c r="G617" s="35">
        <v>45335</v>
      </c>
      <c r="H617" s="34" t="s">
        <v>14</v>
      </c>
      <c r="I617" s="34" t="s">
        <v>79</v>
      </c>
    </row>
    <row r="618" spans="1:9" ht="14.4">
      <c r="A618" s="36">
        <v>2232</v>
      </c>
      <c r="B618" s="33" t="s">
        <v>272</v>
      </c>
      <c r="C618" s="36">
        <v>14304</v>
      </c>
      <c r="D618" s="36" t="s">
        <v>18</v>
      </c>
      <c r="E618" s="36">
        <v>5</v>
      </c>
      <c r="F618" s="37">
        <v>43510</v>
      </c>
      <c r="G618" s="37">
        <v>45335</v>
      </c>
      <c r="H618" s="36" t="s">
        <v>14</v>
      </c>
      <c r="I618" s="36" t="s">
        <v>79</v>
      </c>
    </row>
    <row r="619" spans="1:9" ht="14.4">
      <c r="A619" s="34">
        <v>2234</v>
      </c>
      <c r="B619" s="32" t="s">
        <v>273</v>
      </c>
      <c r="C619" s="34">
        <v>14306</v>
      </c>
      <c r="D619" s="34" t="s">
        <v>18</v>
      </c>
      <c r="E619" s="34">
        <v>1</v>
      </c>
      <c r="F619" s="35">
        <v>43585</v>
      </c>
      <c r="G619" s="35">
        <v>45411</v>
      </c>
      <c r="H619" s="34" t="s">
        <v>16</v>
      </c>
      <c r="I619" s="34" t="s">
        <v>79</v>
      </c>
    </row>
    <row r="620" spans="1:9" ht="14.4">
      <c r="A620" s="36">
        <v>2235</v>
      </c>
      <c r="B620" s="33" t="s">
        <v>240</v>
      </c>
      <c r="C620" s="36">
        <v>14312</v>
      </c>
      <c r="D620" s="36" t="s">
        <v>18</v>
      </c>
      <c r="E620" s="36">
        <v>68</v>
      </c>
      <c r="F620" s="37">
        <v>43650</v>
      </c>
      <c r="G620" s="37">
        <v>45476</v>
      </c>
      <c r="H620" s="36" t="s">
        <v>19</v>
      </c>
      <c r="I620" s="36" t="s">
        <v>79</v>
      </c>
    </row>
    <row r="621" spans="1:9" ht="14.4">
      <c r="A621" s="34">
        <v>2236</v>
      </c>
      <c r="B621" s="32" t="s">
        <v>265</v>
      </c>
      <c r="C621" s="34">
        <v>14313</v>
      </c>
      <c r="D621" s="34" t="s">
        <v>18</v>
      </c>
      <c r="E621" s="34">
        <v>20</v>
      </c>
      <c r="F621" s="35">
        <v>43543</v>
      </c>
      <c r="G621" s="35">
        <v>45369</v>
      </c>
      <c r="H621" s="34" t="s">
        <v>16</v>
      </c>
      <c r="I621" s="34" t="s">
        <v>79</v>
      </c>
    </row>
    <row r="622" spans="1:9" ht="14.4">
      <c r="A622" s="36">
        <v>2237</v>
      </c>
      <c r="B622" s="33" t="s">
        <v>265</v>
      </c>
      <c r="C622" s="36">
        <v>14314</v>
      </c>
      <c r="D622" s="36" t="s">
        <v>18</v>
      </c>
      <c r="E622" s="36">
        <v>18</v>
      </c>
      <c r="F622" s="37">
        <v>43543</v>
      </c>
      <c r="G622" s="37">
        <v>45369</v>
      </c>
      <c r="H622" s="36" t="s">
        <v>16</v>
      </c>
      <c r="I622" s="36" t="s">
        <v>79</v>
      </c>
    </row>
    <row r="623" spans="1:9" ht="14.4">
      <c r="A623" s="34">
        <v>2238</v>
      </c>
      <c r="B623" s="32" t="s">
        <v>274</v>
      </c>
      <c r="C623" s="34">
        <v>14315</v>
      </c>
      <c r="D623" s="34" t="s">
        <v>18</v>
      </c>
      <c r="E623" s="34">
        <v>10</v>
      </c>
      <c r="F623" s="35">
        <v>43493</v>
      </c>
      <c r="G623" s="35">
        <v>45318</v>
      </c>
      <c r="H623" s="34" t="s">
        <v>14</v>
      </c>
      <c r="I623" s="34" t="s">
        <v>79</v>
      </c>
    </row>
    <row r="624" spans="1:9" ht="14.4">
      <c r="A624" s="36">
        <v>2241</v>
      </c>
      <c r="B624" s="33" t="s">
        <v>238</v>
      </c>
      <c r="C624" s="36">
        <v>14322</v>
      </c>
      <c r="D624" s="36" t="s">
        <v>18</v>
      </c>
      <c r="E624" s="36">
        <v>15</v>
      </c>
      <c r="F624" s="37">
        <v>43542</v>
      </c>
      <c r="G624" s="37">
        <v>45368</v>
      </c>
      <c r="H624" s="36" t="s">
        <v>31</v>
      </c>
      <c r="I624" s="36" t="s">
        <v>79</v>
      </c>
    </row>
    <row r="625" spans="1:9" ht="14.4">
      <c r="A625" s="34">
        <v>2242</v>
      </c>
      <c r="B625" s="32" t="s">
        <v>272</v>
      </c>
      <c r="C625" s="34">
        <v>14323</v>
      </c>
      <c r="D625" s="34" t="s">
        <v>18</v>
      </c>
      <c r="E625" s="34">
        <v>4</v>
      </c>
      <c r="F625" s="35">
        <v>43510</v>
      </c>
      <c r="G625" s="35">
        <v>45335</v>
      </c>
      <c r="H625" s="34" t="s">
        <v>14</v>
      </c>
      <c r="I625" s="34" t="s">
        <v>79</v>
      </c>
    </row>
    <row r="626" spans="1:9" ht="14.4">
      <c r="A626" s="36">
        <v>2243</v>
      </c>
      <c r="B626" s="33" t="s">
        <v>273</v>
      </c>
      <c r="C626" s="36">
        <v>14324</v>
      </c>
      <c r="D626" s="36" t="s">
        <v>18</v>
      </c>
      <c r="E626" s="36">
        <v>3</v>
      </c>
      <c r="F626" s="37">
        <v>43585</v>
      </c>
      <c r="G626" s="37">
        <v>45411</v>
      </c>
      <c r="H626" s="36" t="s">
        <v>14</v>
      </c>
      <c r="I626" s="36" t="s">
        <v>79</v>
      </c>
    </row>
    <row r="627" spans="1:9" ht="14.4">
      <c r="A627" s="34">
        <v>2244</v>
      </c>
      <c r="B627" s="32" t="s">
        <v>275</v>
      </c>
      <c r="C627" s="34">
        <v>14325</v>
      </c>
      <c r="D627" s="34" t="s">
        <v>18</v>
      </c>
      <c r="E627" s="34">
        <v>100</v>
      </c>
      <c r="F627" s="35">
        <v>43577</v>
      </c>
      <c r="G627" s="35">
        <v>45403</v>
      </c>
      <c r="H627" s="34" t="s">
        <v>32</v>
      </c>
      <c r="I627" s="34" t="s">
        <v>79</v>
      </c>
    </row>
    <row r="628" spans="1:9" ht="14.4">
      <c r="A628" s="36">
        <v>2245</v>
      </c>
      <c r="B628" s="33" t="s">
        <v>275</v>
      </c>
      <c r="C628" s="36">
        <v>14326</v>
      </c>
      <c r="D628" s="36" t="s">
        <v>18</v>
      </c>
      <c r="E628" s="36">
        <v>92</v>
      </c>
      <c r="F628" s="37">
        <v>43493</v>
      </c>
      <c r="G628" s="37">
        <v>45318</v>
      </c>
      <c r="H628" s="36" t="s">
        <v>32</v>
      </c>
      <c r="I628" s="36" t="s">
        <v>79</v>
      </c>
    </row>
    <row r="629" spans="1:9" ht="14.4">
      <c r="A629" s="34">
        <v>2246</v>
      </c>
      <c r="B629" s="32" t="s">
        <v>275</v>
      </c>
      <c r="C629" s="34">
        <v>14327</v>
      </c>
      <c r="D629" s="34" t="s">
        <v>18</v>
      </c>
      <c r="E629" s="34">
        <v>9</v>
      </c>
      <c r="F629" s="35">
        <v>43550</v>
      </c>
      <c r="G629" s="35">
        <v>45376</v>
      </c>
      <c r="H629" s="34" t="s">
        <v>32</v>
      </c>
      <c r="I629" s="34" t="s">
        <v>79</v>
      </c>
    </row>
    <row r="630" spans="1:9" ht="14.4">
      <c r="A630" s="36">
        <v>2247</v>
      </c>
      <c r="B630" s="33" t="s">
        <v>276</v>
      </c>
      <c r="C630" s="36">
        <v>14328</v>
      </c>
      <c r="D630" s="36" t="s">
        <v>18</v>
      </c>
      <c r="E630" s="36">
        <v>21</v>
      </c>
      <c r="F630" s="37">
        <v>43563</v>
      </c>
      <c r="G630" s="37">
        <v>45389</v>
      </c>
      <c r="H630" s="36" t="s">
        <v>277</v>
      </c>
      <c r="I630" s="36" t="s">
        <v>79</v>
      </c>
    </row>
    <row r="631" spans="1:9" ht="14.4">
      <c r="A631" s="34">
        <v>2248</v>
      </c>
      <c r="B631" s="32" t="s">
        <v>265</v>
      </c>
      <c r="C631" s="34">
        <v>14331</v>
      </c>
      <c r="D631" s="34" t="s">
        <v>18</v>
      </c>
      <c r="E631" s="34">
        <v>9</v>
      </c>
      <c r="F631" s="35">
        <v>43508</v>
      </c>
      <c r="G631" s="35">
        <v>45333</v>
      </c>
      <c r="H631" s="34" t="s">
        <v>14</v>
      </c>
      <c r="I631" s="34" t="s">
        <v>79</v>
      </c>
    </row>
    <row r="632" spans="1:9" ht="14.4">
      <c r="A632" s="36">
        <v>2249</v>
      </c>
      <c r="B632" s="33" t="s">
        <v>265</v>
      </c>
      <c r="C632" s="36">
        <v>14332</v>
      </c>
      <c r="D632" s="36" t="s">
        <v>18</v>
      </c>
      <c r="E632" s="36">
        <v>25</v>
      </c>
      <c r="F632" s="37">
        <v>43543</v>
      </c>
      <c r="G632" s="37">
        <v>45369</v>
      </c>
      <c r="H632" s="36" t="s">
        <v>14</v>
      </c>
      <c r="I632" s="36" t="s">
        <v>79</v>
      </c>
    </row>
    <row r="633" spans="1:9" ht="14.4">
      <c r="A633" s="34">
        <v>2250</v>
      </c>
      <c r="B633" s="32" t="s">
        <v>265</v>
      </c>
      <c r="C633" s="34">
        <v>14333</v>
      </c>
      <c r="D633" s="34" t="s">
        <v>18</v>
      </c>
      <c r="E633" s="34">
        <v>12</v>
      </c>
      <c r="F633" s="35">
        <v>43535</v>
      </c>
      <c r="G633" s="35">
        <v>45361</v>
      </c>
      <c r="H633" s="34" t="s">
        <v>14</v>
      </c>
      <c r="I633" s="34" t="s">
        <v>79</v>
      </c>
    </row>
    <row r="634" spans="1:9" ht="14.4">
      <c r="A634" s="36">
        <v>2251</v>
      </c>
      <c r="B634" s="33" t="s">
        <v>265</v>
      </c>
      <c r="C634" s="36">
        <v>14334</v>
      </c>
      <c r="D634" s="36" t="s">
        <v>18</v>
      </c>
      <c r="E634" s="36">
        <v>8</v>
      </c>
      <c r="F634" s="37">
        <v>43543</v>
      </c>
      <c r="G634" s="37">
        <v>45369</v>
      </c>
      <c r="H634" s="36" t="s">
        <v>14</v>
      </c>
      <c r="I634" s="36" t="s">
        <v>79</v>
      </c>
    </row>
    <row r="635" spans="1:9" ht="14.4">
      <c r="A635" s="34">
        <v>2252</v>
      </c>
      <c r="B635" s="32" t="s">
        <v>265</v>
      </c>
      <c r="C635" s="34">
        <v>14335</v>
      </c>
      <c r="D635" s="34" t="s">
        <v>18</v>
      </c>
      <c r="E635" s="34">
        <v>10</v>
      </c>
      <c r="F635" s="35">
        <v>43557</v>
      </c>
      <c r="G635" s="35">
        <v>45383</v>
      </c>
      <c r="H635" s="34" t="s">
        <v>14</v>
      </c>
      <c r="I635" s="34" t="s">
        <v>79</v>
      </c>
    </row>
    <row r="636" spans="1:9" ht="14.4">
      <c r="A636" s="36">
        <v>2253</v>
      </c>
      <c r="B636" s="33" t="s">
        <v>265</v>
      </c>
      <c r="C636" s="36">
        <v>14336</v>
      </c>
      <c r="D636" s="36" t="s">
        <v>18</v>
      </c>
      <c r="E636" s="36">
        <v>10</v>
      </c>
      <c r="F636" s="37">
        <v>43543</v>
      </c>
      <c r="G636" s="37">
        <v>45369</v>
      </c>
      <c r="H636" s="36" t="s">
        <v>16</v>
      </c>
      <c r="I636" s="36" t="s">
        <v>79</v>
      </c>
    </row>
    <row r="637" spans="1:9" ht="14.4">
      <c r="A637" s="34">
        <v>2254</v>
      </c>
      <c r="B637" s="32" t="s">
        <v>265</v>
      </c>
      <c r="C637" s="34">
        <v>14337</v>
      </c>
      <c r="D637" s="34" t="s">
        <v>18</v>
      </c>
      <c r="E637" s="34">
        <v>8</v>
      </c>
      <c r="F637" s="35">
        <v>43535</v>
      </c>
      <c r="G637" s="35">
        <v>45361</v>
      </c>
      <c r="H637" s="34" t="s">
        <v>14</v>
      </c>
      <c r="I637" s="34" t="s">
        <v>79</v>
      </c>
    </row>
    <row r="638" spans="1:9" ht="14.4">
      <c r="A638" s="36">
        <v>2255</v>
      </c>
      <c r="B638" s="33" t="s">
        <v>265</v>
      </c>
      <c r="C638" s="36">
        <v>14338</v>
      </c>
      <c r="D638" s="36" t="s">
        <v>18</v>
      </c>
      <c r="E638" s="36">
        <v>12</v>
      </c>
      <c r="F638" s="37">
        <v>43543</v>
      </c>
      <c r="G638" s="37">
        <v>45369</v>
      </c>
      <c r="H638" s="36" t="s">
        <v>16</v>
      </c>
      <c r="I638" s="36" t="s">
        <v>79</v>
      </c>
    </row>
    <row r="639" spans="1:9" ht="14.4">
      <c r="A639" s="34">
        <v>2256</v>
      </c>
      <c r="B639" s="32" t="s">
        <v>265</v>
      </c>
      <c r="C639" s="34">
        <v>14339</v>
      </c>
      <c r="D639" s="34" t="s">
        <v>18</v>
      </c>
      <c r="E639" s="34">
        <v>18</v>
      </c>
      <c r="F639" s="35">
        <v>43535</v>
      </c>
      <c r="G639" s="35">
        <v>45361</v>
      </c>
      <c r="H639" s="34" t="s">
        <v>16</v>
      </c>
      <c r="I639" s="34" t="s">
        <v>79</v>
      </c>
    </row>
    <row r="640" spans="1:9" ht="14.4">
      <c r="A640" s="36">
        <v>2257</v>
      </c>
      <c r="B640" s="33" t="s">
        <v>265</v>
      </c>
      <c r="C640" s="36">
        <v>14340</v>
      </c>
      <c r="D640" s="36" t="s">
        <v>18</v>
      </c>
      <c r="E640" s="36">
        <v>18</v>
      </c>
      <c r="F640" s="37">
        <v>43543</v>
      </c>
      <c r="G640" s="37">
        <v>45369</v>
      </c>
      <c r="H640" s="36" t="s">
        <v>14</v>
      </c>
      <c r="I640" s="36" t="s">
        <v>79</v>
      </c>
    </row>
    <row r="641" spans="1:9" ht="14.4">
      <c r="A641" s="34">
        <v>2258</v>
      </c>
      <c r="B641" s="32" t="s">
        <v>265</v>
      </c>
      <c r="C641" s="34">
        <v>14341</v>
      </c>
      <c r="D641" s="34" t="s">
        <v>18</v>
      </c>
      <c r="E641" s="34">
        <v>14</v>
      </c>
      <c r="F641" s="35">
        <v>43535</v>
      </c>
      <c r="G641" s="35">
        <v>45361</v>
      </c>
      <c r="H641" s="34" t="s">
        <v>14</v>
      </c>
      <c r="I641" s="34" t="s">
        <v>79</v>
      </c>
    </row>
    <row r="642" spans="1:9" ht="14.4">
      <c r="A642" s="36">
        <v>2259</v>
      </c>
      <c r="B642" s="33" t="s">
        <v>274</v>
      </c>
      <c r="C642" s="36">
        <v>14343</v>
      </c>
      <c r="D642" s="36" t="s">
        <v>18</v>
      </c>
      <c r="E642" s="36">
        <v>10</v>
      </c>
      <c r="F642" s="37">
        <v>43493</v>
      </c>
      <c r="G642" s="37">
        <v>45318</v>
      </c>
      <c r="H642" s="36" t="s">
        <v>14</v>
      </c>
      <c r="I642" s="36" t="s">
        <v>79</v>
      </c>
    </row>
    <row r="643" spans="1:9" ht="14.4">
      <c r="A643" s="34">
        <v>2263</v>
      </c>
      <c r="B643" s="32" t="s">
        <v>278</v>
      </c>
      <c r="C643" s="34">
        <v>14354</v>
      </c>
      <c r="D643" s="34" t="s">
        <v>18</v>
      </c>
      <c r="E643" s="34">
        <v>12</v>
      </c>
      <c r="F643" s="35">
        <v>43441</v>
      </c>
      <c r="G643" s="35">
        <v>45266</v>
      </c>
      <c r="H643" s="34" t="s">
        <v>14</v>
      </c>
      <c r="I643" s="34" t="s">
        <v>79</v>
      </c>
    </row>
    <row r="644" spans="1:9" ht="14.4">
      <c r="A644" s="36">
        <v>2264</v>
      </c>
      <c r="B644" s="33" t="s">
        <v>270</v>
      </c>
      <c r="C644" s="36">
        <v>14355</v>
      </c>
      <c r="D644" s="36" t="s">
        <v>18</v>
      </c>
      <c r="E644" s="36">
        <v>10</v>
      </c>
      <c r="F644" s="37">
        <v>43577</v>
      </c>
      <c r="G644" s="37">
        <v>45403</v>
      </c>
      <c r="H644" s="36" t="s">
        <v>16</v>
      </c>
      <c r="I644" s="36" t="s">
        <v>79</v>
      </c>
    </row>
    <row r="645" spans="1:9" ht="14.4">
      <c r="A645" s="34">
        <v>2265</v>
      </c>
      <c r="B645" s="32" t="s">
        <v>270</v>
      </c>
      <c r="C645" s="34">
        <v>14356</v>
      </c>
      <c r="D645" s="34" t="s">
        <v>18</v>
      </c>
      <c r="E645" s="34">
        <v>6</v>
      </c>
      <c r="F645" s="35">
        <v>43577</v>
      </c>
      <c r="G645" s="35">
        <v>45403</v>
      </c>
      <c r="H645" s="34" t="s">
        <v>16</v>
      </c>
      <c r="I645" s="34" t="s">
        <v>79</v>
      </c>
    </row>
    <row r="646" spans="1:9" ht="14.4">
      <c r="A646" s="36">
        <v>2266</v>
      </c>
      <c r="B646" s="33" t="s">
        <v>279</v>
      </c>
      <c r="C646" s="36">
        <v>14357</v>
      </c>
      <c r="D646" s="36" t="s">
        <v>18</v>
      </c>
      <c r="E646" s="36">
        <v>2</v>
      </c>
      <c r="F646" s="37">
        <v>43529</v>
      </c>
      <c r="G646" s="37">
        <v>45355</v>
      </c>
      <c r="H646" s="36" t="s">
        <v>219</v>
      </c>
      <c r="I646" s="36" t="s">
        <v>79</v>
      </c>
    </row>
    <row r="647" spans="1:9" ht="14.4">
      <c r="A647" s="34">
        <v>2267</v>
      </c>
      <c r="B647" s="32" t="s">
        <v>43</v>
      </c>
      <c r="C647" s="34">
        <v>14366</v>
      </c>
      <c r="D647" s="34" t="s">
        <v>13</v>
      </c>
      <c r="E647" s="34">
        <v>3</v>
      </c>
      <c r="F647" s="35">
        <v>43486</v>
      </c>
      <c r="G647" s="35">
        <v>45384</v>
      </c>
      <c r="H647" s="34" t="s">
        <v>14</v>
      </c>
      <c r="I647" s="34" t="s">
        <v>79</v>
      </c>
    </row>
    <row r="648" spans="1:9" ht="14.4">
      <c r="A648" s="36">
        <v>2268</v>
      </c>
      <c r="B648" s="33" t="s">
        <v>43</v>
      </c>
      <c r="C648" s="36">
        <v>14367</v>
      </c>
      <c r="D648" s="36" t="s">
        <v>44</v>
      </c>
      <c r="E648" s="36">
        <v>3</v>
      </c>
      <c r="F648" s="37">
        <v>44673</v>
      </c>
      <c r="G648" s="37">
        <v>46498</v>
      </c>
      <c r="H648" s="36" t="s">
        <v>16</v>
      </c>
      <c r="I648" s="36" t="s">
        <v>79</v>
      </c>
    </row>
    <row r="649" spans="1:9" ht="14.4">
      <c r="A649" s="34">
        <v>2269</v>
      </c>
      <c r="B649" s="32" t="s">
        <v>280</v>
      </c>
      <c r="C649" s="34">
        <v>14368</v>
      </c>
      <c r="D649" s="34" t="s">
        <v>18</v>
      </c>
      <c r="E649" s="34">
        <v>24</v>
      </c>
      <c r="F649" s="35">
        <v>43508</v>
      </c>
      <c r="G649" s="35">
        <v>45333</v>
      </c>
      <c r="H649" s="34" t="s">
        <v>16</v>
      </c>
      <c r="I649" s="34" t="s">
        <v>79</v>
      </c>
    </row>
    <row r="650" spans="1:9" ht="14.4">
      <c r="A650" s="36">
        <v>2270</v>
      </c>
      <c r="B650" s="33" t="s">
        <v>280</v>
      </c>
      <c r="C650" s="36">
        <v>14369</v>
      </c>
      <c r="D650" s="36" t="s">
        <v>18</v>
      </c>
      <c r="E650" s="36">
        <v>88</v>
      </c>
      <c r="F650" s="37">
        <v>43508</v>
      </c>
      <c r="G650" s="37">
        <v>45333</v>
      </c>
      <c r="H650" s="36" t="s">
        <v>16</v>
      </c>
      <c r="I650" s="36" t="s">
        <v>79</v>
      </c>
    </row>
    <row r="651" spans="1:9" ht="14.4">
      <c r="A651" s="34">
        <v>2271</v>
      </c>
      <c r="B651" s="32" t="s">
        <v>280</v>
      </c>
      <c r="C651" s="34">
        <v>14370</v>
      </c>
      <c r="D651" s="34" t="s">
        <v>18</v>
      </c>
      <c r="E651" s="34">
        <v>24</v>
      </c>
      <c r="F651" s="35">
        <v>43508</v>
      </c>
      <c r="G651" s="35">
        <v>45333</v>
      </c>
      <c r="H651" s="34" t="s">
        <v>16</v>
      </c>
      <c r="I651" s="34" t="s">
        <v>79</v>
      </c>
    </row>
    <row r="652" spans="1:9" ht="14.4">
      <c r="A652" s="36">
        <v>2272</v>
      </c>
      <c r="B652" s="33" t="s">
        <v>280</v>
      </c>
      <c r="C652" s="36">
        <v>14371</v>
      </c>
      <c r="D652" s="36" t="s">
        <v>18</v>
      </c>
      <c r="E652" s="36">
        <v>82</v>
      </c>
      <c r="F652" s="37">
        <v>43508</v>
      </c>
      <c r="G652" s="37">
        <v>45333</v>
      </c>
      <c r="H652" s="36" t="s">
        <v>16</v>
      </c>
      <c r="I652" s="36" t="s">
        <v>79</v>
      </c>
    </row>
    <row r="653" spans="1:9" ht="14.4">
      <c r="A653" s="34">
        <v>2273</v>
      </c>
      <c r="B653" s="32" t="s">
        <v>280</v>
      </c>
      <c r="C653" s="34">
        <v>14372</v>
      </c>
      <c r="D653" s="34" t="s">
        <v>18</v>
      </c>
      <c r="E653" s="34">
        <v>42</v>
      </c>
      <c r="F653" s="35">
        <v>43508</v>
      </c>
      <c r="G653" s="35">
        <v>45333</v>
      </c>
      <c r="H653" s="34" t="s">
        <v>14</v>
      </c>
      <c r="I653" s="34" t="s">
        <v>79</v>
      </c>
    </row>
    <row r="654" spans="1:9" ht="14.4">
      <c r="A654" s="36">
        <v>2274</v>
      </c>
      <c r="B654" s="33" t="s">
        <v>280</v>
      </c>
      <c r="C654" s="36">
        <v>14373</v>
      </c>
      <c r="D654" s="36" t="s">
        <v>18</v>
      </c>
      <c r="E654" s="36">
        <v>35</v>
      </c>
      <c r="F654" s="37">
        <v>43508</v>
      </c>
      <c r="G654" s="37">
        <v>45333</v>
      </c>
      <c r="H654" s="36" t="s">
        <v>14</v>
      </c>
      <c r="I654" s="36" t="s">
        <v>79</v>
      </c>
    </row>
    <row r="655" spans="1:9" ht="14.4">
      <c r="A655" s="34">
        <v>2275</v>
      </c>
      <c r="B655" s="32" t="s">
        <v>281</v>
      </c>
      <c r="C655" s="34">
        <v>14374</v>
      </c>
      <c r="D655" s="34" t="s">
        <v>18</v>
      </c>
      <c r="E655" s="34">
        <v>22</v>
      </c>
      <c r="F655" s="35">
        <v>43508</v>
      </c>
      <c r="G655" s="35">
        <v>45333</v>
      </c>
      <c r="H655" s="34" t="s">
        <v>16</v>
      </c>
      <c r="I655" s="34" t="s">
        <v>79</v>
      </c>
    </row>
    <row r="656" spans="1:9" ht="14.4">
      <c r="A656" s="36">
        <v>2276</v>
      </c>
      <c r="B656" s="33" t="s">
        <v>281</v>
      </c>
      <c r="C656" s="36">
        <v>14375</v>
      </c>
      <c r="D656" s="36" t="s">
        <v>18</v>
      </c>
      <c r="E656" s="36">
        <v>28</v>
      </c>
      <c r="F656" s="37">
        <v>43508</v>
      </c>
      <c r="G656" s="37">
        <v>45333</v>
      </c>
      <c r="H656" s="36" t="s">
        <v>16</v>
      </c>
      <c r="I656" s="36" t="s">
        <v>79</v>
      </c>
    </row>
    <row r="657" spans="1:9" ht="14.4">
      <c r="A657" s="34">
        <v>2277</v>
      </c>
      <c r="B657" s="32" t="s">
        <v>282</v>
      </c>
      <c r="C657" s="34">
        <v>14376</v>
      </c>
      <c r="D657" s="34" t="s">
        <v>18</v>
      </c>
      <c r="E657" s="34">
        <v>106</v>
      </c>
      <c r="F657" s="35">
        <v>43516</v>
      </c>
      <c r="G657" s="35">
        <v>45341</v>
      </c>
      <c r="H657" s="34" t="s">
        <v>16</v>
      </c>
      <c r="I657" s="34" t="s">
        <v>79</v>
      </c>
    </row>
    <row r="658" spans="1:9" ht="14.4">
      <c r="A658" s="36">
        <v>2278</v>
      </c>
      <c r="B658" s="33" t="s">
        <v>282</v>
      </c>
      <c r="C658" s="36">
        <v>14377</v>
      </c>
      <c r="D658" s="36" t="s">
        <v>18</v>
      </c>
      <c r="E658" s="36">
        <v>113</v>
      </c>
      <c r="F658" s="37">
        <v>43516</v>
      </c>
      <c r="G658" s="37">
        <v>45341</v>
      </c>
      <c r="H658" s="36" t="s">
        <v>16</v>
      </c>
      <c r="I658" s="36" t="s">
        <v>79</v>
      </c>
    </row>
    <row r="659" spans="1:9" ht="14.4">
      <c r="A659" s="34">
        <v>2280</v>
      </c>
      <c r="B659" s="32" t="s">
        <v>282</v>
      </c>
      <c r="C659" s="34">
        <v>14379</v>
      </c>
      <c r="D659" s="34" t="s">
        <v>18</v>
      </c>
      <c r="E659" s="34">
        <v>30</v>
      </c>
      <c r="F659" s="35">
        <v>43546</v>
      </c>
      <c r="G659" s="35">
        <v>45372</v>
      </c>
      <c r="H659" s="34" t="s">
        <v>16</v>
      </c>
      <c r="I659" s="34" t="s">
        <v>79</v>
      </c>
    </row>
    <row r="660" spans="1:9" ht="14.4">
      <c r="A660" s="36">
        <v>2282</v>
      </c>
      <c r="B660" s="33" t="s">
        <v>282</v>
      </c>
      <c r="C660" s="36">
        <v>14381</v>
      </c>
      <c r="D660" s="36" t="s">
        <v>18</v>
      </c>
      <c r="E660" s="36">
        <v>20</v>
      </c>
      <c r="F660" s="37">
        <v>43546</v>
      </c>
      <c r="G660" s="37">
        <v>45372</v>
      </c>
      <c r="H660" s="36" t="s">
        <v>16</v>
      </c>
      <c r="I660" s="36" t="s">
        <v>79</v>
      </c>
    </row>
    <row r="661" spans="1:9" ht="14.4">
      <c r="A661" s="34">
        <v>2283</v>
      </c>
      <c r="B661" s="32" t="s">
        <v>283</v>
      </c>
      <c r="C661" s="34">
        <v>14382</v>
      </c>
      <c r="D661" s="34" t="s">
        <v>18</v>
      </c>
      <c r="E661" s="34">
        <v>10</v>
      </c>
      <c r="F661" s="35">
        <v>43508</v>
      </c>
      <c r="G661" s="35">
        <v>45333</v>
      </c>
      <c r="H661" s="34" t="s">
        <v>16</v>
      </c>
      <c r="I661" s="34" t="s">
        <v>79</v>
      </c>
    </row>
    <row r="662" spans="1:9" ht="14.4">
      <c r="A662" s="36">
        <v>2284</v>
      </c>
      <c r="B662" s="33" t="s">
        <v>283</v>
      </c>
      <c r="C662" s="36">
        <v>14383</v>
      </c>
      <c r="D662" s="36" t="s">
        <v>18</v>
      </c>
      <c r="E662" s="36">
        <v>5</v>
      </c>
      <c r="F662" s="37">
        <v>43508</v>
      </c>
      <c r="G662" s="37">
        <v>45333</v>
      </c>
      <c r="H662" s="36" t="s">
        <v>16</v>
      </c>
      <c r="I662" s="36" t="s">
        <v>79</v>
      </c>
    </row>
    <row r="663" spans="1:9" ht="14.4">
      <c r="A663" s="34">
        <v>2287</v>
      </c>
      <c r="B663" s="32" t="s">
        <v>284</v>
      </c>
      <c r="C663" s="34">
        <v>14387</v>
      </c>
      <c r="D663" s="34" t="s">
        <v>18</v>
      </c>
      <c r="E663" s="34">
        <v>10</v>
      </c>
      <c r="F663" s="35">
        <v>43529</v>
      </c>
      <c r="G663" s="35">
        <v>45355</v>
      </c>
      <c r="H663" s="34" t="s">
        <v>16</v>
      </c>
      <c r="I663" s="34" t="s">
        <v>79</v>
      </c>
    </row>
    <row r="664" spans="1:9" ht="14.4">
      <c r="A664" s="36">
        <v>2288</v>
      </c>
      <c r="B664" s="33" t="s">
        <v>284</v>
      </c>
      <c r="C664" s="36">
        <v>14388</v>
      </c>
      <c r="D664" s="36" t="s">
        <v>18</v>
      </c>
      <c r="E664" s="36">
        <v>9</v>
      </c>
      <c r="F664" s="37">
        <v>43529</v>
      </c>
      <c r="G664" s="37">
        <v>45355</v>
      </c>
      <c r="H664" s="36" t="s">
        <v>14</v>
      </c>
      <c r="I664" s="36" t="s">
        <v>79</v>
      </c>
    </row>
    <row r="665" spans="1:9" ht="14.4">
      <c r="A665" s="34">
        <v>2289</v>
      </c>
      <c r="B665" s="32" t="s">
        <v>284</v>
      </c>
      <c r="C665" s="34">
        <v>14389</v>
      </c>
      <c r="D665" s="34" t="s">
        <v>18</v>
      </c>
      <c r="E665" s="34">
        <v>8</v>
      </c>
      <c r="F665" s="35">
        <v>43529</v>
      </c>
      <c r="G665" s="35">
        <v>45355</v>
      </c>
      <c r="H665" s="34" t="s">
        <v>14</v>
      </c>
      <c r="I665" s="34" t="s">
        <v>79</v>
      </c>
    </row>
    <row r="666" spans="1:9" ht="14.4">
      <c r="A666" s="36">
        <v>2290</v>
      </c>
      <c r="B666" s="33" t="s">
        <v>284</v>
      </c>
      <c r="C666" s="36">
        <v>14390</v>
      </c>
      <c r="D666" s="36" t="s">
        <v>18</v>
      </c>
      <c r="E666" s="36">
        <v>9</v>
      </c>
      <c r="F666" s="37">
        <v>43529</v>
      </c>
      <c r="G666" s="37">
        <v>45355</v>
      </c>
      <c r="H666" s="36" t="s">
        <v>14</v>
      </c>
      <c r="I666" s="36" t="s">
        <v>79</v>
      </c>
    </row>
    <row r="667" spans="1:9" ht="14.4">
      <c r="A667" s="34">
        <v>2292</v>
      </c>
      <c r="B667" s="32" t="s">
        <v>247</v>
      </c>
      <c r="C667" s="34">
        <v>14392</v>
      </c>
      <c r="D667" s="34" t="s">
        <v>18</v>
      </c>
      <c r="E667" s="34">
        <v>48</v>
      </c>
      <c r="F667" s="35">
        <v>43529</v>
      </c>
      <c r="G667" s="35">
        <v>45355</v>
      </c>
      <c r="H667" s="34" t="s">
        <v>24</v>
      </c>
      <c r="I667" s="34" t="s">
        <v>79</v>
      </c>
    </row>
    <row r="668" spans="1:9" ht="14.4">
      <c r="A668" s="36">
        <v>2293</v>
      </c>
      <c r="B668" s="33" t="s">
        <v>285</v>
      </c>
      <c r="C668" s="36">
        <v>14394</v>
      </c>
      <c r="D668" s="36" t="s">
        <v>30</v>
      </c>
      <c r="E668" s="36">
        <v>13</v>
      </c>
      <c r="F668" s="37">
        <v>43529</v>
      </c>
      <c r="G668" s="37">
        <v>45355</v>
      </c>
      <c r="H668" s="36" t="s">
        <v>16</v>
      </c>
      <c r="I668" s="36" t="s">
        <v>79</v>
      </c>
    </row>
    <row r="669" spans="1:9" ht="14.4">
      <c r="A669" s="34">
        <v>2296</v>
      </c>
      <c r="B669" s="32" t="s">
        <v>279</v>
      </c>
      <c r="C669" s="34">
        <v>14399</v>
      </c>
      <c r="D669" s="34" t="s">
        <v>18</v>
      </c>
      <c r="E669" s="34">
        <v>4</v>
      </c>
      <c r="F669" s="35">
        <v>43529</v>
      </c>
      <c r="G669" s="35">
        <v>45355</v>
      </c>
      <c r="H669" s="34" t="s">
        <v>219</v>
      </c>
      <c r="I669" s="34" t="s">
        <v>79</v>
      </c>
    </row>
    <row r="670" spans="1:9" ht="14.4">
      <c r="A670" s="36">
        <v>2297</v>
      </c>
      <c r="B670" s="33" t="s">
        <v>286</v>
      </c>
      <c r="C670" s="36">
        <v>14400</v>
      </c>
      <c r="D670" s="36" t="s">
        <v>18</v>
      </c>
      <c r="E670" s="36">
        <v>50</v>
      </c>
      <c r="F670" s="37">
        <v>43560</v>
      </c>
      <c r="G670" s="37">
        <v>45386</v>
      </c>
      <c r="H670" s="36" t="s">
        <v>16</v>
      </c>
      <c r="I670" s="36" t="s">
        <v>79</v>
      </c>
    </row>
    <row r="671" spans="1:9" ht="14.4">
      <c r="A671" s="34">
        <v>2298</v>
      </c>
      <c r="B671" s="32" t="s">
        <v>287</v>
      </c>
      <c r="C671" s="34">
        <v>14401</v>
      </c>
      <c r="D671" s="34" t="s">
        <v>18</v>
      </c>
      <c r="E671" s="34">
        <v>32</v>
      </c>
      <c r="F671" s="35">
        <v>43535</v>
      </c>
      <c r="G671" s="35">
        <v>45361</v>
      </c>
      <c r="H671" s="34" t="s">
        <v>14</v>
      </c>
      <c r="I671" s="34" t="s">
        <v>79</v>
      </c>
    </row>
    <row r="672" spans="1:9" ht="14.4">
      <c r="A672" s="36">
        <v>2299</v>
      </c>
      <c r="B672" s="33" t="s">
        <v>287</v>
      </c>
      <c r="C672" s="36">
        <v>14402</v>
      </c>
      <c r="D672" s="36" t="s">
        <v>18</v>
      </c>
      <c r="E672" s="36">
        <v>21</v>
      </c>
      <c r="F672" s="37">
        <v>43535</v>
      </c>
      <c r="G672" s="37">
        <v>45361</v>
      </c>
      <c r="H672" s="36" t="s">
        <v>84</v>
      </c>
      <c r="I672" s="36" t="s">
        <v>79</v>
      </c>
    </row>
    <row r="673" spans="1:9" ht="14.4">
      <c r="A673" s="34">
        <v>2300</v>
      </c>
      <c r="B673" s="32" t="s">
        <v>287</v>
      </c>
      <c r="C673" s="34">
        <v>14403</v>
      </c>
      <c r="D673" s="34" t="s">
        <v>18</v>
      </c>
      <c r="E673" s="34">
        <v>52</v>
      </c>
      <c r="F673" s="35">
        <v>43535</v>
      </c>
      <c r="G673" s="35">
        <v>45361</v>
      </c>
      <c r="H673" s="34" t="s">
        <v>32</v>
      </c>
      <c r="I673" s="34" t="s">
        <v>79</v>
      </c>
    </row>
    <row r="674" spans="1:9" ht="14.4">
      <c r="A674" s="36">
        <v>2301</v>
      </c>
      <c r="B674" s="33" t="s">
        <v>282</v>
      </c>
      <c r="C674" s="36">
        <v>14404</v>
      </c>
      <c r="D674" s="36" t="s">
        <v>18</v>
      </c>
      <c r="E674" s="36">
        <v>24</v>
      </c>
      <c r="F674" s="37">
        <v>43585</v>
      </c>
      <c r="G674" s="37">
        <v>45411</v>
      </c>
      <c r="H674" s="36" t="s">
        <v>14</v>
      </c>
      <c r="I674" s="36" t="s">
        <v>79</v>
      </c>
    </row>
    <row r="675" spans="1:9" ht="14.4">
      <c r="A675" s="34">
        <v>2302</v>
      </c>
      <c r="B675" s="32" t="s">
        <v>282</v>
      </c>
      <c r="C675" s="34">
        <v>14405</v>
      </c>
      <c r="D675" s="34" t="s">
        <v>18</v>
      </c>
      <c r="E675" s="34">
        <v>7</v>
      </c>
      <c r="F675" s="35">
        <v>43585</v>
      </c>
      <c r="G675" s="35">
        <v>45411</v>
      </c>
      <c r="H675" s="34" t="s">
        <v>14</v>
      </c>
      <c r="I675" s="34" t="s">
        <v>79</v>
      </c>
    </row>
    <row r="676" spans="1:9" ht="14.4">
      <c r="A676" s="36">
        <v>2303</v>
      </c>
      <c r="B676" s="33" t="s">
        <v>288</v>
      </c>
      <c r="C676" s="36">
        <v>14408</v>
      </c>
      <c r="D676" s="36" t="s">
        <v>18</v>
      </c>
      <c r="E676" s="36">
        <v>30</v>
      </c>
      <c r="F676" s="37">
        <v>43539</v>
      </c>
      <c r="G676" s="37">
        <v>45365</v>
      </c>
      <c r="H676" s="36" t="s">
        <v>16</v>
      </c>
      <c r="I676" s="36" t="s">
        <v>79</v>
      </c>
    </row>
    <row r="677" spans="1:9" ht="14.4">
      <c r="A677" s="34">
        <v>2305</v>
      </c>
      <c r="B677" s="32" t="s">
        <v>276</v>
      </c>
      <c r="C677" s="34">
        <v>14414</v>
      </c>
      <c r="D677" s="34" t="s">
        <v>18</v>
      </c>
      <c r="E677" s="34">
        <v>22</v>
      </c>
      <c r="F677" s="35">
        <v>43550</v>
      </c>
      <c r="G677" s="35">
        <v>45376</v>
      </c>
      <c r="H677" s="34" t="s">
        <v>277</v>
      </c>
      <c r="I677" s="34" t="s">
        <v>79</v>
      </c>
    </row>
    <row r="678" spans="1:9" ht="14.4">
      <c r="A678" s="36">
        <v>2309</v>
      </c>
      <c r="B678" s="33" t="s">
        <v>289</v>
      </c>
      <c r="C678" s="36">
        <v>14418</v>
      </c>
      <c r="D678" s="36" t="s">
        <v>18</v>
      </c>
      <c r="E678" s="36">
        <v>4</v>
      </c>
      <c r="F678" s="37">
        <v>43543</v>
      </c>
      <c r="G678" s="37">
        <v>45369</v>
      </c>
      <c r="H678" s="36" t="s">
        <v>16</v>
      </c>
      <c r="I678" s="36" t="s">
        <v>79</v>
      </c>
    </row>
    <row r="679" spans="1:9" ht="14.4">
      <c r="A679" s="34">
        <v>2310</v>
      </c>
      <c r="B679" s="32" t="s">
        <v>289</v>
      </c>
      <c r="C679" s="34">
        <v>14419</v>
      </c>
      <c r="D679" s="34" t="s">
        <v>18</v>
      </c>
      <c r="E679" s="34">
        <v>6</v>
      </c>
      <c r="F679" s="35">
        <v>43543</v>
      </c>
      <c r="G679" s="35">
        <v>45369</v>
      </c>
      <c r="H679" s="34" t="s">
        <v>16</v>
      </c>
      <c r="I679" s="34" t="s">
        <v>79</v>
      </c>
    </row>
    <row r="680" spans="1:9" ht="14.4">
      <c r="A680" s="36">
        <v>2311</v>
      </c>
      <c r="B680" s="33" t="s">
        <v>289</v>
      </c>
      <c r="C680" s="36">
        <v>14420</v>
      </c>
      <c r="D680" s="36" t="s">
        <v>18</v>
      </c>
      <c r="E680" s="36">
        <v>8</v>
      </c>
      <c r="F680" s="37">
        <v>43543</v>
      </c>
      <c r="G680" s="37">
        <v>45369</v>
      </c>
      <c r="H680" s="36" t="s">
        <v>14</v>
      </c>
      <c r="I680" s="36" t="s">
        <v>79</v>
      </c>
    </row>
    <row r="681" spans="1:9" ht="14.4">
      <c r="A681" s="34">
        <v>2320</v>
      </c>
      <c r="B681" s="32" t="s">
        <v>289</v>
      </c>
      <c r="C681" s="34">
        <v>14439</v>
      </c>
      <c r="D681" s="34" t="s">
        <v>18</v>
      </c>
      <c r="E681" s="34">
        <v>5</v>
      </c>
      <c r="F681" s="35">
        <v>43585</v>
      </c>
      <c r="G681" s="35">
        <v>45411</v>
      </c>
      <c r="H681" s="34" t="s">
        <v>14</v>
      </c>
      <c r="I681" s="34" t="s">
        <v>79</v>
      </c>
    </row>
    <row r="682" spans="1:9" ht="14.4">
      <c r="A682" s="36">
        <v>2321</v>
      </c>
      <c r="B682" s="33" t="s">
        <v>289</v>
      </c>
      <c r="C682" s="36">
        <v>14440</v>
      </c>
      <c r="D682" s="36" t="s">
        <v>18</v>
      </c>
      <c r="E682" s="36">
        <v>8</v>
      </c>
      <c r="F682" s="37">
        <v>43585</v>
      </c>
      <c r="G682" s="37">
        <v>45411</v>
      </c>
      <c r="H682" s="36" t="s">
        <v>14</v>
      </c>
      <c r="I682" s="36" t="s">
        <v>79</v>
      </c>
    </row>
    <row r="683" spans="1:9" ht="14.4">
      <c r="A683" s="34">
        <v>2325</v>
      </c>
      <c r="B683" s="32" t="s">
        <v>290</v>
      </c>
      <c r="C683" s="34">
        <v>14444</v>
      </c>
      <c r="D683" s="34" t="s">
        <v>18</v>
      </c>
      <c r="E683" s="34">
        <v>3</v>
      </c>
      <c r="F683" s="35">
        <v>43585</v>
      </c>
      <c r="G683" s="35">
        <v>45411</v>
      </c>
      <c r="H683" s="34" t="s">
        <v>32</v>
      </c>
      <c r="I683" s="34" t="s">
        <v>79</v>
      </c>
    </row>
    <row r="684" spans="1:9" ht="14.4">
      <c r="A684" s="36">
        <v>2326</v>
      </c>
      <c r="B684" s="33" t="s">
        <v>242</v>
      </c>
      <c r="C684" s="36">
        <v>14445</v>
      </c>
      <c r="D684" s="36" t="s">
        <v>18</v>
      </c>
      <c r="E684" s="36">
        <v>4</v>
      </c>
      <c r="F684" s="37">
        <v>43543</v>
      </c>
      <c r="G684" s="37">
        <v>45369</v>
      </c>
      <c r="H684" s="36" t="s">
        <v>14</v>
      </c>
      <c r="I684" s="36" t="s">
        <v>79</v>
      </c>
    </row>
    <row r="685" spans="1:9" ht="14.4">
      <c r="A685" s="34">
        <v>2327</v>
      </c>
      <c r="B685" s="32" t="s">
        <v>291</v>
      </c>
      <c r="C685" s="34">
        <v>14446</v>
      </c>
      <c r="D685" s="34" t="s">
        <v>18</v>
      </c>
      <c r="E685" s="34">
        <v>6</v>
      </c>
      <c r="F685" s="35">
        <v>43684</v>
      </c>
      <c r="G685" s="35">
        <v>45510</v>
      </c>
      <c r="H685" s="34" t="s">
        <v>19</v>
      </c>
      <c r="I685" s="34" t="s">
        <v>79</v>
      </c>
    </row>
    <row r="686" spans="1:9" ht="14.4">
      <c r="A686" s="36">
        <v>2328</v>
      </c>
      <c r="B686" s="33" t="s">
        <v>291</v>
      </c>
      <c r="C686" s="36">
        <v>14447</v>
      </c>
      <c r="D686" s="36" t="s">
        <v>18</v>
      </c>
      <c r="E686" s="36">
        <v>4</v>
      </c>
      <c r="F686" s="37">
        <v>43711</v>
      </c>
      <c r="G686" s="37">
        <v>45537</v>
      </c>
      <c r="H686" s="36" t="s">
        <v>19</v>
      </c>
      <c r="I686" s="36" t="s">
        <v>79</v>
      </c>
    </row>
    <row r="687" spans="1:9" ht="14.4">
      <c r="A687" s="34">
        <v>2331</v>
      </c>
      <c r="B687" s="32" t="s">
        <v>282</v>
      </c>
      <c r="C687" s="34">
        <v>14452</v>
      </c>
      <c r="D687" s="34" t="s">
        <v>18</v>
      </c>
      <c r="E687" s="34">
        <v>9</v>
      </c>
      <c r="F687" s="35">
        <v>43546</v>
      </c>
      <c r="G687" s="35">
        <v>45372</v>
      </c>
      <c r="H687" s="34" t="s">
        <v>14</v>
      </c>
      <c r="I687" s="34" t="s">
        <v>79</v>
      </c>
    </row>
    <row r="688" spans="1:9" ht="14.4">
      <c r="A688" s="36">
        <v>2332</v>
      </c>
      <c r="B688" s="33" t="s">
        <v>282</v>
      </c>
      <c r="C688" s="36">
        <v>14453</v>
      </c>
      <c r="D688" s="36" t="s">
        <v>18</v>
      </c>
      <c r="E688" s="36">
        <v>13</v>
      </c>
      <c r="F688" s="37">
        <v>43550</v>
      </c>
      <c r="G688" s="37">
        <v>45376</v>
      </c>
      <c r="H688" s="36" t="s">
        <v>59</v>
      </c>
      <c r="I688" s="36" t="s">
        <v>79</v>
      </c>
    </row>
    <row r="689" spans="1:9" ht="14.4">
      <c r="A689" s="34">
        <v>2333</v>
      </c>
      <c r="B689" s="32" t="s">
        <v>282</v>
      </c>
      <c r="C689" s="34">
        <v>14454</v>
      </c>
      <c r="D689" s="34" t="s">
        <v>18</v>
      </c>
      <c r="E689" s="34">
        <v>17</v>
      </c>
      <c r="F689" s="35">
        <v>43553</v>
      </c>
      <c r="G689" s="35">
        <v>45379</v>
      </c>
      <c r="H689" s="34" t="s">
        <v>70</v>
      </c>
      <c r="I689" s="34" t="s">
        <v>79</v>
      </c>
    </row>
    <row r="690" spans="1:9" ht="14.4">
      <c r="A690" s="36">
        <v>2335</v>
      </c>
      <c r="B690" s="33" t="s">
        <v>29</v>
      </c>
      <c r="C690" s="36">
        <v>14456</v>
      </c>
      <c r="D690" s="36" t="s">
        <v>18</v>
      </c>
      <c r="E690" s="36">
        <v>23</v>
      </c>
      <c r="F690" s="37">
        <v>43535</v>
      </c>
      <c r="G690" s="37">
        <v>45361</v>
      </c>
      <c r="H690" s="36" t="s">
        <v>14</v>
      </c>
      <c r="I690" s="36" t="s">
        <v>79</v>
      </c>
    </row>
    <row r="691" spans="1:9" ht="14.4">
      <c r="A691" s="34">
        <v>2337</v>
      </c>
      <c r="B691" s="32" t="s">
        <v>282</v>
      </c>
      <c r="C691" s="34">
        <v>14468</v>
      </c>
      <c r="D691" s="34" t="s">
        <v>18</v>
      </c>
      <c r="E691" s="34">
        <v>21</v>
      </c>
      <c r="F691" s="35">
        <v>43546</v>
      </c>
      <c r="G691" s="35">
        <v>45372</v>
      </c>
      <c r="H691" s="34" t="s">
        <v>14</v>
      </c>
      <c r="I691" s="34" t="s">
        <v>79</v>
      </c>
    </row>
    <row r="692" spans="1:9" ht="14.4">
      <c r="A692" s="36">
        <v>2338</v>
      </c>
      <c r="B692" s="33" t="s">
        <v>282</v>
      </c>
      <c r="C692" s="36">
        <v>14469</v>
      </c>
      <c r="D692" s="36" t="s">
        <v>18</v>
      </c>
      <c r="E692" s="36">
        <v>41</v>
      </c>
      <c r="F692" s="37">
        <v>43550</v>
      </c>
      <c r="G692" s="37">
        <v>45376</v>
      </c>
      <c r="H692" s="36" t="s">
        <v>14</v>
      </c>
      <c r="I692" s="36" t="s">
        <v>79</v>
      </c>
    </row>
    <row r="693" spans="1:9" ht="14.4">
      <c r="A693" s="34">
        <v>2339</v>
      </c>
      <c r="B693" s="32" t="s">
        <v>242</v>
      </c>
      <c r="C693" s="34">
        <v>14470</v>
      </c>
      <c r="D693" s="34" t="s">
        <v>18</v>
      </c>
      <c r="E693" s="34">
        <v>5</v>
      </c>
      <c r="F693" s="35">
        <v>43570</v>
      </c>
      <c r="G693" s="35">
        <v>45396</v>
      </c>
      <c r="H693" s="34" t="s">
        <v>14</v>
      </c>
      <c r="I693" s="34" t="s">
        <v>79</v>
      </c>
    </row>
    <row r="694" spans="1:9" ht="14.4">
      <c r="A694" s="36">
        <v>2340</v>
      </c>
      <c r="B694" s="33" t="s">
        <v>242</v>
      </c>
      <c r="C694" s="36">
        <v>14471</v>
      </c>
      <c r="D694" s="36" t="s">
        <v>18</v>
      </c>
      <c r="E694" s="36">
        <v>5</v>
      </c>
      <c r="F694" s="37">
        <v>43570</v>
      </c>
      <c r="G694" s="37">
        <v>45396</v>
      </c>
      <c r="H694" s="36" t="s">
        <v>14</v>
      </c>
      <c r="I694" s="36" t="s">
        <v>79</v>
      </c>
    </row>
    <row r="695" spans="1:9" ht="14.4">
      <c r="A695" s="34">
        <v>2341</v>
      </c>
      <c r="B695" s="32" t="s">
        <v>242</v>
      </c>
      <c r="C695" s="34">
        <v>14472</v>
      </c>
      <c r="D695" s="34" t="s">
        <v>18</v>
      </c>
      <c r="E695" s="34">
        <v>4</v>
      </c>
      <c r="F695" s="35">
        <v>43560</v>
      </c>
      <c r="G695" s="35">
        <v>45386</v>
      </c>
      <c r="H695" s="34" t="s">
        <v>14</v>
      </c>
      <c r="I695" s="34" t="s">
        <v>79</v>
      </c>
    </row>
    <row r="696" spans="1:9" ht="14.4">
      <c r="A696" s="36">
        <v>2342</v>
      </c>
      <c r="B696" s="33" t="s">
        <v>242</v>
      </c>
      <c r="C696" s="36">
        <v>14473</v>
      </c>
      <c r="D696" s="36" t="s">
        <v>18</v>
      </c>
      <c r="E696" s="36">
        <v>6</v>
      </c>
      <c r="F696" s="37">
        <v>43613</v>
      </c>
      <c r="G696" s="37">
        <v>45439</v>
      </c>
      <c r="H696" s="36" t="s">
        <v>14</v>
      </c>
      <c r="I696" s="36" t="s">
        <v>79</v>
      </c>
    </row>
    <row r="697" spans="1:9" ht="14.4">
      <c r="A697" s="34">
        <v>2343</v>
      </c>
      <c r="B697" s="32" t="s">
        <v>242</v>
      </c>
      <c r="C697" s="34">
        <v>14474</v>
      </c>
      <c r="D697" s="34" t="s">
        <v>18</v>
      </c>
      <c r="E697" s="34">
        <v>4</v>
      </c>
      <c r="F697" s="35">
        <v>43557</v>
      </c>
      <c r="G697" s="35">
        <v>45383</v>
      </c>
      <c r="H697" s="34" t="s">
        <v>14</v>
      </c>
      <c r="I697" s="34" t="s">
        <v>79</v>
      </c>
    </row>
    <row r="698" spans="1:9" ht="14.4">
      <c r="A698" s="36">
        <v>2344</v>
      </c>
      <c r="B698" s="33" t="s">
        <v>292</v>
      </c>
      <c r="C698" s="36">
        <v>14475</v>
      </c>
      <c r="D698" s="36" t="s">
        <v>18</v>
      </c>
      <c r="E698" s="36">
        <v>275</v>
      </c>
      <c r="F698" s="37">
        <v>43529</v>
      </c>
      <c r="G698" s="37">
        <v>45355</v>
      </c>
      <c r="H698" s="36" t="s">
        <v>16</v>
      </c>
      <c r="I698" s="36" t="s">
        <v>79</v>
      </c>
    </row>
    <row r="699" spans="1:9" ht="14.4">
      <c r="A699" s="34">
        <v>2345</v>
      </c>
      <c r="B699" s="32" t="s">
        <v>293</v>
      </c>
      <c r="C699" s="34">
        <v>14476</v>
      </c>
      <c r="D699" s="34" t="s">
        <v>18</v>
      </c>
      <c r="E699" s="34">
        <v>8</v>
      </c>
      <c r="F699" s="35">
        <v>43546</v>
      </c>
      <c r="G699" s="35">
        <v>45372</v>
      </c>
      <c r="H699" s="34" t="s">
        <v>59</v>
      </c>
      <c r="I699" s="34" t="s">
        <v>79</v>
      </c>
    </row>
    <row r="700" spans="1:9" ht="14.4">
      <c r="A700" s="36">
        <v>2350</v>
      </c>
      <c r="B700" s="33" t="s">
        <v>294</v>
      </c>
      <c r="C700" s="36">
        <v>14482</v>
      </c>
      <c r="D700" s="36" t="s">
        <v>18</v>
      </c>
      <c r="E700" s="36">
        <v>3</v>
      </c>
      <c r="F700" s="37">
        <v>43557</v>
      </c>
      <c r="G700" s="37">
        <v>45383</v>
      </c>
      <c r="H700" s="36" t="s">
        <v>16</v>
      </c>
      <c r="I700" s="36" t="s">
        <v>79</v>
      </c>
    </row>
    <row r="701" spans="1:9" ht="14.4">
      <c r="A701" s="34">
        <v>2351</v>
      </c>
      <c r="B701" s="32" t="s">
        <v>295</v>
      </c>
      <c r="C701" s="34">
        <v>14483</v>
      </c>
      <c r="D701" s="34" t="s">
        <v>18</v>
      </c>
      <c r="E701" s="34">
        <v>13</v>
      </c>
      <c r="F701" s="35">
        <v>43557</v>
      </c>
      <c r="G701" s="35">
        <v>45383</v>
      </c>
      <c r="H701" s="34" t="s">
        <v>16</v>
      </c>
      <c r="I701" s="34" t="s">
        <v>79</v>
      </c>
    </row>
    <row r="702" spans="1:9" ht="14.4">
      <c r="A702" s="36">
        <v>2352</v>
      </c>
      <c r="B702" s="33" t="s">
        <v>296</v>
      </c>
      <c r="C702" s="36">
        <v>14484</v>
      </c>
      <c r="D702" s="36" t="s">
        <v>18</v>
      </c>
      <c r="E702" s="36">
        <v>1</v>
      </c>
      <c r="F702" s="37">
        <v>43560</v>
      </c>
      <c r="G702" s="37">
        <v>45386</v>
      </c>
      <c r="H702" s="36" t="s">
        <v>14</v>
      </c>
      <c r="I702" s="36" t="s">
        <v>79</v>
      </c>
    </row>
    <row r="703" spans="1:9" ht="14.4">
      <c r="A703" s="34">
        <v>2353</v>
      </c>
      <c r="B703" s="32" t="s">
        <v>296</v>
      </c>
      <c r="C703" s="34">
        <v>14485</v>
      </c>
      <c r="D703" s="34" t="s">
        <v>18</v>
      </c>
      <c r="E703" s="34">
        <v>1</v>
      </c>
      <c r="F703" s="35">
        <v>43560</v>
      </c>
      <c r="G703" s="35">
        <v>45386</v>
      </c>
      <c r="H703" s="34" t="s">
        <v>56</v>
      </c>
      <c r="I703" s="34" t="s">
        <v>79</v>
      </c>
    </row>
    <row r="704" spans="1:9" ht="14.4">
      <c r="A704" s="36">
        <v>2354</v>
      </c>
      <c r="B704" s="33" t="s">
        <v>297</v>
      </c>
      <c r="C704" s="36">
        <v>14486</v>
      </c>
      <c r="D704" s="36" t="s">
        <v>18</v>
      </c>
      <c r="E704" s="36">
        <v>10</v>
      </c>
      <c r="F704" s="37">
        <v>43585</v>
      </c>
      <c r="G704" s="37">
        <v>45411</v>
      </c>
      <c r="H704" s="36" t="s">
        <v>16</v>
      </c>
      <c r="I704" s="36" t="s">
        <v>79</v>
      </c>
    </row>
    <row r="705" spans="1:9" ht="14.4">
      <c r="A705" s="34">
        <v>2355</v>
      </c>
      <c r="B705" s="32" t="s">
        <v>298</v>
      </c>
      <c r="C705" s="34">
        <v>14488</v>
      </c>
      <c r="D705" s="34" t="s">
        <v>18</v>
      </c>
      <c r="E705" s="34">
        <v>6</v>
      </c>
      <c r="F705" s="35">
        <v>43585</v>
      </c>
      <c r="G705" s="35">
        <v>45411</v>
      </c>
      <c r="H705" s="34" t="s">
        <v>19</v>
      </c>
      <c r="I705" s="34" t="s">
        <v>79</v>
      </c>
    </row>
    <row r="706" spans="1:9" ht="14.4">
      <c r="A706" s="36">
        <v>2356</v>
      </c>
      <c r="B706" s="33" t="s">
        <v>298</v>
      </c>
      <c r="C706" s="36">
        <v>14489</v>
      </c>
      <c r="D706" s="36" t="s">
        <v>18</v>
      </c>
      <c r="E706" s="36">
        <v>3</v>
      </c>
      <c r="F706" s="37">
        <v>43585</v>
      </c>
      <c r="G706" s="37">
        <v>45411</v>
      </c>
      <c r="H706" s="36" t="s">
        <v>19</v>
      </c>
      <c r="I706" s="36" t="s">
        <v>79</v>
      </c>
    </row>
    <row r="707" spans="1:9" ht="14.4">
      <c r="A707" s="34">
        <v>2357</v>
      </c>
      <c r="B707" s="32" t="s">
        <v>296</v>
      </c>
      <c r="C707" s="34">
        <v>14490</v>
      </c>
      <c r="D707" s="34" t="s">
        <v>18</v>
      </c>
      <c r="E707" s="34">
        <v>1</v>
      </c>
      <c r="F707" s="35">
        <v>43560</v>
      </c>
      <c r="G707" s="35">
        <v>45386</v>
      </c>
      <c r="H707" s="34" t="s">
        <v>14</v>
      </c>
      <c r="I707" s="34" t="s">
        <v>79</v>
      </c>
    </row>
    <row r="708" spans="1:9" ht="14.4">
      <c r="A708" s="36">
        <v>2359</v>
      </c>
      <c r="B708" s="33" t="s">
        <v>299</v>
      </c>
      <c r="C708" s="36">
        <v>14492</v>
      </c>
      <c r="D708" s="36" t="s">
        <v>18</v>
      </c>
      <c r="E708" s="36">
        <v>8</v>
      </c>
      <c r="F708" s="37">
        <v>43550</v>
      </c>
      <c r="G708" s="37">
        <v>45376</v>
      </c>
      <c r="H708" s="36" t="s">
        <v>14</v>
      </c>
      <c r="I708" s="36" t="s">
        <v>79</v>
      </c>
    </row>
    <row r="709" spans="1:9" ht="14.4">
      <c r="A709" s="34">
        <v>2362</v>
      </c>
      <c r="B709" s="32" t="s">
        <v>300</v>
      </c>
      <c r="C709" s="34">
        <v>14495</v>
      </c>
      <c r="D709" s="34" t="s">
        <v>18</v>
      </c>
      <c r="E709" s="34">
        <v>10</v>
      </c>
      <c r="F709" s="35">
        <v>43585</v>
      </c>
      <c r="G709" s="35">
        <v>45411</v>
      </c>
      <c r="H709" s="34" t="s">
        <v>14</v>
      </c>
      <c r="I709" s="34" t="s">
        <v>79</v>
      </c>
    </row>
    <row r="710" spans="1:9" ht="14.4">
      <c r="A710" s="36">
        <v>2363</v>
      </c>
      <c r="B710" s="33" t="s">
        <v>301</v>
      </c>
      <c r="C710" s="36">
        <v>14496</v>
      </c>
      <c r="D710" s="36" t="s">
        <v>18</v>
      </c>
      <c r="E710" s="36">
        <v>154</v>
      </c>
      <c r="F710" s="37">
        <v>43535</v>
      </c>
      <c r="G710" s="37">
        <v>45361</v>
      </c>
      <c r="H710" s="36" t="s">
        <v>16</v>
      </c>
      <c r="I710" s="36" t="s">
        <v>79</v>
      </c>
    </row>
    <row r="711" spans="1:9" ht="14.4">
      <c r="A711" s="34">
        <v>2364</v>
      </c>
      <c r="B711" s="32" t="s">
        <v>301</v>
      </c>
      <c r="C711" s="34">
        <v>14497</v>
      </c>
      <c r="D711" s="34" t="s">
        <v>18</v>
      </c>
      <c r="E711" s="34">
        <v>99</v>
      </c>
      <c r="F711" s="35">
        <v>43535</v>
      </c>
      <c r="G711" s="35">
        <v>45361</v>
      </c>
      <c r="H711" s="34" t="s">
        <v>16</v>
      </c>
      <c r="I711" s="34" t="s">
        <v>79</v>
      </c>
    </row>
    <row r="712" spans="1:9" ht="14.4">
      <c r="A712" s="36">
        <v>2365</v>
      </c>
      <c r="B712" s="33" t="s">
        <v>301</v>
      </c>
      <c r="C712" s="36">
        <v>14498</v>
      </c>
      <c r="D712" s="36" t="s">
        <v>18</v>
      </c>
      <c r="E712" s="36">
        <v>117</v>
      </c>
      <c r="F712" s="37">
        <v>43535</v>
      </c>
      <c r="G712" s="37">
        <v>45361</v>
      </c>
      <c r="H712" s="36" t="s">
        <v>16</v>
      </c>
      <c r="I712" s="36" t="s">
        <v>79</v>
      </c>
    </row>
    <row r="713" spans="1:9" ht="14.4">
      <c r="A713" s="34">
        <v>2367</v>
      </c>
      <c r="B713" s="32" t="s">
        <v>297</v>
      </c>
      <c r="C713" s="34">
        <v>14500</v>
      </c>
      <c r="D713" s="34" t="s">
        <v>18</v>
      </c>
      <c r="E713" s="34">
        <v>5</v>
      </c>
      <c r="F713" s="35">
        <v>43614</v>
      </c>
      <c r="G713" s="35">
        <v>45440</v>
      </c>
      <c r="H713" s="34" t="s">
        <v>70</v>
      </c>
      <c r="I713" s="34" t="s">
        <v>79</v>
      </c>
    </row>
    <row r="714" spans="1:9" ht="14.4">
      <c r="A714" s="36">
        <v>2368</v>
      </c>
      <c r="B714" s="33" t="s">
        <v>302</v>
      </c>
      <c r="C714" s="36">
        <v>14502</v>
      </c>
      <c r="D714" s="36" t="s">
        <v>18</v>
      </c>
      <c r="E714" s="36">
        <v>12</v>
      </c>
      <c r="F714" s="37">
        <v>43623</v>
      </c>
      <c r="G714" s="37">
        <v>45449</v>
      </c>
      <c r="H714" s="36" t="s">
        <v>16</v>
      </c>
      <c r="I714" s="36" t="s">
        <v>79</v>
      </c>
    </row>
    <row r="715" spans="1:9" ht="14.4">
      <c r="A715" s="34">
        <v>2369</v>
      </c>
      <c r="B715" s="32" t="s">
        <v>247</v>
      </c>
      <c r="C715" s="34">
        <v>14503</v>
      </c>
      <c r="D715" s="34" t="s">
        <v>18</v>
      </c>
      <c r="E715" s="34">
        <v>36</v>
      </c>
      <c r="F715" s="35">
        <v>43557</v>
      </c>
      <c r="G715" s="35">
        <v>45383</v>
      </c>
      <c r="H715" s="34" t="s">
        <v>24</v>
      </c>
      <c r="I715" s="34" t="s">
        <v>79</v>
      </c>
    </row>
    <row r="716" spans="1:9" ht="14.4">
      <c r="A716" s="36">
        <v>2370</v>
      </c>
      <c r="B716" s="33" t="s">
        <v>303</v>
      </c>
      <c r="C716" s="36">
        <v>14504</v>
      </c>
      <c r="D716" s="36" t="s">
        <v>18</v>
      </c>
      <c r="E716" s="36">
        <v>27</v>
      </c>
      <c r="F716" s="37">
        <v>43557</v>
      </c>
      <c r="G716" s="37">
        <v>45383</v>
      </c>
      <c r="H716" s="36" t="s">
        <v>24</v>
      </c>
      <c r="I716" s="36" t="s">
        <v>79</v>
      </c>
    </row>
    <row r="717" spans="1:9" ht="14.4">
      <c r="A717" s="34">
        <v>2374</v>
      </c>
      <c r="B717" s="32" t="s">
        <v>304</v>
      </c>
      <c r="C717" s="34">
        <v>14509</v>
      </c>
      <c r="D717" s="34" t="s">
        <v>21</v>
      </c>
      <c r="E717" s="34">
        <v>4</v>
      </c>
      <c r="F717" s="35">
        <v>44852</v>
      </c>
      <c r="G717" s="35">
        <v>46677</v>
      </c>
      <c r="H717" s="34" t="s">
        <v>22</v>
      </c>
      <c r="I717" s="34" t="s">
        <v>79</v>
      </c>
    </row>
    <row r="718" spans="1:9" ht="14.4">
      <c r="A718" s="36">
        <v>2375</v>
      </c>
      <c r="B718" s="33" t="s">
        <v>304</v>
      </c>
      <c r="C718" s="36">
        <v>14510</v>
      </c>
      <c r="D718" s="36" t="s">
        <v>21</v>
      </c>
      <c r="E718" s="36">
        <v>4</v>
      </c>
      <c r="F718" s="37">
        <v>44852</v>
      </c>
      <c r="G718" s="37">
        <v>46677</v>
      </c>
      <c r="H718" s="36" t="s">
        <v>22</v>
      </c>
      <c r="I718" s="36" t="s">
        <v>79</v>
      </c>
    </row>
    <row r="719" spans="1:9" ht="14.4">
      <c r="A719" s="34">
        <v>2376</v>
      </c>
      <c r="B719" s="32" t="s">
        <v>304</v>
      </c>
      <c r="C719" s="34">
        <v>14511</v>
      </c>
      <c r="D719" s="34" t="s">
        <v>21</v>
      </c>
      <c r="E719" s="34">
        <v>4</v>
      </c>
      <c r="F719" s="35">
        <v>44852</v>
      </c>
      <c r="G719" s="35">
        <v>46677</v>
      </c>
      <c r="H719" s="34" t="s">
        <v>22</v>
      </c>
      <c r="I719" s="34" t="s">
        <v>79</v>
      </c>
    </row>
    <row r="720" spans="1:9" ht="14.4">
      <c r="A720" s="36">
        <v>2377</v>
      </c>
      <c r="B720" s="33" t="s">
        <v>304</v>
      </c>
      <c r="C720" s="36">
        <v>14512</v>
      </c>
      <c r="D720" s="36" t="s">
        <v>21</v>
      </c>
      <c r="E720" s="36">
        <v>4</v>
      </c>
      <c r="F720" s="37">
        <v>44852</v>
      </c>
      <c r="G720" s="37">
        <v>46677</v>
      </c>
      <c r="H720" s="36" t="s">
        <v>22</v>
      </c>
      <c r="I720" s="36" t="s">
        <v>79</v>
      </c>
    </row>
    <row r="721" spans="1:9" ht="14.4">
      <c r="A721" s="34">
        <v>2378</v>
      </c>
      <c r="B721" s="32" t="s">
        <v>282</v>
      </c>
      <c r="C721" s="34">
        <v>14513</v>
      </c>
      <c r="D721" s="34" t="s">
        <v>18</v>
      </c>
      <c r="E721" s="34">
        <v>25</v>
      </c>
      <c r="F721" s="35">
        <v>43550</v>
      </c>
      <c r="G721" s="35">
        <v>45376</v>
      </c>
      <c r="H721" s="34" t="s">
        <v>16</v>
      </c>
      <c r="I721" s="34" t="s">
        <v>79</v>
      </c>
    </row>
    <row r="722" spans="1:9" ht="14.4">
      <c r="A722" s="36">
        <v>2382</v>
      </c>
      <c r="B722" s="33" t="s">
        <v>282</v>
      </c>
      <c r="C722" s="36">
        <v>14517</v>
      </c>
      <c r="D722" s="36" t="s">
        <v>18</v>
      </c>
      <c r="E722" s="36">
        <v>4</v>
      </c>
      <c r="F722" s="37">
        <v>43550</v>
      </c>
      <c r="G722" s="37">
        <v>45376</v>
      </c>
      <c r="H722" s="36" t="s">
        <v>16</v>
      </c>
      <c r="I722" s="36" t="s">
        <v>79</v>
      </c>
    </row>
    <row r="723" spans="1:9" ht="14.4">
      <c r="A723" s="34">
        <v>2383</v>
      </c>
      <c r="B723" s="32" t="s">
        <v>177</v>
      </c>
      <c r="C723" s="34">
        <v>14518</v>
      </c>
      <c r="D723" s="34" t="s">
        <v>18</v>
      </c>
      <c r="E723" s="34">
        <v>262</v>
      </c>
      <c r="F723" s="35">
        <v>44249</v>
      </c>
      <c r="G723" s="35">
        <v>46074</v>
      </c>
      <c r="H723" s="34" t="s">
        <v>70</v>
      </c>
      <c r="I723" s="34" t="s">
        <v>79</v>
      </c>
    </row>
    <row r="724" spans="1:9" ht="14.4">
      <c r="A724" s="36">
        <v>2384</v>
      </c>
      <c r="B724" s="33" t="s">
        <v>305</v>
      </c>
      <c r="C724" s="36">
        <v>14519</v>
      </c>
      <c r="D724" s="36" t="s">
        <v>18</v>
      </c>
      <c r="E724" s="36">
        <v>6</v>
      </c>
      <c r="F724" s="37">
        <v>43550</v>
      </c>
      <c r="G724" s="37">
        <v>45376</v>
      </c>
      <c r="H724" s="36" t="s">
        <v>16</v>
      </c>
      <c r="I724" s="36" t="s">
        <v>79</v>
      </c>
    </row>
    <row r="725" spans="1:9" ht="14.4">
      <c r="A725" s="34">
        <v>2385</v>
      </c>
      <c r="B725" s="32" t="s">
        <v>305</v>
      </c>
      <c r="C725" s="34">
        <v>14520</v>
      </c>
      <c r="D725" s="34" t="s">
        <v>18</v>
      </c>
      <c r="E725" s="34">
        <v>6</v>
      </c>
      <c r="F725" s="35">
        <v>43550</v>
      </c>
      <c r="G725" s="35">
        <v>45376</v>
      </c>
      <c r="H725" s="34" t="s">
        <v>16</v>
      </c>
      <c r="I725" s="34" t="s">
        <v>79</v>
      </c>
    </row>
    <row r="726" spans="1:9" ht="14.4">
      <c r="A726" s="36">
        <v>2386</v>
      </c>
      <c r="B726" s="33" t="s">
        <v>306</v>
      </c>
      <c r="C726" s="36">
        <v>14521</v>
      </c>
      <c r="D726" s="36" t="s">
        <v>18</v>
      </c>
      <c r="E726" s="36">
        <v>148</v>
      </c>
      <c r="F726" s="37">
        <v>43550</v>
      </c>
      <c r="G726" s="37">
        <v>45376</v>
      </c>
      <c r="H726" s="36" t="s">
        <v>14</v>
      </c>
      <c r="I726" s="36" t="s">
        <v>79</v>
      </c>
    </row>
    <row r="727" spans="1:9" ht="14.4">
      <c r="A727" s="34">
        <v>2387</v>
      </c>
      <c r="B727" s="32" t="s">
        <v>306</v>
      </c>
      <c r="C727" s="34">
        <v>14522</v>
      </c>
      <c r="D727" s="34" t="s">
        <v>18</v>
      </c>
      <c r="E727" s="34">
        <v>88</v>
      </c>
      <c r="F727" s="35">
        <v>43550</v>
      </c>
      <c r="G727" s="35">
        <v>45376</v>
      </c>
      <c r="H727" s="34" t="s">
        <v>16</v>
      </c>
      <c r="I727" s="34" t="s">
        <v>79</v>
      </c>
    </row>
    <row r="728" spans="1:9" ht="14.4">
      <c r="A728" s="36">
        <v>2388</v>
      </c>
      <c r="B728" s="33" t="s">
        <v>306</v>
      </c>
      <c r="C728" s="36">
        <v>14523</v>
      </c>
      <c r="D728" s="36" t="s">
        <v>18</v>
      </c>
      <c r="E728" s="36">
        <v>29</v>
      </c>
      <c r="F728" s="37">
        <v>43550</v>
      </c>
      <c r="G728" s="37">
        <v>45376</v>
      </c>
      <c r="H728" s="36" t="s">
        <v>16</v>
      </c>
      <c r="I728" s="36" t="s">
        <v>79</v>
      </c>
    </row>
    <row r="729" spans="1:9" ht="14.4">
      <c r="A729" s="34">
        <v>2389</v>
      </c>
      <c r="B729" s="32" t="s">
        <v>282</v>
      </c>
      <c r="C729" s="34">
        <v>14524</v>
      </c>
      <c r="D729" s="34" t="s">
        <v>18</v>
      </c>
      <c r="E729" s="34">
        <v>8</v>
      </c>
      <c r="F729" s="35">
        <v>43550</v>
      </c>
      <c r="G729" s="35">
        <v>45376</v>
      </c>
      <c r="H729" s="34" t="s">
        <v>16</v>
      </c>
      <c r="I729" s="34" t="s">
        <v>79</v>
      </c>
    </row>
    <row r="730" spans="1:9" ht="14.4">
      <c r="A730" s="36">
        <v>2390</v>
      </c>
      <c r="B730" s="33" t="s">
        <v>282</v>
      </c>
      <c r="C730" s="36">
        <v>14525</v>
      </c>
      <c r="D730" s="36" t="s">
        <v>18</v>
      </c>
      <c r="E730" s="36">
        <v>14</v>
      </c>
      <c r="F730" s="37">
        <v>43550</v>
      </c>
      <c r="G730" s="37">
        <v>45376</v>
      </c>
      <c r="H730" s="36" t="s">
        <v>16</v>
      </c>
      <c r="I730" s="36" t="s">
        <v>79</v>
      </c>
    </row>
    <row r="731" spans="1:9" ht="14.4">
      <c r="A731" s="34">
        <v>2391</v>
      </c>
      <c r="B731" s="32" t="s">
        <v>282</v>
      </c>
      <c r="C731" s="34">
        <v>14526</v>
      </c>
      <c r="D731" s="34" t="s">
        <v>18</v>
      </c>
      <c r="E731" s="34">
        <v>34</v>
      </c>
      <c r="F731" s="35">
        <v>43550</v>
      </c>
      <c r="G731" s="35">
        <v>45376</v>
      </c>
      <c r="H731" s="34" t="s">
        <v>16</v>
      </c>
      <c r="I731" s="34" t="s">
        <v>79</v>
      </c>
    </row>
    <row r="732" spans="1:9" ht="14.4">
      <c r="A732" s="36">
        <v>2392</v>
      </c>
      <c r="B732" s="33" t="s">
        <v>265</v>
      </c>
      <c r="C732" s="36">
        <v>14527</v>
      </c>
      <c r="D732" s="36" t="s">
        <v>18</v>
      </c>
      <c r="E732" s="36">
        <v>22</v>
      </c>
      <c r="F732" s="37">
        <v>44392</v>
      </c>
      <c r="G732" s="37">
        <v>46217</v>
      </c>
      <c r="H732" s="36" t="s">
        <v>16</v>
      </c>
      <c r="I732" s="36" t="s">
        <v>79</v>
      </c>
    </row>
    <row r="733" spans="1:9" ht="14.4">
      <c r="A733" s="34">
        <v>2393</v>
      </c>
      <c r="B733" s="32" t="s">
        <v>297</v>
      </c>
      <c r="C733" s="34">
        <v>14528</v>
      </c>
      <c r="D733" s="34" t="s">
        <v>18</v>
      </c>
      <c r="E733" s="34">
        <v>8</v>
      </c>
      <c r="F733" s="35">
        <v>43614</v>
      </c>
      <c r="G733" s="35">
        <v>45440</v>
      </c>
      <c r="H733" s="34" t="s">
        <v>16</v>
      </c>
      <c r="I733" s="34" t="s">
        <v>79</v>
      </c>
    </row>
    <row r="734" spans="1:9" ht="14.4">
      <c r="A734" s="36">
        <v>2395</v>
      </c>
      <c r="B734" s="33" t="s">
        <v>307</v>
      </c>
      <c r="C734" s="36">
        <v>14530</v>
      </c>
      <c r="D734" s="36" t="s">
        <v>18</v>
      </c>
      <c r="E734" s="36">
        <v>4</v>
      </c>
      <c r="F734" s="37">
        <v>43560</v>
      </c>
      <c r="G734" s="37">
        <v>45386</v>
      </c>
      <c r="H734" s="36" t="s">
        <v>14</v>
      </c>
      <c r="I734" s="36" t="s">
        <v>79</v>
      </c>
    </row>
    <row r="735" spans="1:9" ht="14.4">
      <c r="A735" s="34">
        <v>2397</v>
      </c>
      <c r="B735" s="32" t="s">
        <v>304</v>
      </c>
      <c r="C735" s="34">
        <v>14532</v>
      </c>
      <c r="D735" s="34" t="s">
        <v>21</v>
      </c>
      <c r="E735" s="34">
        <v>4</v>
      </c>
      <c r="F735" s="35">
        <v>44852</v>
      </c>
      <c r="G735" s="35">
        <v>46677</v>
      </c>
      <c r="H735" s="34" t="s">
        <v>22</v>
      </c>
      <c r="I735" s="34" t="s">
        <v>79</v>
      </c>
    </row>
    <row r="736" spans="1:9" ht="14.4">
      <c r="A736" s="36">
        <v>2398</v>
      </c>
      <c r="B736" s="33" t="s">
        <v>304</v>
      </c>
      <c r="C736" s="36">
        <v>14533</v>
      </c>
      <c r="D736" s="36" t="s">
        <v>21</v>
      </c>
      <c r="E736" s="36">
        <v>4</v>
      </c>
      <c r="F736" s="37">
        <v>44852</v>
      </c>
      <c r="G736" s="37">
        <v>46677</v>
      </c>
      <c r="H736" s="36" t="s">
        <v>22</v>
      </c>
      <c r="I736" s="36" t="s">
        <v>79</v>
      </c>
    </row>
    <row r="737" spans="1:9" ht="14.4">
      <c r="A737" s="34">
        <v>2399</v>
      </c>
      <c r="B737" s="32" t="s">
        <v>304</v>
      </c>
      <c r="C737" s="34">
        <v>14534</v>
      </c>
      <c r="D737" s="34" t="s">
        <v>21</v>
      </c>
      <c r="E737" s="34">
        <v>4</v>
      </c>
      <c r="F737" s="35">
        <v>44852</v>
      </c>
      <c r="G737" s="35">
        <v>46677</v>
      </c>
      <c r="H737" s="34" t="s">
        <v>22</v>
      </c>
      <c r="I737" s="34" t="s">
        <v>79</v>
      </c>
    </row>
    <row r="738" spans="1:9" ht="14.4">
      <c r="A738" s="36">
        <v>2400</v>
      </c>
      <c r="B738" s="33" t="s">
        <v>308</v>
      </c>
      <c r="C738" s="36">
        <v>14535</v>
      </c>
      <c r="D738" s="36" t="s">
        <v>18</v>
      </c>
      <c r="E738" s="36">
        <v>45</v>
      </c>
      <c r="F738" s="37">
        <v>43531</v>
      </c>
      <c r="G738" s="37">
        <v>45357</v>
      </c>
      <c r="H738" s="36" t="s">
        <v>16</v>
      </c>
      <c r="I738" s="36" t="s">
        <v>79</v>
      </c>
    </row>
    <row r="739" spans="1:9" ht="14.4">
      <c r="A739" s="34">
        <v>2401</v>
      </c>
      <c r="B739" s="32" t="s">
        <v>308</v>
      </c>
      <c r="C739" s="34">
        <v>14536</v>
      </c>
      <c r="D739" s="34" t="s">
        <v>18</v>
      </c>
      <c r="E739" s="34">
        <v>39</v>
      </c>
      <c r="F739" s="35">
        <v>43531</v>
      </c>
      <c r="G739" s="35">
        <v>45357</v>
      </c>
      <c r="H739" s="34" t="s">
        <v>19</v>
      </c>
      <c r="I739" s="34" t="s">
        <v>79</v>
      </c>
    </row>
    <row r="740" spans="1:9" ht="14.4">
      <c r="A740" s="36">
        <v>2402</v>
      </c>
      <c r="B740" s="33" t="s">
        <v>308</v>
      </c>
      <c r="C740" s="36">
        <v>14537</v>
      </c>
      <c r="D740" s="36" t="s">
        <v>18</v>
      </c>
      <c r="E740" s="36">
        <v>20</v>
      </c>
      <c r="F740" s="37">
        <v>43531</v>
      </c>
      <c r="G740" s="37">
        <v>45357</v>
      </c>
      <c r="H740" s="36" t="s">
        <v>59</v>
      </c>
      <c r="I740" s="36" t="s">
        <v>79</v>
      </c>
    </row>
    <row r="741" spans="1:9" ht="14.4">
      <c r="A741" s="34">
        <v>2403</v>
      </c>
      <c r="B741" s="32" t="s">
        <v>308</v>
      </c>
      <c r="C741" s="34">
        <v>14538</v>
      </c>
      <c r="D741" s="34" t="s">
        <v>18</v>
      </c>
      <c r="E741" s="34">
        <v>6</v>
      </c>
      <c r="F741" s="35">
        <v>43531</v>
      </c>
      <c r="G741" s="35">
        <v>45357</v>
      </c>
      <c r="H741" s="34" t="s">
        <v>19</v>
      </c>
      <c r="I741" s="34" t="s">
        <v>79</v>
      </c>
    </row>
    <row r="742" spans="1:9" ht="14.4">
      <c r="A742" s="36">
        <v>2404</v>
      </c>
      <c r="B742" s="33" t="s">
        <v>308</v>
      </c>
      <c r="C742" s="36">
        <v>14539</v>
      </c>
      <c r="D742" s="36" t="s">
        <v>18</v>
      </c>
      <c r="E742" s="36">
        <v>39</v>
      </c>
      <c r="F742" s="37">
        <v>43531</v>
      </c>
      <c r="G742" s="37">
        <v>45357</v>
      </c>
      <c r="H742" s="36" t="s">
        <v>70</v>
      </c>
      <c r="I742" s="36" t="s">
        <v>79</v>
      </c>
    </row>
    <row r="743" spans="1:9" ht="14.4">
      <c r="A743" s="34">
        <v>2405</v>
      </c>
      <c r="B743" s="32" t="s">
        <v>308</v>
      </c>
      <c r="C743" s="34">
        <v>14540</v>
      </c>
      <c r="D743" s="34" t="s">
        <v>18</v>
      </c>
      <c r="E743" s="34">
        <v>77</v>
      </c>
      <c r="F743" s="35">
        <v>43531</v>
      </c>
      <c r="G743" s="35">
        <v>45357</v>
      </c>
      <c r="H743" s="34" t="s">
        <v>19</v>
      </c>
      <c r="I743" s="34" t="s">
        <v>79</v>
      </c>
    </row>
    <row r="744" spans="1:9" ht="14.4">
      <c r="A744" s="36">
        <v>2406</v>
      </c>
      <c r="B744" s="33" t="s">
        <v>308</v>
      </c>
      <c r="C744" s="36">
        <v>14541</v>
      </c>
      <c r="D744" s="36" t="s">
        <v>18</v>
      </c>
      <c r="E744" s="36">
        <v>36</v>
      </c>
      <c r="F744" s="37">
        <v>43531</v>
      </c>
      <c r="G744" s="37">
        <v>45357</v>
      </c>
      <c r="H744" s="36" t="s">
        <v>14</v>
      </c>
      <c r="I744" s="36" t="s">
        <v>79</v>
      </c>
    </row>
    <row r="745" spans="1:9" ht="14.4">
      <c r="A745" s="34">
        <v>2408</v>
      </c>
      <c r="B745" s="32" t="s">
        <v>309</v>
      </c>
      <c r="C745" s="34">
        <v>14543</v>
      </c>
      <c r="D745" s="34" t="s">
        <v>18</v>
      </c>
      <c r="E745" s="34">
        <v>60</v>
      </c>
      <c r="F745" s="35">
        <v>43633</v>
      </c>
      <c r="G745" s="35">
        <v>45459</v>
      </c>
      <c r="H745" s="34" t="s">
        <v>16</v>
      </c>
      <c r="I745" s="34" t="s">
        <v>79</v>
      </c>
    </row>
    <row r="746" spans="1:9" ht="14.4">
      <c r="A746" s="36">
        <v>2409</v>
      </c>
      <c r="B746" s="33" t="s">
        <v>309</v>
      </c>
      <c r="C746" s="36">
        <v>14544</v>
      </c>
      <c r="D746" s="36" t="s">
        <v>18</v>
      </c>
      <c r="E746" s="36">
        <v>139</v>
      </c>
      <c r="F746" s="37">
        <v>43633</v>
      </c>
      <c r="G746" s="37">
        <v>45459</v>
      </c>
      <c r="H746" s="36" t="s">
        <v>16</v>
      </c>
      <c r="I746" s="36" t="s">
        <v>79</v>
      </c>
    </row>
    <row r="747" spans="1:9" ht="14.4">
      <c r="A747" s="34">
        <v>2410</v>
      </c>
      <c r="B747" s="32" t="s">
        <v>309</v>
      </c>
      <c r="C747" s="34">
        <v>14545</v>
      </c>
      <c r="D747" s="34" t="s">
        <v>18</v>
      </c>
      <c r="E747" s="34">
        <v>333</v>
      </c>
      <c r="F747" s="35">
        <v>43633</v>
      </c>
      <c r="G747" s="35">
        <v>45459</v>
      </c>
      <c r="H747" s="34" t="s">
        <v>16</v>
      </c>
      <c r="I747" s="34" t="s">
        <v>79</v>
      </c>
    </row>
    <row r="748" spans="1:9" ht="14.4">
      <c r="A748" s="36">
        <v>2411</v>
      </c>
      <c r="B748" s="33" t="s">
        <v>309</v>
      </c>
      <c r="C748" s="36">
        <v>14546</v>
      </c>
      <c r="D748" s="36" t="s">
        <v>18</v>
      </c>
      <c r="E748" s="36">
        <v>269</v>
      </c>
      <c r="F748" s="37">
        <v>43633</v>
      </c>
      <c r="G748" s="37">
        <v>45459</v>
      </c>
      <c r="H748" s="36" t="s">
        <v>16</v>
      </c>
      <c r="I748" s="36" t="s">
        <v>79</v>
      </c>
    </row>
    <row r="749" spans="1:9" ht="14.4">
      <c r="A749" s="34">
        <v>2412</v>
      </c>
      <c r="B749" s="32" t="s">
        <v>309</v>
      </c>
      <c r="C749" s="34">
        <v>14547</v>
      </c>
      <c r="D749" s="34" t="s">
        <v>18</v>
      </c>
      <c r="E749" s="34">
        <v>341</v>
      </c>
      <c r="F749" s="35">
        <v>43633</v>
      </c>
      <c r="G749" s="35">
        <v>45459</v>
      </c>
      <c r="H749" s="34" t="s">
        <v>16</v>
      </c>
      <c r="I749" s="34" t="s">
        <v>79</v>
      </c>
    </row>
    <row r="750" spans="1:9" ht="14.4">
      <c r="A750" s="36">
        <v>2413</v>
      </c>
      <c r="B750" s="33" t="s">
        <v>309</v>
      </c>
      <c r="C750" s="36">
        <v>14548</v>
      </c>
      <c r="D750" s="36" t="s">
        <v>18</v>
      </c>
      <c r="E750" s="36">
        <v>247</v>
      </c>
      <c r="F750" s="37">
        <v>43633</v>
      </c>
      <c r="G750" s="37">
        <v>45459</v>
      </c>
      <c r="H750" s="36" t="s">
        <v>16</v>
      </c>
      <c r="I750" s="36" t="s">
        <v>79</v>
      </c>
    </row>
    <row r="751" spans="1:9" ht="14.4">
      <c r="A751" s="34">
        <v>2414</v>
      </c>
      <c r="B751" s="32" t="s">
        <v>309</v>
      </c>
      <c r="C751" s="34">
        <v>14549</v>
      </c>
      <c r="D751" s="34" t="s">
        <v>18</v>
      </c>
      <c r="E751" s="34">
        <v>198</v>
      </c>
      <c r="F751" s="35">
        <v>43633</v>
      </c>
      <c r="G751" s="35">
        <v>45459</v>
      </c>
      <c r="H751" s="34" t="s">
        <v>16</v>
      </c>
      <c r="I751" s="34" t="s">
        <v>79</v>
      </c>
    </row>
    <row r="752" spans="1:9" ht="14.4">
      <c r="A752" s="36">
        <v>2415</v>
      </c>
      <c r="B752" s="33" t="s">
        <v>309</v>
      </c>
      <c r="C752" s="36">
        <v>14550</v>
      </c>
      <c r="D752" s="36" t="s">
        <v>18</v>
      </c>
      <c r="E752" s="36">
        <v>427</v>
      </c>
      <c r="F752" s="37">
        <v>43633</v>
      </c>
      <c r="G752" s="37">
        <v>45459</v>
      </c>
      <c r="H752" s="36" t="s">
        <v>16</v>
      </c>
      <c r="I752" s="36" t="s">
        <v>79</v>
      </c>
    </row>
    <row r="753" spans="1:9" ht="14.4">
      <c r="A753" s="34">
        <v>2416</v>
      </c>
      <c r="B753" s="32" t="s">
        <v>310</v>
      </c>
      <c r="C753" s="34">
        <v>14551</v>
      </c>
      <c r="D753" s="34" t="s">
        <v>18</v>
      </c>
      <c r="E753" s="34">
        <v>45</v>
      </c>
      <c r="F753" s="35">
        <v>43650</v>
      </c>
      <c r="G753" s="35">
        <v>45476</v>
      </c>
      <c r="H753" s="34" t="s">
        <v>14</v>
      </c>
      <c r="I753" s="34" t="s">
        <v>79</v>
      </c>
    </row>
    <row r="754" spans="1:9" ht="14.4">
      <c r="A754" s="36">
        <v>2417</v>
      </c>
      <c r="B754" s="33" t="s">
        <v>311</v>
      </c>
      <c r="C754" s="36">
        <v>14553</v>
      </c>
      <c r="D754" s="36" t="s">
        <v>18</v>
      </c>
      <c r="E754" s="36">
        <v>1</v>
      </c>
      <c r="F754" s="37">
        <v>43650</v>
      </c>
      <c r="G754" s="37">
        <v>45476</v>
      </c>
      <c r="H754" s="36" t="s">
        <v>14</v>
      </c>
      <c r="I754" s="36" t="s">
        <v>79</v>
      </c>
    </row>
    <row r="755" spans="1:9" ht="14.4">
      <c r="A755" s="34">
        <v>2418</v>
      </c>
      <c r="B755" s="32" t="s">
        <v>262</v>
      </c>
      <c r="C755" s="34">
        <v>14554</v>
      </c>
      <c r="D755" s="34" t="s">
        <v>18</v>
      </c>
      <c r="E755" s="34">
        <v>2</v>
      </c>
      <c r="F755" s="35">
        <v>43684</v>
      </c>
      <c r="G755" s="35">
        <v>45510</v>
      </c>
      <c r="H755" s="34" t="s">
        <v>19</v>
      </c>
      <c r="I755" s="34" t="s">
        <v>79</v>
      </c>
    </row>
    <row r="756" spans="1:9" ht="14.4">
      <c r="A756" s="36">
        <v>2419</v>
      </c>
      <c r="B756" s="33" t="s">
        <v>257</v>
      </c>
      <c r="C756" s="36">
        <v>14555</v>
      </c>
      <c r="D756" s="36" t="s">
        <v>18</v>
      </c>
      <c r="E756" s="36">
        <v>2</v>
      </c>
      <c r="F756" s="37">
        <v>43684</v>
      </c>
      <c r="G756" s="37">
        <v>45510</v>
      </c>
      <c r="H756" s="36" t="s">
        <v>56</v>
      </c>
      <c r="I756" s="36" t="s">
        <v>79</v>
      </c>
    </row>
    <row r="757" spans="1:9" ht="14.4">
      <c r="A757" s="34">
        <v>2420</v>
      </c>
      <c r="B757" s="32" t="s">
        <v>297</v>
      </c>
      <c r="C757" s="34">
        <v>14557</v>
      </c>
      <c r="D757" s="34" t="s">
        <v>18</v>
      </c>
      <c r="E757" s="34">
        <v>4</v>
      </c>
      <c r="F757" s="35">
        <v>43614</v>
      </c>
      <c r="G757" s="35">
        <v>45440</v>
      </c>
      <c r="H757" s="34" t="s">
        <v>16</v>
      </c>
      <c r="I757" s="34" t="s">
        <v>79</v>
      </c>
    </row>
    <row r="758" spans="1:9" ht="14.4">
      <c r="A758" s="36">
        <v>2428</v>
      </c>
      <c r="B758" s="33" t="s">
        <v>265</v>
      </c>
      <c r="C758" s="36">
        <v>14565</v>
      </c>
      <c r="D758" s="36" t="s">
        <v>18</v>
      </c>
      <c r="E758" s="36">
        <v>1</v>
      </c>
      <c r="F758" s="37">
        <v>43650</v>
      </c>
      <c r="G758" s="37">
        <v>45476</v>
      </c>
      <c r="H758" s="36" t="s">
        <v>14</v>
      </c>
      <c r="I758" s="36" t="s">
        <v>79</v>
      </c>
    </row>
    <row r="759" spans="1:9" ht="14.4">
      <c r="A759" s="34">
        <v>2429</v>
      </c>
      <c r="B759" s="32" t="s">
        <v>257</v>
      </c>
      <c r="C759" s="34">
        <v>14566</v>
      </c>
      <c r="D759" s="34" t="s">
        <v>18</v>
      </c>
      <c r="E759" s="34">
        <v>2</v>
      </c>
      <c r="F759" s="35">
        <v>43684</v>
      </c>
      <c r="G759" s="35">
        <v>45510</v>
      </c>
      <c r="H759" s="34" t="s">
        <v>59</v>
      </c>
      <c r="I759" s="34" t="s">
        <v>79</v>
      </c>
    </row>
    <row r="760" spans="1:9" ht="14.4">
      <c r="A760" s="36">
        <v>2430</v>
      </c>
      <c r="B760" s="33" t="s">
        <v>262</v>
      </c>
      <c r="C760" s="36">
        <v>14567</v>
      </c>
      <c r="D760" s="36" t="s">
        <v>18</v>
      </c>
      <c r="E760" s="36">
        <v>5</v>
      </c>
      <c r="F760" s="37">
        <v>43684</v>
      </c>
      <c r="G760" s="37">
        <v>45510</v>
      </c>
      <c r="H760" s="36" t="s">
        <v>19</v>
      </c>
      <c r="I760" s="36" t="s">
        <v>79</v>
      </c>
    </row>
    <row r="761" spans="1:9" ht="14.4">
      <c r="A761" s="34">
        <v>2432</v>
      </c>
      <c r="B761" s="32" t="s">
        <v>312</v>
      </c>
      <c r="C761" s="34">
        <v>14569</v>
      </c>
      <c r="D761" s="34" t="s">
        <v>18</v>
      </c>
      <c r="E761" s="34">
        <v>7</v>
      </c>
      <c r="F761" s="35">
        <v>43623</v>
      </c>
      <c r="G761" s="35">
        <v>45449</v>
      </c>
      <c r="H761" s="34" t="s">
        <v>14</v>
      </c>
      <c r="I761" s="34" t="s">
        <v>79</v>
      </c>
    </row>
    <row r="762" spans="1:9" ht="14.4">
      <c r="A762" s="36">
        <v>2433</v>
      </c>
      <c r="B762" s="33" t="s">
        <v>312</v>
      </c>
      <c r="C762" s="36">
        <v>14570</v>
      </c>
      <c r="D762" s="36" t="s">
        <v>18</v>
      </c>
      <c r="E762" s="36">
        <v>2</v>
      </c>
      <c r="F762" s="37">
        <v>43623</v>
      </c>
      <c r="G762" s="37">
        <v>45449</v>
      </c>
      <c r="H762" s="36" t="s">
        <v>14</v>
      </c>
      <c r="I762" s="36" t="s">
        <v>79</v>
      </c>
    </row>
    <row r="763" spans="1:9" ht="14.4">
      <c r="A763" s="34">
        <v>2434</v>
      </c>
      <c r="B763" s="32" t="s">
        <v>312</v>
      </c>
      <c r="C763" s="34">
        <v>14571</v>
      </c>
      <c r="D763" s="34" t="s">
        <v>18</v>
      </c>
      <c r="E763" s="34">
        <v>3</v>
      </c>
      <c r="F763" s="35">
        <v>43623</v>
      </c>
      <c r="G763" s="35">
        <v>45449</v>
      </c>
      <c r="H763" s="34" t="s">
        <v>14</v>
      </c>
      <c r="I763" s="34" t="s">
        <v>79</v>
      </c>
    </row>
    <row r="764" spans="1:9" ht="14.4">
      <c r="A764" s="36">
        <v>2435</v>
      </c>
      <c r="B764" s="33" t="s">
        <v>284</v>
      </c>
      <c r="C764" s="36">
        <v>14572</v>
      </c>
      <c r="D764" s="36" t="s">
        <v>18</v>
      </c>
      <c r="E764" s="36">
        <v>8</v>
      </c>
      <c r="F764" s="37">
        <v>43566</v>
      </c>
      <c r="G764" s="37">
        <v>45392</v>
      </c>
      <c r="H764" s="36" t="s">
        <v>16</v>
      </c>
      <c r="I764" s="36" t="s">
        <v>79</v>
      </c>
    </row>
    <row r="765" spans="1:9" ht="14.4">
      <c r="A765" s="34">
        <v>2436</v>
      </c>
      <c r="B765" s="32" t="s">
        <v>284</v>
      </c>
      <c r="C765" s="34">
        <v>14573</v>
      </c>
      <c r="D765" s="34" t="s">
        <v>18</v>
      </c>
      <c r="E765" s="34">
        <v>6</v>
      </c>
      <c r="F765" s="35">
        <v>43566</v>
      </c>
      <c r="G765" s="35">
        <v>45392</v>
      </c>
      <c r="H765" s="34" t="s">
        <v>14</v>
      </c>
      <c r="I765" s="34" t="s">
        <v>79</v>
      </c>
    </row>
    <row r="766" spans="1:9" ht="14.4">
      <c r="A766" s="36">
        <v>2437</v>
      </c>
      <c r="B766" s="33" t="s">
        <v>284</v>
      </c>
      <c r="C766" s="36">
        <v>14574</v>
      </c>
      <c r="D766" s="36" t="s">
        <v>18</v>
      </c>
      <c r="E766" s="36">
        <v>4</v>
      </c>
      <c r="F766" s="37">
        <v>43566</v>
      </c>
      <c r="G766" s="37">
        <v>45392</v>
      </c>
      <c r="H766" s="36" t="s">
        <v>14</v>
      </c>
      <c r="I766" s="36" t="s">
        <v>79</v>
      </c>
    </row>
    <row r="767" spans="1:9" ht="14.4">
      <c r="A767" s="34">
        <v>2438</v>
      </c>
      <c r="B767" s="32" t="s">
        <v>284</v>
      </c>
      <c r="C767" s="34">
        <v>14575</v>
      </c>
      <c r="D767" s="34" t="s">
        <v>18</v>
      </c>
      <c r="E767" s="34">
        <v>4</v>
      </c>
      <c r="F767" s="35">
        <v>43566</v>
      </c>
      <c r="G767" s="35">
        <v>45392</v>
      </c>
      <c r="H767" s="34" t="s">
        <v>14</v>
      </c>
      <c r="I767" s="34" t="s">
        <v>79</v>
      </c>
    </row>
    <row r="768" spans="1:9" ht="14.4">
      <c r="A768" s="36">
        <v>2439</v>
      </c>
      <c r="B768" s="33" t="s">
        <v>284</v>
      </c>
      <c r="C768" s="36">
        <v>14576</v>
      </c>
      <c r="D768" s="36" t="s">
        <v>18</v>
      </c>
      <c r="E768" s="36">
        <v>4</v>
      </c>
      <c r="F768" s="37">
        <v>43566</v>
      </c>
      <c r="G768" s="37">
        <v>45392</v>
      </c>
      <c r="H768" s="36" t="s">
        <v>16</v>
      </c>
      <c r="I768" s="36" t="s">
        <v>79</v>
      </c>
    </row>
    <row r="769" spans="1:9" ht="14.4">
      <c r="A769" s="34">
        <v>2440</v>
      </c>
      <c r="B769" s="32" t="s">
        <v>284</v>
      </c>
      <c r="C769" s="34">
        <v>14577</v>
      </c>
      <c r="D769" s="34" t="s">
        <v>18</v>
      </c>
      <c r="E769" s="34">
        <v>4</v>
      </c>
      <c r="F769" s="35">
        <v>43566</v>
      </c>
      <c r="G769" s="35">
        <v>45392</v>
      </c>
      <c r="H769" s="34" t="s">
        <v>59</v>
      </c>
      <c r="I769" s="34" t="s">
        <v>79</v>
      </c>
    </row>
    <row r="770" spans="1:9" ht="14.4">
      <c r="A770" s="36">
        <v>2441</v>
      </c>
      <c r="B770" s="33" t="s">
        <v>284</v>
      </c>
      <c r="C770" s="36">
        <v>14578</v>
      </c>
      <c r="D770" s="36" t="s">
        <v>18</v>
      </c>
      <c r="E770" s="36">
        <v>4</v>
      </c>
      <c r="F770" s="37">
        <v>43566</v>
      </c>
      <c r="G770" s="37">
        <v>45392</v>
      </c>
      <c r="H770" s="36" t="s">
        <v>59</v>
      </c>
      <c r="I770" s="36" t="s">
        <v>79</v>
      </c>
    </row>
    <row r="771" spans="1:9" ht="14.4">
      <c r="A771" s="34">
        <v>2442</v>
      </c>
      <c r="B771" s="32" t="s">
        <v>284</v>
      </c>
      <c r="C771" s="34">
        <v>14579</v>
      </c>
      <c r="D771" s="34" t="s">
        <v>18</v>
      </c>
      <c r="E771" s="34">
        <v>3</v>
      </c>
      <c r="F771" s="35">
        <v>43566</v>
      </c>
      <c r="G771" s="35">
        <v>45392</v>
      </c>
      <c r="H771" s="34" t="s">
        <v>14</v>
      </c>
      <c r="I771" s="34" t="s">
        <v>79</v>
      </c>
    </row>
    <row r="772" spans="1:9" ht="14.4">
      <c r="A772" s="36">
        <v>2443</v>
      </c>
      <c r="B772" s="33" t="s">
        <v>284</v>
      </c>
      <c r="C772" s="36">
        <v>14580</v>
      </c>
      <c r="D772" s="36" t="s">
        <v>18</v>
      </c>
      <c r="E772" s="36">
        <v>4</v>
      </c>
      <c r="F772" s="37">
        <v>43566</v>
      </c>
      <c r="G772" s="37">
        <v>45392</v>
      </c>
      <c r="H772" s="36" t="s">
        <v>16</v>
      </c>
      <c r="I772" s="36" t="s">
        <v>79</v>
      </c>
    </row>
    <row r="773" spans="1:9" ht="14.4">
      <c r="A773" s="34">
        <v>2444</v>
      </c>
      <c r="B773" s="32" t="s">
        <v>284</v>
      </c>
      <c r="C773" s="34">
        <v>14581</v>
      </c>
      <c r="D773" s="34" t="s">
        <v>18</v>
      </c>
      <c r="E773" s="34">
        <v>4</v>
      </c>
      <c r="F773" s="35">
        <v>43566</v>
      </c>
      <c r="G773" s="35">
        <v>45392</v>
      </c>
      <c r="H773" s="34" t="s">
        <v>14</v>
      </c>
      <c r="I773" s="34" t="s">
        <v>79</v>
      </c>
    </row>
    <row r="774" spans="1:9" ht="14.4">
      <c r="A774" s="36">
        <v>2445</v>
      </c>
      <c r="B774" s="33" t="s">
        <v>284</v>
      </c>
      <c r="C774" s="36">
        <v>14582</v>
      </c>
      <c r="D774" s="36" t="s">
        <v>18</v>
      </c>
      <c r="E774" s="36">
        <v>4</v>
      </c>
      <c r="F774" s="37">
        <v>43566</v>
      </c>
      <c r="G774" s="37">
        <v>45392</v>
      </c>
      <c r="H774" s="36" t="s">
        <v>14</v>
      </c>
      <c r="I774" s="36" t="s">
        <v>79</v>
      </c>
    </row>
    <row r="775" spans="1:9" ht="14.4">
      <c r="A775" s="34">
        <v>2446</v>
      </c>
      <c r="B775" s="32" t="s">
        <v>284</v>
      </c>
      <c r="C775" s="34">
        <v>14583</v>
      </c>
      <c r="D775" s="34" t="s">
        <v>18</v>
      </c>
      <c r="E775" s="34">
        <v>4</v>
      </c>
      <c r="F775" s="35">
        <v>43566</v>
      </c>
      <c r="G775" s="35">
        <v>45392</v>
      </c>
      <c r="H775" s="34" t="s">
        <v>59</v>
      </c>
      <c r="I775" s="34" t="s">
        <v>79</v>
      </c>
    </row>
    <row r="776" spans="1:9" ht="14.4">
      <c r="A776" s="36">
        <v>2447</v>
      </c>
      <c r="B776" s="33" t="s">
        <v>284</v>
      </c>
      <c r="C776" s="36">
        <v>14584</v>
      </c>
      <c r="D776" s="36" t="s">
        <v>18</v>
      </c>
      <c r="E776" s="36">
        <v>4</v>
      </c>
      <c r="F776" s="37">
        <v>43566</v>
      </c>
      <c r="G776" s="37">
        <v>45392</v>
      </c>
      <c r="H776" s="36" t="s">
        <v>59</v>
      </c>
      <c r="I776" s="36" t="s">
        <v>79</v>
      </c>
    </row>
    <row r="777" spans="1:9" ht="14.4">
      <c r="A777" s="34">
        <v>2448</v>
      </c>
      <c r="B777" s="32" t="s">
        <v>284</v>
      </c>
      <c r="C777" s="34">
        <v>14585</v>
      </c>
      <c r="D777" s="34" t="s">
        <v>18</v>
      </c>
      <c r="E777" s="34">
        <v>4</v>
      </c>
      <c r="F777" s="35">
        <v>43566</v>
      </c>
      <c r="G777" s="35">
        <v>45392</v>
      </c>
      <c r="H777" s="34" t="s">
        <v>16</v>
      </c>
      <c r="I777" s="34" t="s">
        <v>79</v>
      </c>
    </row>
    <row r="778" spans="1:9" ht="14.4">
      <c r="A778" s="36">
        <v>2449</v>
      </c>
      <c r="B778" s="33" t="s">
        <v>284</v>
      </c>
      <c r="C778" s="36">
        <v>14586</v>
      </c>
      <c r="D778" s="36" t="s">
        <v>18</v>
      </c>
      <c r="E778" s="36">
        <v>5</v>
      </c>
      <c r="F778" s="37">
        <v>43566</v>
      </c>
      <c r="G778" s="37">
        <v>45392</v>
      </c>
      <c r="H778" s="36" t="s">
        <v>16</v>
      </c>
      <c r="I778" s="36" t="s">
        <v>79</v>
      </c>
    </row>
    <row r="779" spans="1:9" ht="14.4">
      <c r="A779" s="34">
        <v>2450</v>
      </c>
      <c r="B779" s="32" t="s">
        <v>284</v>
      </c>
      <c r="C779" s="34">
        <v>14587</v>
      </c>
      <c r="D779" s="34" t="s">
        <v>18</v>
      </c>
      <c r="E779" s="34">
        <v>4</v>
      </c>
      <c r="F779" s="35">
        <v>43566</v>
      </c>
      <c r="G779" s="35">
        <v>45392</v>
      </c>
      <c r="H779" s="34" t="s">
        <v>16</v>
      </c>
      <c r="I779" s="34" t="s">
        <v>79</v>
      </c>
    </row>
    <row r="780" spans="1:9" ht="14.4">
      <c r="A780" s="36">
        <v>2451</v>
      </c>
      <c r="B780" s="33" t="s">
        <v>284</v>
      </c>
      <c r="C780" s="36">
        <v>14588</v>
      </c>
      <c r="D780" s="36" t="s">
        <v>18</v>
      </c>
      <c r="E780" s="36">
        <v>4</v>
      </c>
      <c r="F780" s="37">
        <v>43566</v>
      </c>
      <c r="G780" s="37">
        <v>45392</v>
      </c>
      <c r="H780" s="36" t="s">
        <v>59</v>
      </c>
      <c r="I780" s="36" t="s">
        <v>79</v>
      </c>
    </row>
    <row r="781" spans="1:9" ht="14.4">
      <c r="A781" s="34">
        <v>2452</v>
      </c>
      <c r="B781" s="32" t="s">
        <v>284</v>
      </c>
      <c r="C781" s="34">
        <v>14589</v>
      </c>
      <c r="D781" s="34" t="s">
        <v>18</v>
      </c>
      <c r="E781" s="34">
        <v>3</v>
      </c>
      <c r="F781" s="35">
        <v>43566</v>
      </c>
      <c r="G781" s="35">
        <v>45392</v>
      </c>
      <c r="H781" s="34" t="s">
        <v>14</v>
      </c>
      <c r="I781" s="34" t="s">
        <v>79</v>
      </c>
    </row>
    <row r="782" spans="1:9" ht="14.4">
      <c r="A782" s="36">
        <v>2453</v>
      </c>
      <c r="B782" s="33" t="s">
        <v>284</v>
      </c>
      <c r="C782" s="36">
        <v>14590</v>
      </c>
      <c r="D782" s="36" t="s">
        <v>18</v>
      </c>
      <c r="E782" s="36">
        <v>4</v>
      </c>
      <c r="F782" s="37">
        <v>43567</v>
      </c>
      <c r="G782" s="37">
        <v>45393</v>
      </c>
      <c r="H782" s="36" t="s">
        <v>59</v>
      </c>
      <c r="I782" s="36" t="s">
        <v>79</v>
      </c>
    </row>
    <row r="783" spans="1:9" ht="14.4">
      <c r="A783" s="34">
        <v>2454</v>
      </c>
      <c r="B783" s="32" t="s">
        <v>284</v>
      </c>
      <c r="C783" s="34">
        <v>14591</v>
      </c>
      <c r="D783" s="34" t="s">
        <v>18</v>
      </c>
      <c r="E783" s="34">
        <v>4</v>
      </c>
      <c r="F783" s="35">
        <v>43567</v>
      </c>
      <c r="G783" s="35">
        <v>45393</v>
      </c>
      <c r="H783" s="34" t="s">
        <v>70</v>
      </c>
      <c r="I783" s="34" t="s">
        <v>79</v>
      </c>
    </row>
    <row r="784" spans="1:9" ht="14.4">
      <c r="A784" s="36">
        <v>2455</v>
      </c>
      <c r="B784" s="33" t="s">
        <v>284</v>
      </c>
      <c r="C784" s="36">
        <v>14592</v>
      </c>
      <c r="D784" s="36" t="s">
        <v>18</v>
      </c>
      <c r="E784" s="36">
        <v>5</v>
      </c>
      <c r="F784" s="37">
        <v>43566</v>
      </c>
      <c r="G784" s="37">
        <v>45392</v>
      </c>
      <c r="H784" s="36" t="s">
        <v>14</v>
      </c>
      <c r="I784" s="36" t="s">
        <v>79</v>
      </c>
    </row>
    <row r="785" spans="1:9" ht="14.4">
      <c r="A785" s="34">
        <v>2456</v>
      </c>
      <c r="B785" s="32" t="s">
        <v>284</v>
      </c>
      <c r="C785" s="34">
        <v>14593</v>
      </c>
      <c r="D785" s="34" t="s">
        <v>18</v>
      </c>
      <c r="E785" s="34">
        <v>4</v>
      </c>
      <c r="F785" s="35">
        <v>43566</v>
      </c>
      <c r="G785" s="35">
        <v>45392</v>
      </c>
      <c r="H785" s="34" t="s">
        <v>14</v>
      </c>
      <c r="I785" s="34" t="s">
        <v>79</v>
      </c>
    </row>
    <row r="786" spans="1:9" ht="14.4">
      <c r="A786" s="36">
        <v>2457</v>
      </c>
      <c r="B786" s="33" t="s">
        <v>284</v>
      </c>
      <c r="C786" s="36">
        <v>14594</v>
      </c>
      <c r="D786" s="36" t="s">
        <v>18</v>
      </c>
      <c r="E786" s="36">
        <v>4</v>
      </c>
      <c r="F786" s="37">
        <v>43566</v>
      </c>
      <c r="G786" s="37">
        <v>45392</v>
      </c>
      <c r="H786" s="36" t="s">
        <v>14</v>
      </c>
      <c r="I786" s="36" t="s">
        <v>79</v>
      </c>
    </row>
    <row r="787" spans="1:9" ht="14.4">
      <c r="A787" s="34">
        <v>2458</v>
      </c>
      <c r="B787" s="32" t="s">
        <v>284</v>
      </c>
      <c r="C787" s="34">
        <v>14595</v>
      </c>
      <c r="D787" s="34" t="s">
        <v>18</v>
      </c>
      <c r="E787" s="34">
        <v>4</v>
      </c>
      <c r="F787" s="35">
        <v>43566</v>
      </c>
      <c r="G787" s="35">
        <v>45392</v>
      </c>
      <c r="H787" s="34" t="s">
        <v>16</v>
      </c>
      <c r="I787" s="34" t="s">
        <v>79</v>
      </c>
    </row>
    <row r="788" spans="1:9" ht="14.4">
      <c r="A788" s="36">
        <v>2459</v>
      </c>
      <c r="B788" s="33" t="s">
        <v>284</v>
      </c>
      <c r="C788" s="36">
        <v>14596</v>
      </c>
      <c r="D788" s="36" t="s">
        <v>18</v>
      </c>
      <c r="E788" s="36">
        <v>4</v>
      </c>
      <c r="F788" s="37">
        <v>43566</v>
      </c>
      <c r="G788" s="37">
        <v>45392</v>
      </c>
      <c r="H788" s="36" t="s">
        <v>16</v>
      </c>
      <c r="I788" s="36" t="s">
        <v>79</v>
      </c>
    </row>
    <row r="789" spans="1:9" ht="14.4">
      <c r="A789" s="34">
        <v>2460</v>
      </c>
      <c r="B789" s="32" t="s">
        <v>284</v>
      </c>
      <c r="C789" s="34">
        <v>14597</v>
      </c>
      <c r="D789" s="34" t="s">
        <v>18</v>
      </c>
      <c r="E789" s="34">
        <v>5</v>
      </c>
      <c r="F789" s="35">
        <v>43566</v>
      </c>
      <c r="G789" s="35">
        <v>45392</v>
      </c>
      <c r="H789" s="34" t="s">
        <v>14</v>
      </c>
      <c r="I789" s="34" t="s">
        <v>79</v>
      </c>
    </row>
    <row r="790" spans="1:9" ht="14.4">
      <c r="A790" s="36">
        <v>2461</v>
      </c>
      <c r="B790" s="33" t="s">
        <v>284</v>
      </c>
      <c r="C790" s="36">
        <v>14598</v>
      </c>
      <c r="D790" s="36" t="s">
        <v>18</v>
      </c>
      <c r="E790" s="36">
        <v>4</v>
      </c>
      <c r="F790" s="37">
        <v>43566</v>
      </c>
      <c r="G790" s="37">
        <v>45392</v>
      </c>
      <c r="H790" s="36" t="s">
        <v>14</v>
      </c>
      <c r="I790" s="36" t="s">
        <v>79</v>
      </c>
    </row>
    <row r="791" spans="1:9" ht="14.4">
      <c r="A791" s="34">
        <v>2462</v>
      </c>
      <c r="B791" s="32" t="s">
        <v>284</v>
      </c>
      <c r="C791" s="34">
        <v>14599</v>
      </c>
      <c r="D791" s="34" t="s">
        <v>18</v>
      </c>
      <c r="E791" s="34">
        <v>4</v>
      </c>
      <c r="F791" s="35">
        <v>43566</v>
      </c>
      <c r="G791" s="35">
        <v>45392</v>
      </c>
      <c r="H791" s="34" t="s">
        <v>14</v>
      </c>
      <c r="I791" s="34" t="s">
        <v>79</v>
      </c>
    </row>
    <row r="792" spans="1:9" ht="14.4">
      <c r="A792" s="36">
        <v>2463</v>
      </c>
      <c r="B792" s="33" t="s">
        <v>284</v>
      </c>
      <c r="C792" s="36">
        <v>14600</v>
      </c>
      <c r="D792" s="36" t="s">
        <v>18</v>
      </c>
      <c r="E792" s="36">
        <v>4</v>
      </c>
      <c r="F792" s="37">
        <v>43566</v>
      </c>
      <c r="G792" s="37">
        <v>45392</v>
      </c>
      <c r="H792" s="36" t="s">
        <v>14</v>
      </c>
      <c r="I792" s="36" t="s">
        <v>79</v>
      </c>
    </row>
    <row r="793" spans="1:9" ht="14.4">
      <c r="A793" s="34">
        <v>2464</v>
      </c>
      <c r="B793" s="32" t="s">
        <v>297</v>
      </c>
      <c r="C793" s="34">
        <v>14601</v>
      </c>
      <c r="D793" s="34" t="s">
        <v>18</v>
      </c>
      <c r="E793" s="34">
        <v>10</v>
      </c>
      <c r="F793" s="35">
        <v>43614</v>
      </c>
      <c r="G793" s="35">
        <v>45440</v>
      </c>
      <c r="H793" s="34" t="s">
        <v>59</v>
      </c>
      <c r="I793" s="34" t="s">
        <v>79</v>
      </c>
    </row>
    <row r="794" spans="1:9" ht="14.4">
      <c r="A794" s="36">
        <v>2466</v>
      </c>
      <c r="B794" s="33" t="s">
        <v>313</v>
      </c>
      <c r="C794" s="36">
        <v>14607</v>
      </c>
      <c r="D794" s="36" t="s">
        <v>18</v>
      </c>
      <c r="E794" s="36">
        <v>2</v>
      </c>
      <c r="F794" s="37">
        <v>43605</v>
      </c>
      <c r="G794" s="37">
        <v>45431</v>
      </c>
      <c r="H794" s="36" t="s">
        <v>14</v>
      </c>
      <c r="I794" s="36" t="s">
        <v>79</v>
      </c>
    </row>
    <row r="795" spans="1:9" ht="14.4">
      <c r="A795" s="34">
        <v>2467</v>
      </c>
      <c r="B795" s="32" t="s">
        <v>313</v>
      </c>
      <c r="C795" s="34">
        <v>14608</v>
      </c>
      <c r="D795" s="34" t="s">
        <v>18</v>
      </c>
      <c r="E795" s="34">
        <v>6</v>
      </c>
      <c r="F795" s="35">
        <v>43605</v>
      </c>
      <c r="G795" s="35">
        <v>45431</v>
      </c>
      <c r="H795" s="34" t="s">
        <v>14</v>
      </c>
      <c r="I795" s="34" t="s">
        <v>79</v>
      </c>
    </row>
    <row r="796" spans="1:9" ht="14.4">
      <c r="A796" s="36">
        <v>2468</v>
      </c>
      <c r="B796" s="33" t="s">
        <v>313</v>
      </c>
      <c r="C796" s="36">
        <v>14609</v>
      </c>
      <c r="D796" s="36" t="s">
        <v>18</v>
      </c>
      <c r="E796" s="36">
        <v>2</v>
      </c>
      <c r="F796" s="37">
        <v>43605</v>
      </c>
      <c r="G796" s="37">
        <v>45431</v>
      </c>
      <c r="H796" s="36" t="s">
        <v>14</v>
      </c>
      <c r="I796" s="36" t="s">
        <v>79</v>
      </c>
    </row>
    <row r="797" spans="1:9" ht="14.4">
      <c r="A797" s="34">
        <v>2469</v>
      </c>
      <c r="B797" s="32" t="s">
        <v>313</v>
      </c>
      <c r="C797" s="34">
        <v>14610</v>
      </c>
      <c r="D797" s="34" t="s">
        <v>18</v>
      </c>
      <c r="E797" s="34">
        <v>6</v>
      </c>
      <c r="F797" s="35">
        <v>43605</v>
      </c>
      <c r="G797" s="35">
        <v>45431</v>
      </c>
      <c r="H797" s="34" t="s">
        <v>16</v>
      </c>
      <c r="I797" s="34" t="s">
        <v>79</v>
      </c>
    </row>
    <row r="798" spans="1:9" ht="14.4">
      <c r="A798" s="36">
        <v>2472</v>
      </c>
      <c r="B798" s="33" t="s">
        <v>314</v>
      </c>
      <c r="C798" s="36">
        <v>14614</v>
      </c>
      <c r="D798" s="36" t="s">
        <v>18</v>
      </c>
      <c r="E798" s="36">
        <v>28</v>
      </c>
      <c r="F798" s="37">
        <v>43644</v>
      </c>
      <c r="G798" s="37">
        <v>45470</v>
      </c>
      <c r="H798" s="36" t="s">
        <v>16</v>
      </c>
      <c r="I798" s="36" t="s">
        <v>79</v>
      </c>
    </row>
    <row r="799" spans="1:9" ht="14.4">
      <c r="A799" s="34">
        <v>2478</v>
      </c>
      <c r="B799" s="32" t="s">
        <v>315</v>
      </c>
      <c r="C799" s="34">
        <v>14623</v>
      </c>
      <c r="D799" s="34" t="s">
        <v>18</v>
      </c>
      <c r="E799" s="34">
        <v>62</v>
      </c>
      <c r="F799" s="35">
        <v>43670</v>
      </c>
      <c r="G799" s="35">
        <v>45496</v>
      </c>
      <c r="H799" s="34" t="s">
        <v>31</v>
      </c>
      <c r="I799" s="34" t="s">
        <v>79</v>
      </c>
    </row>
    <row r="800" spans="1:9" ht="14.4">
      <c r="A800" s="36">
        <v>2479</v>
      </c>
      <c r="B800" s="33" t="s">
        <v>315</v>
      </c>
      <c r="C800" s="36">
        <v>14624</v>
      </c>
      <c r="D800" s="36" t="s">
        <v>18</v>
      </c>
      <c r="E800" s="36">
        <v>54</v>
      </c>
      <c r="F800" s="37">
        <v>43670</v>
      </c>
      <c r="G800" s="37">
        <v>45496</v>
      </c>
      <c r="H800" s="36" t="s">
        <v>31</v>
      </c>
      <c r="I800" s="36" t="s">
        <v>79</v>
      </c>
    </row>
    <row r="801" spans="1:9" ht="14.4">
      <c r="A801" s="34">
        <v>2481</v>
      </c>
      <c r="B801" s="32" t="s">
        <v>107</v>
      </c>
      <c r="C801" s="34">
        <v>14626</v>
      </c>
      <c r="D801" s="34" t="s">
        <v>13</v>
      </c>
      <c r="E801" s="34">
        <v>47</v>
      </c>
      <c r="F801" s="35">
        <v>44104</v>
      </c>
      <c r="G801" s="35">
        <v>53234</v>
      </c>
      <c r="H801" s="34" t="s">
        <v>16</v>
      </c>
      <c r="I801" s="34" t="s">
        <v>79</v>
      </c>
    </row>
    <row r="802" spans="1:9" ht="14.4">
      <c r="A802" s="36">
        <v>2482</v>
      </c>
      <c r="B802" s="33" t="s">
        <v>107</v>
      </c>
      <c r="C802" s="36">
        <v>14627</v>
      </c>
      <c r="D802" s="36" t="s">
        <v>13</v>
      </c>
      <c r="E802" s="36">
        <v>63</v>
      </c>
      <c r="F802" s="37">
        <v>44104</v>
      </c>
      <c r="G802" s="37">
        <v>53234</v>
      </c>
      <c r="H802" s="36" t="s">
        <v>16</v>
      </c>
      <c r="I802" s="36" t="s">
        <v>79</v>
      </c>
    </row>
    <row r="803" spans="1:9" ht="14.4">
      <c r="A803" s="34">
        <v>2484</v>
      </c>
      <c r="B803" s="32" t="s">
        <v>316</v>
      </c>
      <c r="C803" s="34">
        <v>14631</v>
      </c>
      <c r="D803" s="34" t="s">
        <v>21</v>
      </c>
      <c r="E803" s="34">
        <v>4</v>
      </c>
      <c r="F803" s="35">
        <v>43839</v>
      </c>
      <c r="G803" s="35">
        <v>45665</v>
      </c>
      <c r="H803" s="34" t="s">
        <v>14</v>
      </c>
      <c r="I803" s="34" t="s">
        <v>79</v>
      </c>
    </row>
    <row r="804" spans="1:9" ht="14.4">
      <c r="A804" s="36">
        <v>2486</v>
      </c>
      <c r="B804" s="33" t="s">
        <v>317</v>
      </c>
      <c r="C804" s="36">
        <v>14634</v>
      </c>
      <c r="D804" s="36" t="s">
        <v>18</v>
      </c>
      <c r="E804" s="36">
        <v>15</v>
      </c>
      <c r="F804" s="37">
        <v>44256</v>
      </c>
      <c r="G804" s="37">
        <v>46081</v>
      </c>
      <c r="H804" s="36" t="s">
        <v>84</v>
      </c>
      <c r="I804" s="36" t="s">
        <v>79</v>
      </c>
    </row>
    <row r="805" spans="1:9" ht="14.4">
      <c r="A805" s="34">
        <v>2487</v>
      </c>
      <c r="B805" s="32" t="s">
        <v>317</v>
      </c>
      <c r="C805" s="34">
        <v>14635</v>
      </c>
      <c r="D805" s="34" t="s">
        <v>18</v>
      </c>
      <c r="E805" s="34">
        <v>5</v>
      </c>
      <c r="F805" s="35">
        <v>44256</v>
      </c>
      <c r="G805" s="35">
        <v>46081</v>
      </c>
      <c r="H805" s="34" t="s">
        <v>56</v>
      </c>
      <c r="I805" s="34" t="s">
        <v>79</v>
      </c>
    </row>
    <row r="806" spans="1:9" ht="14.4">
      <c r="A806" s="36">
        <v>2488</v>
      </c>
      <c r="B806" s="33" t="s">
        <v>289</v>
      </c>
      <c r="C806" s="36">
        <v>14636</v>
      </c>
      <c r="D806" s="36" t="s">
        <v>18</v>
      </c>
      <c r="E806" s="36">
        <v>18</v>
      </c>
      <c r="F806" s="37">
        <v>43829</v>
      </c>
      <c r="G806" s="37">
        <v>45655</v>
      </c>
      <c r="H806" s="36" t="s">
        <v>70</v>
      </c>
      <c r="I806" s="36" t="s">
        <v>79</v>
      </c>
    </row>
    <row r="807" spans="1:9" ht="14.4">
      <c r="A807" s="34">
        <v>2489</v>
      </c>
      <c r="B807" s="32" t="s">
        <v>318</v>
      </c>
      <c r="C807" s="34">
        <v>14638</v>
      </c>
      <c r="D807" s="34" t="s">
        <v>18</v>
      </c>
      <c r="E807" s="34">
        <v>4</v>
      </c>
      <c r="F807" s="35">
        <v>43711</v>
      </c>
      <c r="G807" s="35">
        <v>45537</v>
      </c>
      <c r="H807" s="34" t="s">
        <v>14</v>
      </c>
      <c r="I807" s="34" t="s">
        <v>79</v>
      </c>
    </row>
    <row r="808" spans="1:9" ht="14.4">
      <c r="A808" s="36">
        <v>2490</v>
      </c>
      <c r="B808" s="33" t="s">
        <v>313</v>
      </c>
      <c r="C808" s="36">
        <v>14639</v>
      </c>
      <c r="D808" s="36" t="s">
        <v>18</v>
      </c>
      <c r="E808" s="36">
        <v>2</v>
      </c>
      <c r="F808" s="37">
        <v>43728</v>
      </c>
      <c r="G808" s="37">
        <v>45554</v>
      </c>
      <c r="H808" s="36" t="s">
        <v>14</v>
      </c>
      <c r="I808" s="36" t="s">
        <v>79</v>
      </c>
    </row>
    <row r="809" spans="1:9" ht="14.4">
      <c r="A809" s="34">
        <v>2491</v>
      </c>
      <c r="B809" s="32" t="s">
        <v>313</v>
      </c>
      <c r="C809" s="34">
        <v>14640</v>
      </c>
      <c r="D809" s="34" t="s">
        <v>18</v>
      </c>
      <c r="E809" s="34">
        <v>2</v>
      </c>
      <c r="F809" s="35">
        <v>43728</v>
      </c>
      <c r="G809" s="35">
        <v>45554</v>
      </c>
      <c r="H809" s="34" t="s">
        <v>14</v>
      </c>
      <c r="I809" s="34" t="s">
        <v>79</v>
      </c>
    </row>
    <row r="810" spans="1:9" ht="14.4">
      <c r="A810" s="36">
        <v>2492</v>
      </c>
      <c r="B810" s="33" t="s">
        <v>313</v>
      </c>
      <c r="C810" s="36">
        <v>14641</v>
      </c>
      <c r="D810" s="36" t="s">
        <v>18</v>
      </c>
      <c r="E810" s="36">
        <v>2</v>
      </c>
      <c r="F810" s="37">
        <v>43728</v>
      </c>
      <c r="G810" s="37">
        <v>45554</v>
      </c>
      <c r="H810" s="36" t="s">
        <v>14</v>
      </c>
      <c r="I810" s="36" t="s">
        <v>79</v>
      </c>
    </row>
    <row r="811" spans="1:9" ht="14.4">
      <c r="A811" s="34">
        <v>2493</v>
      </c>
      <c r="B811" s="32" t="s">
        <v>313</v>
      </c>
      <c r="C811" s="34">
        <v>14642</v>
      </c>
      <c r="D811" s="34" t="s">
        <v>18</v>
      </c>
      <c r="E811" s="34">
        <v>2</v>
      </c>
      <c r="F811" s="35">
        <v>43728</v>
      </c>
      <c r="G811" s="35">
        <v>45554</v>
      </c>
      <c r="H811" s="34" t="s">
        <v>14</v>
      </c>
      <c r="I811" s="34" t="s">
        <v>79</v>
      </c>
    </row>
    <row r="812" spans="1:9" ht="14.4">
      <c r="A812" s="36">
        <v>2494</v>
      </c>
      <c r="B812" s="33" t="s">
        <v>319</v>
      </c>
      <c r="C812" s="36">
        <v>14643</v>
      </c>
      <c r="D812" s="36" t="s">
        <v>21</v>
      </c>
      <c r="E812" s="36">
        <v>1</v>
      </c>
      <c r="F812" s="37">
        <v>44911</v>
      </c>
      <c r="G812" s="37">
        <v>46736</v>
      </c>
      <c r="H812" s="36" t="s">
        <v>14</v>
      </c>
      <c r="I812" s="36" t="s">
        <v>79</v>
      </c>
    </row>
    <row r="813" spans="1:9" ht="14.4">
      <c r="A813" s="34">
        <v>2496</v>
      </c>
      <c r="B813" s="32" t="s">
        <v>320</v>
      </c>
      <c r="C813" s="34">
        <v>14645</v>
      </c>
      <c r="D813" s="34" t="s">
        <v>18</v>
      </c>
      <c r="E813" s="34">
        <v>1</v>
      </c>
      <c r="F813" s="35">
        <v>44056</v>
      </c>
      <c r="G813" s="35">
        <v>45881</v>
      </c>
      <c r="H813" s="34" t="s">
        <v>277</v>
      </c>
      <c r="I813" s="34" t="s">
        <v>79</v>
      </c>
    </row>
    <row r="814" spans="1:9" ht="14.4">
      <c r="A814" s="36">
        <v>2497</v>
      </c>
      <c r="B814" s="33" t="s">
        <v>320</v>
      </c>
      <c r="C814" s="36">
        <v>14646</v>
      </c>
      <c r="D814" s="36" t="s">
        <v>18</v>
      </c>
      <c r="E814" s="36">
        <v>1</v>
      </c>
      <c r="F814" s="37">
        <v>44040</v>
      </c>
      <c r="G814" s="37">
        <v>45865</v>
      </c>
      <c r="H814" s="36" t="s">
        <v>277</v>
      </c>
      <c r="I814" s="36" t="s">
        <v>79</v>
      </c>
    </row>
    <row r="815" spans="1:9" ht="14.4">
      <c r="A815" s="34">
        <v>2498</v>
      </c>
      <c r="B815" s="32" t="s">
        <v>320</v>
      </c>
      <c r="C815" s="34">
        <v>14647</v>
      </c>
      <c r="D815" s="34" t="s">
        <v>18</v>
      </c>
      <c r="E815" s="34">
        <v>1</v>
      </c>
      <c r="F815" s="35">
        <v>44040</v>
      </c>
      <c r="G815" s="35">
        <v>45865</v>
      </c>
      <c r="H815" s="34" t="s">
        <v>277</v>
      </c>
      <c r="I815" s="34" t="s">
        <v>79</v>
      </c>
    </row>
    <row r="816" spans="1:9" ht="14.4">
      <c r="A816" s="36">
        <v>2499</v>
      </c>
      <c r="B816" s="33" t="s">
        <v>320</v>
      </c>
      <c r="C816" s="36">
        <v>14648</v>
      </c>
      <c r="D816" s="36" t="s">
        <v>18</v>
      </c>
      <c r="E816" s="36">
        <v>1</v>
      </c>
      <c r="F816" s="37">
        <v>44040</v>
      </c>
      <c r="G816" s="37">
        <v>45865</v>
      </c>
      <c r="H816" s="36" t="s">
        <v>277</v>
      </c>
      <c r="I816" s="36" t="s">
        <v>79</v>
      </c>
    </row>
    <row r="817" spans="1:9" ht="14.4">
      <c r="A817" s="34">
        <v>2500</v>
      </c>
      <c r="B817" s="32" t="s">
        <v>282</v>
      </c>
      <c r="C817" s="34">
        <v>14652</v>
      </c>
      <c r="D817" s="34" t="s">
        <v>18</v>
      </c>
      <c r="E817" s="34">
        <v>84</v>
      </c>
      <c r="F817" s="35">
        <v>44432</v>
      </c>
      <c r="G817" s="35">
        <v>46257</v>
      </c>
      <c r="H817" s="34" t="s">
        <v>70</v>
      </c>
      <c r="I817" s="34" t="s">
        <v>79</v>
      </c>
    </row>
    <row r="818" spans="1:9" ht="14.4">
      <c r="A818" s="36">
        <v>2501</v>
      </c>
      <c r="B818" s="33" t="s">
        <v>282</v>
      </c>
      <c r="C818" s="36">
        <v>14653</v>
      </c>
      <c r="D818" s="36" t="s">
        <v>18</v>
      </c>
      <c r="E818" s="36">
        <v>9</v>
      </c>
      <c r="F818" s="37">
        <v>44434</v>
      </c>
      <c r="G818" s="37">
        <v>46259</v>
      </c>
      <c r="H818" s="36" t="s">
        <v>16</v>
      </c>
      <c r="I818" s="36" t="s">
        <v>79</v>
      </c>
    </row>
    <row r="819" spans="1:9" ht="14.4">
      <c r="A819" s="34">
        <v>2502</v>
      </c>
      <c r="B819" s="32" t="s">
        <v>238</v>
      </c>
      <c r="C819" s="34">
        <v>14655</v>
      </c>
      <c r="D819" s="34" t="s">
        <v>18</v>
      </c>
      <c r="E819" s="34">
        <v>27</v>
      </c>
      <c r="F819" s="35">
        <v>43711</v>
      </c>
      <c r="G819" s="35">
        <v>45537</v>
      </c>
      <c r="H819" s="34" t="s">
        <v>32</v>
      </c>
      <c r="I819" s="34" t="s">
        <v>79</v>
      </c>
    </row>
    <row r="820" spans="1:9" ht="14.4">
      <c r="A820" s="36">
        <v>2503</v>
      </c>
      <c r="B820" s="33" t="s">
        <v>28</v>
      </c>
      <c r="C820" s="36">
        <v>14658</v>
      </c>
      <c r="D820" s="36" t="s">
        <v>18</v>
      </c>
      <c r="E820" s="36">
        <v>9</v>
      </c>
      <c r="F820" s="37">
        <v>43728</v>
      </c>
      <c r="G820" s="37">
        <v>45554</v>
      </c>
      <c r="H820" s="36" t="s">
        <v>70</v>
      </c>
      <c r="I820" s="36" t="s">
        <v>79</v>
      </c>
    </row>
    <row r="821" spans="1:9" ht="14.4">
      <c r="A821" s="34">
        <v>2504</v>
      </c>
      <c r="B821" s="32" t="s">
        <v>28</v>
      </c>
      <c r="C821" s="34">
        <v>14659</v>
      </c>
      <c r="D821" s="34" t="s">
        <v>18</v>
      </c>
      <c r="E821" s="34">
        <v>35</v>
      </c>
      <c r="F821" s="35">
        <v>43728</v>
      </c>
      <c r="G821" s="35">
        <v>45554</v>
      </c>
      <c r="H821" s="34" t="s">
        <v>70</v>
      </c>
      <c r="I821" s="34" t="s">
        <v>79</v>
      </c>
    </row>
    <row r="822" spans="1:9" ht="14.4">
      <c r="A822" s="36">
        <v>2505</v>
      </c>
      <c r="B822" s="33" t="s">
        <v>28</v>
      </c>
      <c r="C822" s="36">
        <v>14660</v>
      </c>
      <c r="D822" s="36" t="s">
        <v>18</v>
      </c>
      <c r="E822" s="36">
        <v>73</v>
      </c>
      <c r="F822" s="37">
        <v>43728</v>
      </c>
      <c r="G822" s="37">
        <v>45554</v>
      </c>
      <c r="H822" s="36" t="s">
        <v>59</v>
      </c>
      <c r="I822" s="36" t="s">
        <v>79</v>
      </c>
    </row>
    <row r="823" spans="1:9" ht="14.4">
      <c r="A823" s="34">
        <v>2506</v>
      </c>
      <c r="B823" s="32" t="s">
        <v>28</v>
      </c>
      <c r="C823" s="34">
        <v>14664</v>
      </c>
      <c r="D823" s="34" t="s">
        <v>18</v>
      </c>
      <c r="E823" s="34">
        <v>32</v>
      </c>
      <c r="F823" s="35">
        <v>43728</v>
      </c>
      <c r="G823" s="35">
        <v>45554</v>
      </c>
      <c r="H823" s="34" t="s">
        <v>14</v>
      </c>
      <c r="I823" s="34" t="s">
        <v>79</v>
      </c>
    </row>
    <row r="824" spans="1:9" ht="14.4">
      <c r="A824" s="36">
        <v>2507</v>
      </c>
      <c r="B824" s="33" t="s">
        <v>28</v>
      </c>
      <c r="C824" s="36">
        <v>14665</v>
      </c>
      <c r="D824" s="36" t="s">
        <v>18</v>
      </c>
      <c r="E824" s="36">
        <v>81</v>
      </c>
      <c r="F824" s="37">
        <v>43728</v>
      </c>
      <c r="G824" s="37">
        <v>45554</v>
      </c>
      <c r="H824" s="36" t="s">
        <v>70</v>
      </c>
      <c r="I824" s="36" t="s">
        <v>79</v>
      </c>
    </row>
    <row r="825" spans="1:9" ht="14.4">
      <c r="A825" s="34">
        <v>2508</v>
      </c>
      <c r="B825" s="32" t="s">
        <v>28</v>
      </c>
      <c r="C825" s="34">
        <v>14666</v>
      </c>
      <c r="D825" s="34" t="s">
        <v>18</v>
      </c>
      <c r="E825" s="34">
        <v>13</v>
      </c>
      <c r="F825" s="35">
        <v>43728</v>
      </c>
      <c r="G825" s="35">
        <v>45554</v>
      </c>
      <c r="H825" s="34" t="s">
        <v>14</v>
      </c>
      <c r="I825" s="34" t="s">
        <v>79</v>
      </c>
    </row>
    <row r="826" spans="1:9" ht="14.4">
      <c r="A826" s="36">
        <v>2509</v>
      </c>
      <c r="B826" s="33" t="s">
        <v>28</v>
      </c>
      <c r="C826" s="36">
        <v>14667</v>
      </c>
      <c r="D826" s="36" t="s">
        <v>18</v>
      </c>
      <c r="E826" s="36">
        <v>80</v>
      </c>
      <c r="F826" s="37">
        <v>43728</v>
      </c>
      <c r="G826" s="37">
        <v>45554</v>
      </c>
      <c r="H826" s="36" t="s">
        <v>14</v>
      </c>
      <c r="I826" s="36" t="s">
        <v>79</v>
      </c>
    </row>
    <row r="827" spans="1:9" ht="14.4">
      <c r="A827" s="34">
        <v>2510</v>
      </c>
      <c r="B827" s="32" t="s">
        <v>321</v>
      </c>
      <c r="C827" s="34">
        <v>14668</v>
      </c>
      <c r="D827" s="34" t="s">
        <v>18</v>
      </c>
      <c r="E827" s="34">
        <v>9</v>
      </c>
      <c r="F827" s="35">
        <v>44358</v>
      </c>
      <c r="G827" s="35">
        <v>46183</v>
      </c>
      <c r="H827" s="34" t="s">
        <v>32</v>
      </c>
      <c r="I827" s="34" t="s">
        <v>79</v>
      </c>
    </row>
    <row r="828" spans="1:9" ht="14.4">
      <c r="A828" s="36">
        <v>2511</v>
      </c>
      <c r="B828" s="33" t="s">
        <v>321</v>
      </c>
      <c r="C828" s="36">
        <v>14669</v>
      </c>
      <c r="D828" s="36" t="s">
        <v>18</v>
      </c>
      <c r="E828" s="36">
        <v>8</v>
      </c>
      <c r="F828" s="37">
        <v>44358</v>
      </c>
      <c r="G828" s="37">
        <v>46183</v>
      </c>
      <c r="H828" s="36" t="s">
        <v>31</v>
      </c>
      <c r="I828" s="36" t="s">
        <v>79</v>
      </c>
    </row>
    <row r="829" spans="1:9" ht="14.4">
      <c r="A829" s="34">
        <v>2512</v>
      </c>
      <c r="B829" s="32" t="s">
        <v>322</v>
      </c>
      <c r="C829" s="34">
        <v>14670</v>
      </c>
      <c r="D829" s="34" t="s">
        <v>18</v>
      </c>
      <c r="E829" s="34">
        <v>25</v>
      </c>
      <c r="F829" s="35">
        <v>44022</v>
      </c>
      <c r="G829" s="35">
        <v>45847</v>
      </c>
      <c r="H829" s="34" t="s">
        <v>16</v>
      </c>
      <c r="I829" s="34" t="s">
        <v>79</v>
      </c>
    </row>
    <row r="830" spans="1:9" ht="14.4">
      <c r="A830" s="36">
        <v>2513</v>
      </c>
      <c r="B830" s="33" t="s">
        <v>322</v>
      </c>
      <c r="C830" s="36">
        <v>14671</v>
      </c>
      <c r="D830" s="36" t="s">
        <v>18</v>
      </c>
      <c r="E830" s="36">
        <v>25</v>
      </c>
      <c r="F830" s="37">
        <v>44022</v>
      </c>
      <c r="G830" s="37">
        <v>45847</v>
      </c>
      <c r="H830" s="36" t="s">
        <v>31</v>
      </c>
      <c r="I830" s="36" t="s">
        <v>79</v>
      </c>
    </row>
    <row r="831" spans="1:9" ht="14.4">
      <c r="A831" s="34">
        <v>2514</v>
      </c>
      <c r="B831" s="32" t="s">
        <v>283</v>
      </c>
      <c r="C831" s="34">
        <v>14674</v>
      </c>
      <c r="D831" s="34" t="s">
        <v>18</v>
      </c>
      <c r="E831" s="34">
        <v>12</v>
      </c>
      <c r="F831" s="35">
        <v>43752</v>
      </c>
      <c r="G831" s="35">
        <v>45578</v>
      </c>
      <c r="H831" s="34" t="s">
        <v>16</v>
      </c>
      <c r="I831" s="34" t="s">
        <v>79</v>
      </c>
    </row>
    <row r="832" spans="1:9" ht="14.4">
      <c r="A832" s="36">
        <v>2515</v>
      </c>
      <c r="B832" s="33" t="s">
        <v>238</v>
      </c>
      <c r="C832" s="36">
        <v>14675</v>
      </c>
      <c r="D832" s="36" t="s">
        <v>18</v>
      </c>
      <c r="E832" s="36">
        <v>17</v>
      </c>
      <c r="F832" s="37">
        <v>43711</v>
      </c>
      <c r="G832" s="37">
        <v>45537</v>
      </c>
      <c r="H832" s="36" t="s">
        <v>31</v>
      </c>
      <c r="I832" s="36" t="s">
        <v>79</v>
      </c>
    </row>
    <row r="833" spans="1:9" ht="14.4">
      <c r="A833" s="34">
        <v>2516</v>
      </c>
      <c r="B833" s="32" t="s">
        <v>323</v>
      </c>
      <c r="C833" s="34">
        <v>14676</v>
      </c>
      <c r="D833" s="34" t="s">
        <v>18</v>
      </c>
      <c r="E833" s="34">
        <v>8</v>
      </c>
      <c r="F833" s="35">
        <v>43951</v>
      </c>
      <c r="G833" s="35">
        <v>45776</v>
      </c>
      <c r="H833" s="34" t="s">
        <v>84</v>
      </c>
      <c r="I833" s="34" t="s">
        <v>79</v>
      </c>
    </row>
    <row r="834" spans="1:9" ht="14.4">
      <c r="A834" s="36">
        <v>2517</v>
      </c>
      <c r="B834" s="33" t="s">
        <v>323</v>
      </c>
      <c r="C834" s="36">
        <v>14677</v>
      </c>
      <c r="D834" s="36" t="s">
        <v>18</v>
      </c>
      <c r="E834" s="36">
        <v>44</v>
      </c>
      <c r="F834" s="37">
        <v>43951</v>
      </c>
      <c r="G834" s="37">
        <v>45776</v>
      </c>
      <c r="H834" s="36" t="s">
        <v>84</v>
      </c>
      <c r="I834" s="36" t="s">
        <v>79</v>
      </c>
    </row>
    <row r="835" spans="1:9" ht="14.4">
      <c r="A835" s="34">
        <v>2518</v>
      </c>
      <c r="B835" s="32" t="s">
        <v>323</v>
      </c>
      <c r="C835" s="34">
        <v>14678</v>
      </c>
      <c r="D835" s="34" t="s">
        <v>18</v>
      </c>
      <c r="E835" s="34">
        <v>33</v>
      </c>
      <c r="F835" s="35">
        <v>43951</v>
      </c>
      <c r="G835" s="35">
        <v>45776</v>
      </c>
      <c r="H835" s="34" t="s">
        <v>84</v>
      </c>
      <c r="I835" s="34" t="s">
        <v>79</v>
      </c>
    </row>
    <row r="836" spans="1:9" ht="14.4">
      <c r="A836" s="36">
        <v>2519</v>
      </c>
      <c r="B836" s="33" t="s">
        <v>323</v>
      </c>
      <c r="C836" s="36">
        <v>14680</v>
      </c>
      <c r="D836" s="36" t="s">
        <v>18</v>
      </c>
      <c r="E836" s="36">
        <v>4</v>
      </c>
      <c r="F836" s="37">
        <v>43951</v>
      </c>
      <c r="G836" s="37">
        <v>45776</v>
      </c>
      <c r="H836" s="36" t="s">
        <v>84</v>
      </c>
      <c r="I836" s="36" t="s">
        <v>79</v>
      </c>
    </row>
    <row r="837" spans="1:9" ht="14.4">
      <c r="A837" s="34">
        <v>2520</v>
      </c>
      <c r="B837" s="32" t="s">
        <v>323</v>
      </c>
      <c r="C837" s="34">
        <v>14681</v>
      </c>
      <c r="D837" s="34" t="s">
        <v>18</v>
      </c>
      <c r="E837" s="34">
        <v>10</v>
      </c>
      <c r="F837" s="35">
        <v>43951</v>
      </c>
      <c r="G837" s="35">
        <v>45776</v>
      </c>
      <c r="H837" s="34" t="s">
        <v>84</v>
      </c>
      <c r="I837" s="34" t="s">
        <v>79</v>
      </c>
    </row>
    <row r="838" spans="1:9" ht="14.4">
      <c r="A838" s="36">
        <v>2521</v>
      </c>
      <c r="B838" s="33" t="s">
        <v>323</v>
      </c>
      <c r="C838" s="36">
        <v>14682</v>
      </c>
      <c r="D838" s="36" t="s">
        <v>18</v>
      </c>
      <c r="E838" s="36">
        <v>16</v>
      </c>
      <c r="F838" s="37">
        <v>43951</v>
      </c>
      <c r="G838" s="37">
        <v>45776</v>
      </c>
      <c r="H838" s="36" t="s">
        <v>84</v>
      </c>
      <c r="I838" s="36" t="s">
        <v>79</v>
      </c>
    </row>
    <row r="839" spans="1:9" ht="14.4">
      <c r="A839" s="34">
        <v>2522</v>
      </c>
      <c r="B839" s="32" t="s">
        <v>323</v>
      </c>
      <c r="C839" s="34">
        <v>14683</v>
      </c>
      <c r="D839" s="34" t="s">
        <v>18</v>
      </c>
      <c r="E839" s="34">
        <v>10</v>
      </c>
      <c r="F839" s="35">
        <v>43951</v>
      </c>
      <c r="G839" s="35">
        <v>45776</v>
      </c>
      <c r="H839" s="34" t="s">
        <v>84</v>
      </c>
      <c r="I839" s="34" t="s">
        <v>79</v>
      </c>
    </row>
    <row r="840" spans="1:9" ht="14.4">
      <c r="A840" s="36">
        <v>2523</v>
      </c>
      <c r="B840" s="33" t="s">
        <v>324</v>
      </c>
      <c r="C840" s="36">
        <v>14687</v>
      </c>
      <c r="D840" s="36" t="s">
        <v>18</v>
      </c>
      <c r="E840" s="36">
        <v>1</v>
      </c>
      <c r="F840" s="37">
        <v>44048</v>
      </c>
      <c r="G840" s="37">
        <v>45873</v>
      </c>
      <c r="H840" s="36" t="s">
        <v>14</v>
      </c>
      <c r="I840" s="36" t="s">
        <v>79</v>
      </c>
    </row>
    <row r="841" spans="1:9" ht="14.4">
      <c r="A841" s="34">
        <v>2524</v>
      </c>
      <c r="B841" s="32" t="s">
        <v>127</v>
      </c>
      <c r="C841" s="34">
        <v>14692</v>
      </c>
      <c r="D841" s="34" t="s">
        <v>18</v>
      </c>
      <c r="E841" s="34">
        <v>14</v>
      </c>
      <c r="F841" s="35">
        <v>44256</v>
      </c>
      <c r="G841" s="35">
        <v>46081</v>
      </c>
      <c r="H841" s="34" t="s">
        <v>16</v>
      </c>
      <c r="I841" s="34" t="s">
        <v>79</v>
      </c>
    </row>
    <row r="842" spans="1:9" ht="14.4">
      <c r="A842" s="36">
        <v>2525</v>
      </c>
      <c r="B842" s="33" t="s">
        <v>325</v>
      </c>
      <c r="C842" s="36">
        <v>14693</v>
      </c>
      <c r="D842" s="36" t="s">
        <v>30</v>
      </c>
      <c r="E842" s="36">
        <v>12</v>
      </c>
      <c r="F842" s="37">
        <v>43711</v>
      </c>
      <c r="G842" s="37">
        <v>45537</v>
      </c>
      <c r="H842" s="36" t="s">
        <v>84</v>
      </c>
      <c r="I842" s="36" t="s">
        <v>79</v>
      </c>
    </row>
    <row r="843" spans="1:9" ht="14.4">
      <c r="A843" s="34">
        <v>2526</v>
      </c>
      <c r="B843" s="32" t="s">
        <v>325</v>
      </c>
      <c r="C843" s="34">
        <v>14694</v>
      </c>
      <c r="D843" s="34" t="s">
        <v>30</v>
      </c>
      <c r="E843" s="34">
        <v>10</v>
      </c>
      <c r="F843" s="35">
        <v>43711</v>
      </c>
      <c r="G843" s="35">
        <v>45537</v>
      </c>
      <c r="H843" s="34" t="s">
        <v>84</v>
      </c>
      <c r="I843" s="34" t="s">
        <v>79</v>
      </c>
    </row>
    <row r="844" spans="1:9" ht="14.4">
      <c r="A844" s="36">
        <v>2527</v>
      </c>
      <c r="B844" s="33" t="s">
        <v>325</v>
      </c>
      <c r="C844" s="36">
        <v>14695</v>
      </c>
      <c r="D844" s="36" t="s">
        <v>30</v>
      </c>
      <c r="E844" s="36">
        <v>10</v>
      </c>
      <c r="F844" s="37">
        <v>43711</v>
      </c>
      <c r="G844" s="37">
        <v>45537</v>
      </c>
      <c r="H844" s="36" t="s">
        <v>84</v>
      </c>
      <c r="I844" s="36" t="s">
        <v>79</v>
      </c>
    </row>
    <row r="845" spans="1:9" ht="14.4">
      <c r="A845" s="34">
        <v>2528</v>
      </c>
      <c r="B845" s="32" t="s">
        <v>326</v>
      </c>
      <c r="C845" s="34">
        <v>14697</v>
      </c>
      <c r="D845" s="34" t="s">
        <v>18</v>
      </c>
      <c r="E845" s="34">
        <v>5</v>
      </c>
      <c r="F845" s="35">
        <v>43752</v>
      </c>
      <c r="G845" s="35">
        <v>45578</v>
      </c>
      <c r="H845" s="34" t="s">
        <v>14</v>
      </c>
      <c r="I845" s="34" t="s">
        <v>79</v>
      </c>
    </row>
    <row r="846" spans="1:9" ht="14.4">
      <c r="A846" s="36">
        <v>2529</v>
      </c>
      <c r="B846" s="33" t="s">
        <v>326</v>
      </c>
      <c r="C846" s="36">
        <v>14698</v>
      </c>
      <c r="D846" s="36" t="s">
        <v>18</v>
      </c>
      <c r="E846" s="36">
        <v>3</v>
      </c>
      <c r="F846" s="37">
        <v>43752</v>
      </c>
      <c r="G846" s="37">
        <v>45578</v>
      </c>
      <c r="H846" s="36" t="s">
        <v>16</v>
      </c>
      <c r="I846" s="36" t="s">
        <v>79</v>
      </c>
    </row>
    <row r="847" spans="1:9" ht="14.4">
      <c r="A847" s="34">
        <v>2530</v>
      </c>
      <c r="B847" s="32" t="s">
        <v>326</v>
      </c>
      <c r="C847" s="34">
        <v>14699</v>
      </c>
      <c r="D847" s="34" t="s">
        <v>18</v>
      </c>
      <c r="E847" s="34">
        <v>4</v>
      </c>
      <c r="F847" s="35">
        <v>43752</v>
      </c>
      <c r="G847" s="35">
        <v>45578</v>
      </c>
      <c r="H847" s="34" t="s">
        <v>14</v>
      </c>
      <c r="I847" s="34" t="s">
        <v>79</v>
      </c>
    </row>
    <row r="848" spans="1:9" ht="14.4">
      <c r="A848" s="36">
        <v>2531</v>
      </c>
      <c r="B848" s="33" t="s">
        <v>327</v>
      </c>
      <c r="C848" s="36">
        <v>14700</v>
      </c>
      <c r="D848" s="36" t="s">
        <v>18</v>
      </c>
      <c r="E848" s="36">
        <v>20</v>
      </c>
      <c r="F848" s="37">
        <v>43738</v>
      </c>
      <c r="G848" s="37">
        <v>45564</v>
      </c>
      <c r="H848" s="36" t="s">
        <v>16</v>
      </c>
      <c r="I848" s="36" t="s">
        <v>79</v>
      </c>
    </row>
    <row r="849" spans="1:9" ht="14.4">
      <c r="A849" s="34">
        <v>2532</v>
      </c>
      <c r="B849" s="32" t="s">
        <v>327</v>
      </c>
      <c r="C849" s="34">
        <v>14701</v>
      </c>
      <c r="D849" s="34" t="s">
        <v>18</v>
      </c>
      <c r="E849" s="34">
        <v>8</v>
      </c>
      <c r="F849" s="35">
        <v>43738</v>
      </c>
      <c r="G849" s="35">
        <v>45564</v>
      </c>
      <c r="H849" s="34" t="s">
        <v>16</v>
      </c>
      <c r="I849" s="34" t="s">
        <v>79</v>
      </c>
    </row>
    <row r="850" spans="1:9" ht="14.4">
      <c r="A850" s="36">
        <v>2533</v>
      </c>
      <c r="B850" s="33" t="s">
        <v>327</v>
      </c>
      <c r="C850" s="36">
        <v>14702</v>
      </c>
      <c r="D850" s="36" t="s">
        <v>18</v>
      </c>
      <c r="E850" s="36">
        <v>4</v>
      </c>
      <c r="F850" s="37">
        <v>43738</v>
      </c>
      <c r="G850" s="37">
        <v>45564</v>
      </c>
      <c r="H850" s="36" t="s">
        <v>16</v>
      </c>
      <c r="I850" s="36" t="s">
        <v>79</v>
      </c>
    </row>
    <row r="851" spans="1:9" ht="14.4">
      <c r="A851" s="34">
        <v>2534</v>
      </c>
      <c r="B851" s="32" t="s">
        <v>327</v>
      </c>
      <c r="C851" s="34">
        <v>14703</v>
      </c>
      <c r="D851" s="34" t="s">
        <v>18</v>
      </c>
      <c r="E851" s="34">
        <v>18</v>
      </c>
      <c r="F851" s="35">
        <v>43738</v>
      </c>
      <c r="G851" s="35">
        <v>45564</v>
      </c>
      <c r="H851" s="34" t="s">
        <v>16</v>
      </c>
      <c r="I851" s="34" t="s">
        <v>79</v>
      </c>
    </row>
    <row r="852" spans="1:9" ht="14.4">
      <c r="A852" s="36">
        <v>2535</v>
      </c>
      <c r="B852" s="33" t="s">
        <v>327</v>
      </c>
      <c r="C852" s="36">
        <v>14704</v>
      </c>
      <c r="D852" s="36" t="s">
        <v>18</v>
      </c>
      <c r="E852" s="36">
        <v>15</v>
      </c>
      <c r="F852" s="37">
        <v>43738</v>
      </c>
      <c r="G852" s="37">
        <v>45564</v>
      </c>
      <c r="H852" s="36" t="s">
        <v>16</v>
      </c>
      <c r="I852" s="36" t="s">
        <v>79</v>
      </c>
    </row>
    <row r="853" spans="1:9" ht="14.4">
      <c r="A853" s="34">
        <v>2536</v>
      </c>
      <c r="B853" s="32" t="s">
        <v>327</v>
      </c>
      <c r="C853" s="34">
        <v>14705</v>
      </c>
      <c r="D853" s="34" t="s">
        <v>18</v>
      </c>
      <c r="E853" s="34">
        <v>14</v>
      </c>
      <c r="F853" s="35">
        <v>43738</v>
      </c>
      <c r="G853" s="35">
        <v>45564</v>
      </c>
      <c r="H853" s="34" t="s">
        <v>16</v>
      </c>
      <c r="I853" s="34" t="s">
        <v>79</v>
      </c>
    </row>
    <row r="854" spans="1:9" ht="14.4">
      <c r="A854" s="36">
        <v>2545</v>
      </c>
      <c r="B854" s="33" t="s">
        <v>328</v>
      </c>
      <c r="C854" s="36">
        <v>14714</v>
      </c>
      <c r="D854" s="36" t="s">
        <v>18</v>
      </c>
      <c r="E854" s="36">
        <v>20</v>
      </c>
      <c r="F854" s="37">
        <v>44412</v>
      </c>
      <c r="G854" s="37">
        <v>46237</v>
      </c>
      <c r="H854" s="36" t="s">
        <v>70</v>
      </c>
      <c r="I854" s="36" t="s">
        <v>79</v>
      </c>
    </row>
    <row r="855" spans="1:9" ht="14.4">
      <c r="A855" s="34">
        <v>2550</v>
      </c>
      <c r="B855" s="32" t="s">
        <v>329</v>
      </c>
      <c r="C855" s="34">
        <v>14719</v>
      </c>
      <c r="D855" s="34" t="s">
        <v>18</v>
      </c>
      <c r="E855" s="34">
        <v>40</v>
      </c>
      <c r="F855" s="35">
        <v>43714</v>
      </c>
      <c r="G855" s="35">
        <v>45540</v>
      </c>
      <c r="H855" s="34" t="s">
        <v>31</v>
      </c>
      <c r="I855" s="34" t="s">
        <v>79</v>
      </c>
    </row>
    <row r="856" spans="1:9" ht="14.4">
      <c r="A856" s="36">
        <v>2554</v>
      </c>
      <c r="B856" s="33" t="s">
        <v>329</v>
      </c>
      <c r="C856" s="36">
        <v>14723</v>
      </c>
      <c r="D856" s="36" t="s">
        <v>18</v>
      </c>
      <c r="E856" s="36">
        <v>14</v>
      </c>
      <c r="F856" s="37">
        <v>43783</v>
      </c>
      <c r="G856" s="37">
        <v>45609</v>
      </c>
      <c r="H856" s="36" t="s">
        <v>31</v>
      </c>
      <c r="I856" s="36" t="s">
        <v>79</v>
      </c>
    </row>
    <row r="857" spans="1:9" ht="14.4">
      <c r="A857" s="34">
        <v>2555</v>
      </c>
      <c r="B857" s="32" t="s">
        <v>329</v>
      </c>
      <c r="C857" s="34">
        <v>14724</v>
      </c>
      <c r="D857" s="34" t="s">
        <v>18</v>
      </c>
      <c r="E857" s="34">
        <v>36</v>
      </c>
      <c r="F857" s="35">
        <v>43714</v>
      </c>
      <c r="G857" s="35">
        <v>45540</v>
      </c>
      <c r="H857" s="34" t="s">
        <v>31</v>
      </c>
      <c r="I857" s="34" t="s">
        <v>79</v>
      </c>
    </row>
    <row r="858" spans="1:9" ht="14.4">
      <c r="A858" s="36">
        <v>2558</v>
      </c>
      <c r="B858" s="33" t="s">
        <v>329</v>
      </c>
      <c r="C858" s="36">
        <v>14727</v>
      </c>
      <c r="D858" s="36" t="s">
        <v>18</v>
      </c>
      <c r="E858" s="36">
        <v>81</v>
      </c>
      <c r="F858" s="37">
        <v>43714</v>
      </c>
      <c r="G858" s="37">
        <v>45540</v>
      </c>
      <c r="H858" s="36" t="s">
        <v>31</v>
      </c>
      <c r="I858" s="36" t="s">
        <v>79</v>
      </c>
    </row>
    <row r="859" spans="1:9" ht="14.4">
      <c r="A859" s="34">
        <v>2559</v>
      </c>
      <c r="B859" s="32" t="s">
        <v>330</v>
      </c>
      <c r="C859" s="34">
        <v>14728</v>
      </c>
      <c r="D859" s="34" t="s">
        <v>18</v>
      </c>
      <c r="E859" s="34">
        <v>4</v>
      </c>
      <c r="F859" s="35">
        <v>44263</v>
      </c>
      <c r="G859" s="35">
        <v>46088</v>
      </c>
      <c r="H859" s="34" t="s">
        <v>14</v>
      </c>
      <c r="I859" s="34" t="s">
        <v>79</v>
      </c>
    </row>
    <row r="860" spans="1:9" ht="14.4">
      <c r="A860" s="36">
        <v>2560</v>
      </c>
      <c r="B860" s="33" t="s">
        <v>238</v>
      </c>
      <c r="C860" s="36">
        <v>14729</v>
      </c>
      <c r="D860" s="36" t="s">
        <v>18</v>
      </c>
      <c r="E860" s="36">
        <v>23</v>
      </c>
      <c r="F860" s="37">
        <v>43711</v>
      </c>
      <c r="G860" s="37">
        <v>45537</v>
      </c>
      <c r="H860" s="36" t="s">
        <v>31</v>
      </c>
      <c r="I860" s="36" t="s">
        <v>79</v>
      </c>
    </row>
    <row r="861" spans="1:9" ht="14.4">
      <c r="A861" s="34">
        <v>2561</v>
      </c>
      <c r="B861" s="32" t="s">
        <v>331</v>
      </c>
      <c r="C861" s="34">
        <v>14730</v>
      </c>
      <c r="D861" s="34" t="s">
        <v>18</v>
      </c>
      <c r="E861" s="34">
        <v>12</v>
      </c>
      <c r="F861" s="35">
        <v>43697</v>
      </c>
      <c r="G861" s="35">
        <v>45523</v>
      </c>
      <c r="H861" s="34" t="s">
        <v>70</v>
      </c>
      <c r="I861" s="34" t="s">
        <v>79</v>
      </c>
    </row>
    <row r="862" spans="1:9" ht="14.4">
      <c r="A862" s="36">
        <v>2562</v>
      </c>
      <c r="B862" s="33" t="s">
        <v>329</v>
      </c>
      <c r="C862" s="36">
        <v>14731</v>
      </c>
      <c r="D862" s="36" t="s">
        <v>18</v>
      </c>
      <c r="E862" s="36">
        <v>310</v>
      </c>
      <c r="F862" s="37">
        <v>43714</v>
      </c>
      <c r="G862" s="37">
        <v>45540</v>
      </c>
      <c r="H862" s="36" t="s">
        <v>84</v>
      </c>
      <c r="I862" s="36" t="s">
        <v>79</v>
      </c>
    </row>
    <row r="863" spans="1:9" ht="14.4">
      <c r="A863" s="34">
        <v>2564</v>
      </c>
      <c r="B863" s="32" t="s">
        <v>329</v>
      </c>
      <c r="C863" s="34">
        <v>14733</v>
      </c>
      <c r="D863" s="34" t="s">
        <v>18</v>
      </c>
      <c r="E863" s="34">
        <v>282</v>
      </c>
      <c r="F863" s="35">
        <v>43711</v>
      </c>
      <c r="G863" s="35">
        <v>45537</v>
      </c>
      <c r="H863" s="34" t="s">
        <v>84</v>
      </c>
      <c r="I863" s="34" t="s">
        <v>79</v>
      </c>
    </row>
    <row r="864" spans="1:9" ht="14.4">
      <c r="A864" s="36">
        <v>2565</v>
      </c>
      <c r="B864" s="33" t="s">
        <v>329</v>
      </c>
      <c r="C864" s="36">
        <v>14734</v>
      </c>
      <c r="D864" s="36" t="s">
        <v>18</v>
      </c>
      <c r="E864" s="36">
        <v>18</v>
      </c>
      <c r="F864" s="37">
        <v>43711</v>
      </c>
      <c r="G864" s="37">
        <v>45537</v>
      </c>
      <c r="H864" s="36" t="s">
        <v>84</v>
      </c>
      <c r="I864" s="36" t="s">
        <v>79</v>
      </c>
    </row>
    <row r="865" spans="1:9" ht="14.4">
      <c r="A865" s="34">
        <v>2567</v>
      </c>
      <c r="B865" s="32" t="s">
        <v>332</v>
      </c>
      <c r="C865" s="34">
        <v>14740</v>
      </c>
      <c r="D865" s="34" t="s">
        <v>18</v>
      </c>
      <c r="E865" s="34">
        <v>5</v>
      </c>
      <c r="F865" s="35">
        <v>43777</v>
      </c>
      <c r="G865" s="35">
        <v>45603</v>
      </c>
      <c r="H865" s="34" t="s">
        <v>16</v>
      </c>
      <c r="I865" s="34" t="s">
        <v>79</v>
      </c>
    </row>
    <row r="866" spans="1:9" ht="14.4">
      <c r="A866" s="36">
        <v>2568</v>
      </c>
      <c r="B866" s="33" t="s">
        <v>333</v>
      </c>
      <c r="C866" s="36">
        <v>14741</v>
      </c>
      <c r="D866" s="36" t="s">
        <v>18</v>
      </c>
      <c r="E866" s="36">
        <v>45</v>
      </c>
      <c r="F866" s="37">
        <v>43829</v>
      </c>
      <c r="G866" s="37">
        <v>45655</v>
      </c>
      <c r="H866" s="36" t="s">
        <v>24</v>
      </c>
      <c r="I866" s="36" t="s">
        <v>79</v>
      </c>
    </row>
    <row r="867" spans="1:9" ht="14.4">
      <c r="A867" s="34">
        <v>2569</v>
      </c>
      <c r="B867" s="32" t="s">
        <v>334</v>
      </c>
      <c r="C867" s="34">
        <v>14742</v>
      </c>
      <c r="D867" s="34" t="s">
        <v>18</v>
      </c>
      <c r="E867" s="34">
        <v>124</v>
      </c>
      <c r="F867" s="35">
        <v>43916</v>
      </c>
      <c r="G867" s="35">
        <v>45741</v>
      </c>
      <c r="H867" s="34" t="s">
        <v>16</v>
      </c>
      <c r="I867" s="34" t="s">
        <v>79</v>
      </c>
    </row>
    <row r="868" spans="1:9" ht="14.4">
      <c r="A868" s="36">
        <v>2570</v>
      </c>
      <c r="B868" s="33" t="s">
        <v>334</v>
      </c>
      <c r="C868" s="36">
        <v>14743</v>
      </c>
      <c r="D868" s="36" t="s">
        <v>18</v>
      </c>
      <c r="E868" s="36">
        <v>74</v>
      </c>
      <c r="F868" s="37">
        <v>44411</v>
      </c>
      <c r="G868" s="37">
        <v>46236</v>
      </c>
      <c r="H868" s="36" t="s">
        <v>16</v>
      </c>
      <c r="I868" s="36" t="s">
        <v>79</v>
      </c>
    </row>
    <row r="869" spans="1:9" ht="14.4">
      <c r="A869" s="34">
        <v>2571</v>
      </c>
      <c r="B869" s="32" t="s">
        <v>334</v>
      </c>
      <c r="C869" s="34">
        <v>14744</v>
      </c>
      <c r="D869" s="34" t="s">
        <v>18</v>
      </c>
      <c r="E869" s="34">
        <v>63</v>
      </c>
      <c r="F869" s="35">
        <v>44411</v>
      </c>
      <c r="G869" s="35">
        <v>46236</v>
      </c>
      <c r="H869" s="34" t="s">
        <v>16</v>
      </c>
      <c r="I869" s="34" t="s">
        <v>79</v>
      </c>
    </row>
    <row r="870" spans="1:9" ht="14.4">
      <c r="A870" s="36">
        <v>2572</v>
      </c>
      <c r="B870" s="33" t="s">
        <v>28</v>
      </c>
      <c r="C870" s="36">
        <v>14748</v>
      </c>
      <c r="D870" s="36" t="s">
        <v>18</v>
      </c>
      <c r="E870" s="36">
        <v>125</v>
      </c>
      <c r="F870" s="37">
        <v>43951</v>
      </c>
      <c r="G870" s="37">
        <v>45776</v>
      </c>
      <c r="H870" s="36" t="s">
        <v>70</v>
      </c>
      <c r="I870" s="36" t="s">
        <v>79</v>
      </c>
    </row>
    <row r="871" spans="1:9" ht="14.4">
      <c r="A871" s="34">
        <v>2573</v>
      </c>
      <c r="B871" s="32" t="s">
        <v>335</v>
      </c>
      <c r="C871" s="34">
        <v>14752</v>
      </c>
      <c r="D871" s="34" t="s">
        <v>18</v>
      </c>
      <c r="E871" s="34">
        <v>5</v>
      </c>
      <c r="F871" s="35">
        <v>43752</v>
      </c>
      <c r="G871" s="35">
        <v>45578</v>
      </c>
      <c r="H871" s="34" t="s">
        <v>14</v>
      </c>
      <c r="I871" s="34" t="s">
        <v>79</v>
      </c>
    </row>
    <row r="872" spans="1:9" ht="14.4">
      <c r="A872" s="36">
        <v>2576</v>
      </c>
      <c r="B872" s="33" t="s">
        <v>336</v>
      </c>
      <c r="C872" s="36">
        <v>14755</v>
      </c>
      <c r="D872" s="36" t="s">
        <v>21</v>
      </c>
      <c r="E872" s="36">
        <v>3</v>
      </c>
      <c r="F872" s="37">
        <v>44874</v>
      </c>
      <c r="G872" s="37">
        <v>46699</v>
      </c>
      <c r="H872" s="36" t="s">
        <v>16</v>
      </c>
      <c r="I872" s="36" t="s">
        <v>79</v>
      </c>
    </row>
    <row r="873" spans="1:9" ht="14.4">
      <c r="A873" s="34">
        <v>2588</v>
      </c>
      <c r="B873" s="32" t="s">
        <v>240</v>
      </c>
      <c r="C873" s="34">
        <v>14767</v>
      </c>
      <c r="D873" s="34" t="s">
        <v>18</v>
      </c>
      <c r="E873" s="34">
        <v>8</v>
      </c>
      <c r="F873" s="35">
        <v>44249</v>
      </c>
      <c r="G873" s="35">
        <v>46074</v>
      </c>
      <c r="H873" s="34" t="s">
        <v>19</v>
      </c>
      <c r="I873" s="34" t="s">
        <v>79</v>
      </c>
    </row>
    <row r="874" spans="1:9" ht="14.4">
      <c r="A874" s="36">
        <v>2589</v>
      </c>
      <c r="B874" s="33" t="s">
        <v>242</v>
      </c>
      <c r="C874" s="36">
        <v>14768</v>
      </c>
      <c r="D874" s="36" t="s">
        <v>30</v>
      </c>
      <c r="E874" s="36">
        <v>32</v>
      </c>
      <c r="F874" s="37">
        <v>44523</v>
      </c>
      <c r="G874" s="37">
        <v>46348</v>
      </c>
      <c r="H874" s="36" t="s">
        <v>70</v>
      </c>
      <c r="I874" s="36" t="s">
        <v>79</v>
      </c>
    </row>
    <row r="875" spans="1:9" ht="14.4">
      <c r="A875" s="34">
        <v>2593</v>
      </c>
      <c r="B875" s="32" t="s">
        <v>337</v>
      </c>
      <c r="C875" s="34">
        <v>14772</v>
      </c>
      <c r="D875" s="34" t="s">
        <v>18</v>
      </c>
      <c r="E875" s="34">
        <v>64</v>
      </c>
      <c r="F875" s="35">
        <v>44414</v>
      </c>
      <c r="G875" s="35">
        <v>46239</v>
      </c>
      <c r="H875" s="34" t="s">
        <v>14</v>
      </c>
      <c r="I875" s="34" t="s">
        <v>79</v>
      </c>
    </row>
    <row r="876" spans="1:9" ht="14.4">
      <c r="A876" s="36">
        <v>2594</v>
      </c>
      <c r="B876" s="33" t="s">
        <v>282</v>
      </c>
      <c r="C876" s="36">
        <v>14773</v>
      </c>
      <c r="D876" s="36" t="s">
        <v>18</v>
      </c>
      <c r="E876" s="36">
        <v>8</v>
      </c>
      <c r="F876" s="37">
        <v>43752</v>
      </c>
      <c r="G876" s="37">
        <v>45578</v>
      </c>
      <c r="H876" s="36" t="s">
        <v>70</v>
      </c>
      <c r="I876" s="36" t="s">
        <v>79</v>
      </c>
    </row>
    <row r="877" spans="1:9" ht="14.4">
      <c r="A877" s="34">
        <v>2595</v>
      </c>
      <c r="B877" s="32" t="s">
        <v>338</v>
      </c>
      <c r="C877" s="34">
        <v>14776</v>
      </c>
      <c r="D877" s="34" t="s">
        <v>18</v>
      </c>
      <c r="E877" s="34">
        <v>23</v>
      </c>
      <c r="F877" s="35">
        <v>43752</v>
      </c>
      <c r="G877" s="35">
        <v>45578</v>
      </c>
      <c r="H877" s="34" t="s">
        <v>14</v>
      </c>
      <c r="I877" s="34" t="s">
        <v>79</v>
      </c>
    </row>
    <row r="878" spans="1:9" ht="14.4">
      <c r="A878" s="36">
        <v>2596</v>
      </c>
      <c r="B878" s="33" t="s">
        <v>339</v>
      </c>
      <c r="C878" s="36">
        <v>14777</v>
      </c>
      <c r="D878" s="36" t="s">
        <v>18</v>
      </c>
      <c r="E878" s="36">
        <v>6</v>
      </c>
      <c r="F878" s="37">
        <v>43810</v>
      </c>
      <c r="G878" s="37">
        <v>45636</v>
      </c>
      <c r="H878" s="36" t="s">
        <v>14</v>
      </c>
      <c r="I878" s="36" t="s">
        <v>79</v>
      </c>
    </row>
    <row r="879" spans="1:9" ht="14.4">
      <c r="A879" s="34">
        <v>2597</v>
      </c>
      <c r="B879" s="32" t="s">
        <v>339</v>
      </c>
      <c r="C879" s="34">
        <v>14778</v>
      </c>
      <c r="D879" s="34" t="s">
        <v>18</v>
      </c>
      <c r="E879" s="34">
        <v>6</v>
      </c>
      <c r="F879" s="35">
        <v>43810</v>
      </c>
      <c r="G879" s="35">
        <v>45636</v>
      </c>
      <c r="H879" s="34" t="s">
        <v>16</v>
      </c>
      <c r="I879" s="34" t="s">
        <v>79</v>
      </c>
    </row>
    <row r="880" spans="1:9" ht="14.4">
      <c r="A880" s="36">
        <v>2598</v>
      </c>
      <c r="B880" s="33" t="s">
        <v>339</v>
      </c>
      <c r="C880" s="36">
        <v>14780</v>
      </c>
      <c r="D880" s="36" t="s">
        <v>18</v>
      </c>
      <c r="E880" s="36">
        <v>6</v>
      </c>
      <c r="F880" s="37">
        <v>43810</v>
      </c>
      <c r="G880" s="37">
        <v>45636</v>
      </c>
      <c r="H880" s="36" t="s">
        <v>32</v>
      </c>
      <c r="I880" s="36" t="s">
        <v>79</v>
      </c>
    </row>
    <row r="881" spans="1:9" ht="14.4">
      <c r="A881" s="34">
        <v>2599</v>
      </c>
      <c r="B881" s="32" t="s">
        <v>339</v>
      </c>
      <c r="C881" s="34">
        <v>14781</v>
      </c>
      <c r="D881" s="34" t="s">
        <v>18</v>
      </c>
      <c r="E881" s="34">
        <v>6</v>
      </c>
      <c r="F881" s="35">
        <v>43810</v>
      </c>
      <c r="G881" s="35">
        <v>45636</v>
      </c>
      <c r="H881" s="34" t="s">
        <v>73</v>
      </c>
      <c r="I881" s="34" t="s">
        <v>79</v>
      </c>
    </row>
    <row r="882" spans="1:9" ht="14.4">
      <c r="A882" s="36">
        <v>2600</v>
      </c>
      <c r="B882" s="33" t="s">
        <v>339</v>
      </c>
      <c r="C882" s="36">
        <v>14782</v>
      </c>
      <c r="D882" s="36" t="s">
        <v>18</v>
      </c>
      <c r="E882" s="36">
        <v>6</v>
      </c>
      <c r="F882" s="37">
        <v>43810</v>
      </c>
      <c r="G882" s="37">
        <v>45636</v>
      </c>
      <c r="H882" s="36" t="s">
        <v>26</v>
      </c>
      <c r="I882" s="36" t="s">
        <v>79</v>
      </c>
    </row>
    <row r="883" spans="1:9" ht="14.4">
      <c r="A883" s="34">
        <v>2601</v>
      </c>
      <c r="B883" s="32" t="s">
        <v>339</v>
      </c>
      <c r="C883" s="34">
        <v>14783</v>
      </c>
      <c r="D883" s="34" t="s">
        <v>18</v>
      </c>
      <c r="E883" s="34">
        <v>3</v>
      </c>
      <c r="F883" s="35">
        <v>43810</v>
      </c>
      <c r="G883" s="35">
        <v>45636</v>
      </c>
      <c r="H883" s="34" t="s">
        <v>94</v>
      </c>
      <c r="I883" s="34" t="s">
        <v>79</v>
      </c>
    </row>
    <row r="884" spans="1:9" ht="14.4">
      <c r="A884" s="36">
        <v>2602</v>
      </c>
      <c r="B884" s="33" t="s">
        <v>340</v>
      </c>
      <c r="C884" s="36">
        <v>14784</v>
      </c>
      <c r="D884" s="36" t="s">
        <v>30</v>
      </c>
      <c r="E884" s="36">
        <v>17</v>
      </c>
      <c r="F884" s="37">
        <v>43829</v>
      </c>
      <c r="G884" s="37">
        <v>45655</v>
      </c>
      <c r="H884" s="36" t="s">
        <v>14</v>
      </c>
      <c r="I884" s="36" t="s">
        <v>79</v>
      </c>
    </row>
    <row r="885" spans="1:9" ht="14.4">
      <c r="A885" s="34">
        <v>2604</v>
      </c>
      <c r="B885" s="32" t="s">
        <v>257</v>
      </c>
      <c r="C885" s="34">
        <v>14786</v>
      </c>
      <c r="D885" s="34" t="s">
        <v>18</v>
      </c>
      <c r="E885" s="34">
        <v>2</v>
      </c>
      <c r="F885" s="35">
        <v>44221</v>
      </c>
      <c r="G885" s="35">
        <v>46046</v>
      </c>
      <c r="H885" s="34" t="s">
        <v>19</v>
      </c>
      <c r="I885" s="34" t="s">
        <v>79</v>
      </c>
    </row>
    <row r="886" spans="1:9" ht="14.4">
      <c r="A886" s="36">
        <v>2607</v>
      </c>
      <c r="B886" s="33" t="s">
        <v>290</v>
      </c>
      <c r="C886" s="36">
        <v>14795</v>
      </c>
      <c r="D886" s="36" t="s">
        <v>18</v>
      </c>
      <c r="E886" s="36">
        <v>9</v>
      </c>
      <c r="F886" s="37">
        <v>44243</v>
      </c>
      <c r="G886" s="37">
        <v>46068</v>
      </c>
      <c r="H886" s="36" t="s">
        <v>16</v>
      </c>
      <c r="I886" s="36" t="s">
        <v>79</v>
      </c>
    </row>
    <row r="887" spans="1:9" ht="14.4">
      <c r="A887" s="34">
        <v>2608</v>
      </c>
      <c r="B887" s="32" t="s">
        <v>297</v>
      </c>
      <c r="C887" s="34">
        <v>14796</v>
      </c>
      <c r="D887" s="34" t="s">
        <v>18</v>
      </c>
      <c r="E887" s="34">
        <v>10</v>
      </c>
      <c r="F887" s="35">
        <v>43922</v>
      </c>
      <c r="G887" s="35">
        <v>45747</v>
      </c>
      <c r="H887" s="34" t="s">
        <v>341</v>
      </c>
      <c r="I887" s="34" t="s">
        <v>79</v>
      </c>
    </row>
    <row r="888" spans="1:9" ht="14.4">
      <c r="A888" s="36">
        <v>2609</v>
      </c>
      <c r="B888" s="33" t="s">
        <v>342</v>
      </c>
      <c r="C888" s="36">
        <v>14797</v>
      </c>
      <c r="D888" s="36" t="s">
        <v>18</v>
      </c>
      <c r="E888" s="36">
        <v>1</v>
      </c>
      <c r="F888" s="37">
        <v>44272</v>
      </c>
      <c r="G888" s="37">
        <v>46097</v>
      </c>
      <c r="H888" s="36" t="s">
        <v>16</v>
      </c>
      <c r="I888" s="36" t="s">
        <v>79</v>
      </c>
    </row>
    <row r="889" spans="1:9" ht="14.4">
      <c r="A889" s="34">
        <v>2611</v>
      </c>
      <c r="B889" s="32" t="s">
        <v>343</v>
      </c>
      <c r="C889" s="34">
        <v>14808</v>
      </c>
      <c r="D889" s="34" t="s">
        <v>18</v>
      </c>
      <c r="E889" s="34">
        <v>5</v>
      </c>
      <c r="F889" s="35">
        <v>43922</v>
      </c>
      <c r="G889" s="35">
        <v>45747</v>
      </c>
      <c r="H889" s="34" t="s">
        <v>56</v>
      </c>
      <c r="I889" s="34" t="s">
        <v>79</v>
      </c>
    </row>
    <row r="890" spans="1:9" ht="14.4">
      <c r="A890" s="36">
        <v>2614</v>
      </c>
      <c r="B890" s="33" t="s">
        <v>197</v>
      </c>
      <c r="C890" s="36">
        <v>14813</v>
      </c>
      <c r="D890" s="36" t="s">
        <v>13</v>
      </c>
      <c r="E890" s="36">
        <v>44</v>
      </c>
      <c r="F890" s="37"/>
      <c r="G890" s="37"/>
      <c r="H890" s="36" t="s">
        <v>70</v>
      </c>
      <c r="I890" s="36" t="s">
        <v>79</v>
      </c>
    </row>
    <row r="891" spans="1:9" ht="14.4">
      <c r="A891" s="34">
        <v>2615</v>
      </c>
      <c r="B891" s="32" t="s">
        <v>344</v>
      </c>
      <c r="C891" s="34">
        <v>14814</v>
      </c>
      <c r="D891" s="34" t="s">
        <v>18</v>
      </c>
      <c r="E891" s="34">
        <v>13</v>
      </c>
      <c r="F891" s="35">
        <v>44158</v>
      </c>
      <c r="G891" s="35">
        <v>45983</v>
      </c>
      <c r="H891" s="34" t="s">
        <v>14</v>
      </c>
      <c r="I891" s="34" t="s">
        <v>79</v>
      </c>
    </row>
    <row r="892" spans="1:9" ht="14.4">
      <c r="A892" s="36">
        <v>2616</v>
      </c>
      <c r="B892" s="33" t="s">
        <v>345</v>
      </c>
      <c r="C892" s="36">
        <v>14815</v>
      </c>
      <c r="D892" s="36" t="s">
        <v>18</v>
      </c>
      <c r="E892" s="36">
        <v>20</v>
      </c>
      <c r="F892" s="37">
        <v>44047</v>
      </c>
      <c r="G892" s="37">
        <v>45872</v>
      </c>
      <c r="H892" s="36" t="s">
        <v>31</v>
      </c>
      <c r="I892" s="36" t="s">
        <v>79</v>
      </c>
    </row>
    <row r="893" spans="1:9" ht="14.4">
      <c r="A893" s="34">
        <v>2617</v>
      </c>
      <c r="B893" s="32" t="s">
        <v>154</v>
      </c>
      <c r="C893" s="34">
        <v>14820</v>
      </c>
      <c r="D893" s="34" t="s">
        <v>18</v>
      </c>
      <c r="E893" s="34">
        <v>4</v>
      </c>
      <c r="F893" s="35">
        <v>44271</v>
      </c>
      <c r="G893" s="35">
        <v>46096</v>
      </c>
      <c r="H893" s="34" t="s">
        <v>14</v>
      </c>
      <c r="I893" s="34" t="s">
        <v>79</v>
      </c>
    </row>
    <row r="894" spans="1:9" ht="14.4">
      <c r="A894" s="36">
        <v>2618</v>
      </c>
      <c r="B894" s="33" t="s">
        <v>154</v>
      </c>
      <c r="C894" s="36">
        <v>14821</v>
      </c>
      <c r="D894" s="36" t="s">
        <v>18</v>
      </c>
      <c r="E894" s="36">
        <v>2</v>
      </c>
      <c r="F894" s="37">
        <v>44271</v>
      </c>
      <c r="G894" s="37">
        <v>46096</v>
      </c>
      <c r="H894" s="36" t="s">
        <v>14</v>
      </c>
      <c r="I894" s="36" t="s">
        <v>79</v>
      </c>
    </row>
    <row r="895" spans="1:9" ht="14.4">
      <c r="A895" s="34">
        <v>2619</v>
      </c>
      <c r="B895" s="32" t="s">
        <v>43</v>
      </c>
      <c r="C895" s="34">
        <v>14822</v>
      </c>
      <c r="D895" s="34" t="s">
        <v>13</v>
      </c>
      <c r="E895" s="34">
        <v>180</v>
      </c>
      <c r="F895" s="35">
        <v>43868</v>
      </c>
      <c r="G895" s="35">
        <v>51325</v>
      </c>
      <c r="H895" s="34" t="s">
        <v>14</v>
      </c>
      <c r="I895" s="34" t="s">
        <v>79</v>
      </c>
    </row>
    <row r="896" spans="1:9" ht="14.4">
      <c r="A896" s="36">
        <v>2625</v>
      </c>
      <c r="B896" s="33" t="s">
        <v>346</v>
      </c>
      <c r="C896" s="36">
        <v>14832</v>
      </c>
      <c r="D896" s="36" t="s">
        <v>18</v>
      </c>
      <c r="E896" s="36">
        <v>10</v>
      </c>
      <c r="F896" s="37">
        <v>44215</v>
      </c>
      <c r="G896" s="37">
        <v>46040</v>
      </c>
      <c r="H896" s="36" t="s">
        <v>14</v>
      </c>
      <c r="I896" s="36" t="s">
        <v>79</v>
      </c>
    </row>
    <row r="897" spans="1:9" ht="14.4">
      <c r="A897" s="34">
        <v>2626</v>
      </c>
      <c r="B897" s="32" t="s">
        <v>324</v>
      </c>
      <c r="C897" s="34">
        <v>14834</v>
      </c>
      <c r="D897" s="34" t="s">
        <v>18</v>
      </c>
      <c r="E897" s="34">
        <v>1</v>
      </c>
      <c r="F897" s="35">
        <v>44104</v>
      </c>
      <c r="G897" s="35">
        <v>45929</v>
      </c>
      <c r="H897" s="34" t="s">
        <v>70</v>
      </c>
      <c r="I897" s="34" t="s">
        <v>79</v>
      </c>
    </row>
    <row r="898" spans="1:9" ht="14.4">
      <c r="A898" s="36">
        <v>2627</v>
      </c>
      <c r="B898" s="33" t="s">
        <v>347</v>
      </c>
      <c r="C898" s="36">
        <v>14838</v>
      </c>
      <c r="D898" s="36" t="s">
        <v>18</v>
      </c>
      <c r="E898" s="36">
        <v>7</v>
      </c>
      <c r="F898" s="37">
        <v>44711</v>
      </c>
      <c r="G898" s="37">
        <v>46536</v>
      </c>
      <c r="H898" s="36" t="s">
        <v>14</v>
      </c>
      <c r="I898" s="36" t="s">
        <v>79</v>
      </c>
    </row>
    <row r="899" spans="1:9" ht="14.4">
      <c r="A899" s="34">
        <v>2628</v>
      </c>
      <c r="B899" s="32" t="s">
        <v>87</v>
      </c>
      <c r="C899" s="34">
        <v>14839</v>
      </c>
      <c r="D899" s="34" t="s">
        <v>21</v>
      </c>
      <c r="E899" s="34">
        <v>4</v>
      </c>
      <c r="F899" s="35">
        <v>44195</v>
      </c>
      <c r="G899" s="35">
        <v>46020</v>
      </c>
      <c r="H899" s="34" t="s">
        <v>16</v>
      </c>
      <c r="I899" s="34" t="s">
        <v>79</v>
      </c>
    </row>
    <row r="900" spans="1:9" ht="14.4">
      <c r="A900" s="36">
        <v>2629</v>
      </c>
      <c r="B900" s="33" t="s">
        <v>280</v>
      </c>
      <c r="C900" s="36">
        <v>14841</v>
      </c>
      <c r="D900" s="36" t="s">
        <v>18</v>
      </c>
      <c r="E900" s="36">
        <v>7</v>
      </c>
      <c r="F900" s="37">
        <v>44077</v>
      </c>
      <c r="G900" s="37">
        <v>45902</v>
      </c>
      <c r="H900" s="36" t="s">
        <v>16</v>
      </c>
      <c r="I900" s="36" t="s">
        <v>79</v>
      </c>
    </row>
    <row r="901" spans="1:9" ht="14.4">
      <c r="A901" s="34">
        <v>2630</v>
      </c>
      <c r="B901" s="32" t="s">
        <v>280</v>
      </c>
      <c r="C901" s="34">
        <v>14842</v>
      </c>
      <c r="D901" s="34" t="s">
        <v>18</v>
      </c>
      <c r="E901" s="34">
        <v>6</v>
      </c>
      <c r="F901" s="35">
        <v>44077</v>
      </c>
      <c r="G901" s="35">
        <v>45902</v>
      </c>
      <c r="H901" s="34" t="s">
        <v>16</v>
      </c>
      <c r="I901" s="34" t="s">
        <v>79</v>
      </c>
    </row>
    <row r="902" spans="1:9" ht="14.4">
      <c r="A902" s="36">
        <v>2631</v>
      </c>
      <c r="B902" s="33" t="s">
        <v>280</v>
      </c>
      <c r="C902" s="36">
        <v>14843</v>
      </c>
      <c r="D902" s="36" t="s">
        <v>18</v>
      </c>
      <c r="E902" s="36">
        <v>10</v>
      </c>
      <c r="F902" s="37">
        <v>44077</v>
      </c>
      <c r="G902" s="37">
        <v>45902</v>
      </c>
      <c r="H902" s="36" t="s">
        <v>16</v>
      </c>
      <c r="I902" s="36" t="s">
        <v>79</v>
      </c>
    </row>
    <row r="903" spans="1:9" ht="14.4">
      <c r="A903" s="34">
        <v>2632</v>
      </c>
      <c r="B903" s="32" t="s">
        <v>280</v>
      </c>
      <c r="C903" s="34">
        <v>14844</v>
      </c>
      <c r="D903" s="34" t="s">
        <v>18</v>
      </c>
      <c r="E903" s="34">
        <v>8</v>
      </c>
      <c r="F903" s="35">
        <v>44077</v>
      </c>
      <c r="G903" s="35">
        <v>45902</v>
      </c>
      <c r="H903" s="34" t="s">
        <v>16</v>
      </c>
      <c r="I903" s="34" t="s">
        <v>79</v>
      </c>
    </row>
    <row r="904" spans="1:9" ht="14.4">
      <c r="A904" s="36">
        <v>2633</v>
      </c>
      <c r="B904" s="33" t="s">
        <v>280</v>
      </c>
      <c r="C904" s="36">
        <v>14845</v>
      </c>
      <c r="D904" s="36" t="s">
        <v>18</v>
      </c>
      <c r="E904" s="36">
        <v>12</v>
      </c>
      <c r="F904" s="37">
        <v>44077</v>
      </c>
      <c r="G904" s="37">
        <v>45902</v>
      </c>
      <c r="H904" s="36" t="s">
        <v>16</v>
      </c>
      <c r="I904" s="36" t="s">
        <v>79</v>
      </c>
    </row>
    <row r="905" spans="1:9" ht="14.4">
      <c r="A905" s="34">
        <v>2634</v>
      </c>
      <c r="B905" s="32" t="s">
        <v>280</v>
      </c>
      <c r="C905" s="34">
        <v>14846</v>
      </c>
      <c r="D905" s="34" t="s">
        <v>18</v>
      </c>
      <c r="E905" s="34">
        <v>20</v>
      </c>
      <c r="F905" s="35">
        <v>44077</v>
      </c>
      <c r="G905" s="35">
        <v>45902</v>
      </c>
      <c r="H905" s="34" t="s">
        <v>31</v>
      </c>
      <c r="I905" s="34" t="s">
        <v>79</v>
      </c>
    </row>
    <row r="906" spans="1:9" ht="14.4">
      <c r="A906" s="36">
        <v>2635</v>
      </c>
      <c r="B906" s="33" t="s">
        <v>280</v>
      </c>
      <c r="C906" s="36">
        <v>14847</v>
      </c>
      <c r="D906" s="36" t="s">
        <v>18</v>
      </c>
      <c r="E906" s="36">
        <v>21</v>
      </c>
      <c r="F906" s="37">
        <v>44077</v>
      </c>
      <c r="G906" s="37">
        <v>45902</v>
      </c>
      <c r="H906" s="36" t="s">
        <v>31</v>
      </c>
      <c r="I906" s="36" t="s">
        <v>79</v>
      </c>
    </row>
    <row r="907" spans="1:9" ht="14.4">
      <c r="A907" s="34">
        <v>2636</v>
      </c>
      <c r="B907" s="32" t="s">
        <v>348</v>
      </c>
      <c r="C907" s="34">
        <v>14849</v>
      </c>
      <c r="D907" s="34" t="s">
        <v>18</v>
      </c>
      <c r="E907" s="34">
        <v>2</v>
      </c>
      <c r="F907" s="35">
        <v>44232</v>
      </c>
      <c r="G907" s="35">
        <v>46057</v>
      </c>
      <c r="H907" s="34" t="s">
        <v>84</v>
      </c>
      <c r="I907" s="34" t="s">
        <v>79</v>
      </c>
    </row>
    <row r="908" spans="1:9" ht="14.4">
      <c r="A908" s="36">
        <v>2637</v>
      </c>
      <c r="B908" s="33" t="s">
        <v>348</v>
      </c>
      <c r="C908" s="36">
        <v>14850</v>
      </c>
      <c r="D908" s="36" t="s">
        <v>18</v>
      </c>
      <c r="E908" s="36">
        <v>8</v>
      </c>
      <c r="F908" s="37">
        <v>44232</v>
      </c>
      <c r="G908" s="37">
        <v>46057</v>
      </c>
      <c r="H908" s="36" t="s">
        <v>84</v>
      </c>
      <c r="I908" s="36" t="s">
        <v>79</v>
      </c>
    </row>
    <row r="909" spans="1:9" ht="14.4">
      <c r="A909" s="34">
        <v>2638</v>
      </c>
      <c r="B909" s="32" t="s">
        <v>348</v>
      </c>
      <c r="C909" s="34">
        <v>14853</v>
      </c>
      <c r="D909" s="34" t="s">
        <v>18</v>
      </c>
      <c r="E909" s="34">
        <v>6</v>
      </c>
      <c r="F909" s="35">
        <v>44232</v>
      </c>
      <c r="G909" s="35">
        <v>46057</v>
      </c>
      <c r="H909" s="34" t="s">
        <v>32</v>
      </c>
      <c r="I909" s="34" t="s">
        <v>79</v>
      </c>
    </row>
    <row r="910" spans="1:9" ht="14.4">
      <c r="A910" s="36">
        <v>2639</v>
      </c>
      <c r="B910" s="33" t="s">
        <v>348</v>
      </c>
      <c r="C910" s="36">
        <v>14854</v>
      </c>
      <c r="D910" s="36" t="s">
        <v>18</v>
      </c>
      <c r="E910" s="36">
        <v>9</v>
      </c>
      <c r="F910" s="37">
        <v>44232</v>
      </c>
      <c r="G910" s="37">
        <v>46057</v>
      </c>
      <c r="H910" s="36" t="s">
        <v>32</v>
      </c>
      <c r="I910" s="36" t="s">
        <v>79</v>
      </c>
    </row>
    <row r="911" spans="1:9" ht="14.4">
      <c r="A911" s="34">
        <v>2640</v>
      </c>
      <c r="B911" s="32" t="s">
        <v>349</v>
      </c>
      <c r="C911" s="34">
        <v>14855</v>
      </c>
      <c r="D911" s="34" t="s">
        <v>18</v>
      </c>
      <c r="E911" s="34">
        <v>83</v>
      </c>
      <c r="F911" s="35">
        <v>44553</v>
      </c>
      <c r="G911" s="35">
        <v>46378</v>
      </c>
      <c r="H911" s="34" t="s">
        <v>84</v>
      </c>
      <c r="I911" s="34" t="s">
        <v>79</v>
      </c>
    </row>
    <row r="912" spans="1:9" ht="14.4">
      <c r="A912" s="36">
        <v>2641</v>
      </c>
      <c r="B912" s="33" t="s">
        <v>350</v>
      </c>
      <c r="C912" s="36">
        <v>14856</v>
      </c>
      <c r="D912" s="36" t="s">
        <v>18</v>
      </c>
      <c r="E912" s="36">
        <v>10</v>
      </c>
      <c r="F912" s="37">
        <v>44104</v>
      </c>
      <c r="G912" s="37">
        <v>45929</v>
      </c>
      <c r="H912" s="36" t="s">
        <v>16</v>
      </c>
      <c r="I912" s="36" t="s">
        <v>79</v>
      </c>
    </row>
    <row r="913" spans="1:9" ht="14.4">
      <c r="A913" s="34">
        <v>2642</v>
      </c>
      <c r="B913" s="32" t="s">
        <v>337</v>
      </c>
      <c r="C913" s="34">
        <v>14858</v>
      </c>
      <c r="D913" s="34" t="s">
        <v>18</v>
      </c>
      <c r="E913" s="34">
        <v>16</v>
      </c>
      <c r="F913" s="35">
        <v>44349</v>
      </c>
      <c r="G913" s="35">
        <v>46174</v>
      </c>
      <c r="H913" s="34" t="s">
        <v>59</v>
      </c>
      <c r="I913" s="34" t="s">
        <v>79</v>
      </c>
    </row>
    <row r="914" spans="1:9" ht="14.4">
      <c r="A914" s="36">
        <v>2644</v>
      </c>
      <c r="B914" s="33" t="s">
        <v>351</v>
      </c>
      <c r="C914" s="36">
        <v>14860</v>
      </c>
      <c r="D914" s="36" t="s">
        <v>18</v>
      </c>
      <c r="E914" s="36">
        <v>2</v>
      </c>
      <c r="F914" s="37">
        <v>44250</v>
      </c>
      <c r="G914" s="37">
        <v>46075</v>
      </c>
      <c r="H914" s="36" t="s">
        <v>277</v>
      </c>
      <c r="I914" s="36" t="s">
        <v>79</v>
      </c>
    </row>
    <row r="915" spans="1:9" ht="14.4">
      <c r="A915" s="34">
        <v>2645</v>
      </c>
      <c r="B915" s="32" t="s">
        <v>352</v>
      </c>
      <c r="C915" s="34">
        <v>14863</v>
      </c>
      <c r="D915" s="34" t="s">
        <v>18</v>
      </c>
      <c r="E915" s="34">
        <v>41</v>
      </c>
      <c r="F915" s="35">
        <v>44225</v>
      </c>
      <c r="G915" s="35">
        <v>46050</v>
      </c>
      <c r="H915" s="34" t="s">
        <v>84</v>
      </c>
      <c r="I915" s="34" t="s">
        <v>79</v>
      </c>
    </row>
    <row r="916" spans="1:9" ht="14.4">
      <c r="A916" s="36">
        <v>2646</v>
      </c>
      <c r="B916" s="33" t="s">
        <v>352</v>
      </c>
      <c r="C916" s="36">
        <v>14866</v>
      </c>
      <c r="D916" s="36" t="s">
        <v>18</v>
      </c>
      <c r="E916" s="36">
        <v>19</v>
      </c>
      <c r="F916" s="37">
        <v>44133</v>
      </c>
      <c r="G916" s="37">
        <v>45958</v>
      </c>
      <c r="H916" s="36" t="s">
        <v>84</v>
      </c>
      <c r="I916" s="36" t="s">
        <v>79</v>
      </c>
    </row>
    <row r="917" spans="1:9" ht="14.4">
      <c r="A917" s="34">
        <v>2647</v>
      </c>
      <c r="B917" s="32" t="s">
        <v>352</v>
      </c>
      <c r="C917" s="34">
        <v>14867</v>
      </c>
      <c r="D917" s="34" t="s">
        <v>18</v>
      </c>
      <c r="E917" s="34">
        <v>126</v>
      </c>
      <c r="F917" s="35">
        <v>44260</v>
      </c>
      <c r="G917" s="35">
        <v>46085</v>
      </c>
      <c r="H917" s="34" t="s">
        <v>84</v>
      </c>
      <c r="I917" s="34" t="s">
        <v>79</v>
      </c>
    </row>
    <row r="918" spans="1:9" ht="14.4">
      <c r="A918" s="36">
        <v>2649</v>
      </c>
      <c r="B918" s="33" t="s">
        <v>352</v>
      </c>
      <c r="C918" s="36">
        <v>14869</v>
      </c>
      <c r="D918" s="36" t="s">
        <v>18</v>
      </c>
      <c r="E918" s="36">
        <v>192</v>
      </c>
      <c r="F918" s="37">
        <v>44431</v>
      </c>
      <c r="G918" s="37">
        <v>46256</v>
      </c>
      <c r="H918" s="36" t="s">
        <v>84</v>
      </c>
      <c r="I918" s="36" t="s">
        <v>79</v>
      </c>
    </row>
    <row r="919" spans="1:9" ht="14.4">
      <c r="A919" s="34">
        <v>2650</v>
      </c>
      <c r="B919" s="32" t="s">
        <v>352</v>
      </c>
      <c r="C919" s="34">
        <v>14870</v>
      </c>
      <c r="D919" s="34" t="s">
        <v>18</v>
      </c>
      <c r="E919" s="34">
        <v>160</v>
      </c>
      <c r="F919" s="35">
        <v>44133</v>
      </c>
      <c r="G919" s="35">
        <v>45958</v>
      </c>
      <c r="H919" s="34" t="s">
        <v>84</v>
      </c>
      <c r="I919" s="34" t="s">
        <v>79</v>
      </c>
    </row>
    <row r="920" spans="1:9" ht="14.4">
      <c r="A920" s="36">
        <v>2651</v>
      </c>
      <c r="B920" s="33" t="s">
        <v>352</v>
      </c>
      <c r="C920" s="36">
        <v>14871</v>
      </c>
      <c r="D920" s="36" t="s">
        <v>18</v>
      </c>
      <c r="E920" s="36">
        <v>248</v>
      </c>
      <c r="F920" s="37">
        <v>44133</v>
      </c>
      <c r="G920" s="37">
        <v>45958</v>
      </c>
      <c r="H920" s="36" t="s">
        <v>84</v>
      </c>
      <c r="I920" s="36" t="s">
        <v>79</v>
      </c>
    </row>
    <row r="921" spans="1:9" ht="14.4">
      <c r="A921" s="34">
        <v>2652</v>
      </c>
      <c r="B921" s="32" t="s">
        <v>352</v>
      </c>
      <c r="C921" s="34">
        <v>14872</v>
      </c>
      <c r="D921" s="34" t="s">
        <v>18</v>
      </c>
      <c r="E921" s="34">
        <v>92</v>
      </c>
      <c r="F921" s="35">
        <v>44133</v>
      </c>
      <c r="G921" s="35">
        <v>45958</v>
      </c>
      <c r="H921" s="34" t="s">
        <v>84</v>
      </c>
      <c r="I921" s="34" t="s">
        <v>79</v>
      </c>
    </row>
    <row r="922" spans="1:9" ht="14.4">
      <c r="A922" s="36">
        <v>2653</v>
      </c>
      <c r="B922" s="33" t="s">
        <v>352</v>
      </c>
      <c r="C922" s="36">
        <v>14873</v>
      </c>
      <c r="D922" s="36" t="s">
        <v>18</v>
      </c>
      <c r="E922" s="36">
        <v>16</v>
      </c>
      <c r="F922" s="37">
        <v>44133</v>
      </c>
      <c r="G922" s="37">
        <v>45958</v>
      </c>
      <c r="H922" s="36" t="s">
        <v>56</v>
      </c>
      <c r="I922" s="36" t="s">
        <v>79</v>
      </c>
    </row>
    <row r="923" spans="1:9" ht="14.4">
      <c r="A923" s="34">
        <v>2654</v>
      </c>
      <c r="B923" s="32" t="s">
        <v>352</v>
      </c>
      <c r="C923" s="34">
        <v>14874</v>
      </c>
      <c r="D923" s="34" t="s">
        <v>18</v>
      </c>
      <c r="E923" s="34">
        <v>32</v>
      </c>
      <c r="F923" s="35">
        <v>44133</v>
      </c>
      <c r="G923" s="35">
        <v>45958</v>
      </c>
      <c r="H923" s="34" t="s">
        <v>84</v>
      </c>
      <c r="I923" s="34" t="s">
        <v>79</v>
      </c>
    </row>
    <row r="924" spans="1:9" ht="14.4">
      <c r="A924" s="36">
        <v>2655</v>
      </c>
      <c r="B924" s="33" t="s">
        <v>352</v>
      </c>
      <c r="C924" s="36">
        <v>14875</v>
      </c>
      <c r="D924" s="36" t="s">
        <v>18</v>
      </c>
      <c r="E924" s="36">
        <v>82</v>
      </c>
      <c r="F924" s="37">
        <v>44260</v>
      </c>
      <c r="G924" s="37">
        <v>46085</v>
      </c>
      <c r="H924" s="36" t="s">
        <v>84</v>
      </c>
      <c r="I924" s="36" t="s">
        <v>79</v>
      </c>
    </row>
    <row r="925" spans="1:9" ht="14.4">
      <c r="A925" s="34">
        <v>2656</v>
      </c>
      <c r="B925" s="32" t="s">
        <v>352</v>
      </c>
      <c r="C925" s="34">
        <v>14876</v>
      </c>
      <c r="D925" s="34" t="s">
        <v>18</v>
      </c>
      <c r="E925" s="34">
        <v>197</v>
      </c>
      <c r="F925" s="35">
        <v>44260</v>
      </c>
      <c r="G925" s="35">
        <v>46085</v>
      </c>
      <c r="H925" s="34" t="s">
        <v>84</v>
      </c>
      <c r="I925" s="34" t="s">
        <v>79</v>
      </c>
    </row>
    <row r="926" spans="1:9" ht="14.4">
      <c r="A926" s="36">
        <v>2657</v>
      </c>
      <c r="B926" s="33" t="s">
        <v>352</v>
      </c>
      <c r="C926" s="36">
        <v>14877</v>
      </c>
      <c r="D926" s="36" t="s">
        <v>18</v>
      </c>
      <c r="E926" s="36">
        <v>181</v>
      </c>
      <c r="F926" s="37">
        <v>44133</v>
      </c>
      <c r="G926" s="37">
        <v>45958</v>
      </c>
      <c r="H926" s="36" t="s">
        <v>84</v>
      </c>
      <c r="I926" s="36" t="s">
        <v>79</v>
      </c>
    </row>
    <row r="927" spans="1:9" ht="14.4">
      <c r="A927" s="34">
        <v>2658</v>
      </c>
      <c r="B927" s="32" t="s">
        <v>329</v>
      </c>
      <c r="C927" s="34">
        <v>14880</v>
      </c>
      <c r="D927" s="34" t="s">
        <v>18</v>
      </c>
      <c r="E927" s="34">
        <v>55</v>
      </c>
      <c r="F927" s="35">
        <v>44189</v>
      </c>
      <c r="G927" s="35">
        <v>46014</v>
      </c>
      <c r="H927" s="34" t="s">
        <v>31</v>
      </c>
      <c r="I927" s="34" t="s">
        <v>79</v>
      </c>
    </row>
    <row r="928" spans="1:9" ht="14.4">
      <c r="A928" s="36">
        <v>2659</v>
      </c>
      <c r="B928" s="33" t="s">
        <v>329</v>
      </c>
      <c r="C928" s="36">
        <v>14881</v>
      </c>
      <c r="D928" s="36" t="s">
        <v>18</v>
      </c>
      <c r="E928" s="36">
        <v>51</v>
      </c>
      <c r="F928" s="37">
        <v>44189</v>
      </c>
      <c r="G928" s="37">
        <v>46014</v>
      </c>
      <c r="H928" s="36" t="s">
        <v>31</v>
      </c>
      <c r="I928" s="36" t="s">
        <v>79</v>
      </c>
    </row>
    <row r="929" spans="1:9" ht="14.4">
      <c r="A929" s="34">
        <v>2660</v>
      </c>
      <c r="B929" s="32" t="s">
        <v>329</v>
      </c>
      <c r="C929" s="34">
        <v>14883</v>
      </c>
      <c r="D929" s="34" t="s">
        <v>18</v>
      </c>
      <c r="E929" s="34">
        <v>24</v>
      </c>
      <c r="F929" s="35">
        <v>44189</v>
      </c>
      <c r="G929" s="35">
        <v>46014</v>
      </c>
      <c r="H929" s="34" t="s">
        <v>31</v>
      </c>
      <c r="I929" s="34" t="s">
        <v>79</v>
      </c>
    </row>
    <row r="930" spans="1:9" ht="14.4">
      <c r="A930" s="36">
        <v>2661</v>
      </c>
      <c r="B930" s="33" t="s">
        <v>333</v>
      </c>
      <c r="C930" s="36">
        <v>14884</v>
      </c>
      <c r="D930" s="36" t="s">
        <v>18</v>
      </c>
      <c r="E930" s="36">
        <v>65</v>
      </c>
      <c r="F930" s="37">
        <v>44245</v>
      </c>
      <c r="G930" s="37">
        <v>46070</v>
      </c>
      <c r="H930" s="36" t="s">
        <v>19</v>
      </c>
      <c r="I930" s="36" t="s">
        <v>79</v>
      </c>
    </row>
    <row r="931" spans="1:9" ht="14.4">
      <c r="A931" s="34">
        <v>2662</v>
      </c>
      <c r="B931" s="32" t="s">
        <v>333</v>
      </c>
      <c r="C931" s="34">
        <v>14885</v>
      </c>
      <c r="D931" s="34" t="s">
        <v>18</v>
      </c>
      <c r="E931" s="34">
        <v>22</v>
      </c>
      <c r="F931" s="35">
        <v>44245</v>
      </c>
      <c r="G931" s="35">
        <v>46070</v>
      </c>
      <c r="H931" s="34" t="s">
        <v>19</v>
      </c>
      <c r="I931" s="34" t="s">
        <v>79</v>
      </c>
    </row>
    <row r="932" spans="1:9" ht="14.4">
      <c r="A932" s="36">
        <v>2663</v>
      </c>
      <c r="B932" s="33" t="s">
        <v>333</v>
      </c>
      <c r="C932" s="36">
        <v>14886</v>
      </c>
      <c r="D932" s="36" t="s">
        <v>18</v>
      </c>
      <c r="E932" s="36">
        <v>60</v>
      </c>
      <c r="F932" s="37">
        <v>44267</v>
      </c>
      <c r="G932" s="37">
        <v>46092</v>
      </c>
      <c r="H932" s="36" t="s">
        <v>19</v>
      </c>
      <c r="I932" s="36" t="s">
        <v>79</v>
      </c>
    </row>
    <row r="933" spans="1:9" ht="14.4">
      <c r="A933" s="34">
        <v>2666</v>
      </c>
      <c r="B933" s="32" t="s">
        <v>329</v>
      </c>
      <c r="C933" s="34">
        <v>14893</v>
      </c>
      <c r="D933" s="34" t="s">
        <v>18</v>
      </c>
      <c r="E933" s="34">
        <v>85</v>
      </c>
      <c r="F933" s="35">
        <v>44189</v>
      </c>
      <c r="G933" s="35">
        <v>46014</v>
      </c>
      <c r="H933" s="34" t="s">
        <v>24</v>
      </c>
      <c r="I933" s="34" t="s">
        <v>79</v>
      </c>
    </row>
    <row r="934" spans="1:9" ht="14.4">
      <c r="A934" s="36">
        <v>2667</v>
      </c>
      <c r="B934" s="33" t="s">
        <v>352</v>
      </c>
      <c r="C934" s="36">
        <v>14897</v>
      </c>
      <c r="D934" s="36" t="s">
        <v>18</v>
      </c>
      <c r="E934" s="36">
        <v>11</v>
      </c>
      <c r="F934" s="37">
        <v>44260</v>
      </c>
      <c r="G934" s="37">
        <v>46085</v>
      </c>
      <c r="H934" s="36" t="s">
        <v>84</v>
      </c>
      <c r="I934" s="36" t="s">
        <v>79</v>
      </c>
    </row>
    <row r="935" spans="1:9" ht="14.4">
      <c r="A935" s="34">
        <v>2668</v>
      </c>
      <c r="B935" s="32" t="s">
        <v>352</v>
      </c>
      <c r="C935" s="34">
        <v>14898</v>
      </c>
      <c r="D935" s="34" t="s">
        <v>18</v>
      </c>
      <c r="E935" s="34">
        <v>43</v>
      </c>
      <c r="F935" s="35">
        <v>44260</v>
      </c>
      <c r="G935" s="35">
        <v>46085</v>
      </c>
      <c r="H935" s="34" t="s">
        <v>84</v>
      </c>
      <c r="I935" s="34" t="s">
        <v>79</v>
      </c>
    </row>
    <row r="936" spans="1:9" ht="14.4">
      <c r="A936" s="36">
        <v>2669</v>
      </c>
      <c r="B936" s="33" t="s">
        <v>99</v>
      </c>
      <c r="C936" s="36">
        <v>14899</v>
      </c>
      <c r="D936" s="36" t="s">
        <v>18</v>
      </c>
      <c r="E936" s="36">
        <v>31</v>
      </c>
      <c r="F936" s="37">
        <v>44225</v>
      </c>
      <c r="G936" s="37">
        <v>46050</v>
      </c>
      <c r="H936" s="36" t="s">
        <v>16</v>
      </c>
      <c r="I936" s="36" t="s">
        <v>79</v>
      </c>
    </row>
    <row r="937" spans="1:9" ht="14.4">
      <c r="A937" s="34">
        <v>2670</v>
      </c>
      <c r="B937" s="32" t="s">
        <v>99</v>
      </c>
      <c r="C937" s="34">
        <v>14900</v>
      </c>
      <c r="D937" s="34" t="s">
        <v>18</v>
      </c>
      <c r="E937" s="34">
        <v>22</v>
      </c>
      <c r="F937" s="35">
        <v>44236</v>
      </c>
      <c r="G937" s="35">
        <v>46061</v>
      </c>
      <c r="H937" s="34" t="s">
        <v>16</v>
      </c>
      <c r="I937" s="34" t="s">
        <v>79</v>
      </c>
    </row>
    <row r="938" spans="1:9" ht="14.4">
      <c r="A938" s="36">
        <v>2674</v>
      </c>
      <c r="B938" s="33" t="s">
        <v>353</v>
      </c>
      <c r="C938" s="36">
        <v>14906</v>
      </c>
      <c r="D938" s="36" t="s">
        <v>18</v>
      </c>
      <c r="E938" s="36">
        <v>12</v>
      </c>
      <c r="F938" s="37">
        <v>44217</v>
      </c>
      <c r="G938" s="37">
        <v>46042</v>
      </c>
      <c r="H938" s="36" t="s">
        <v>16</v>
      </c>
      <c r="I938" s="36" t="s">
        <v>79</v>
      </c>
    </row>
    <row r="939" spans="1:9" ht="14.4">
      <c r="A939" s="34">
        <v>2675</v>
      </c>
      <c r="B939" s="32" t="s">
        <v>354</v>
      </c>
      <c r="C939" s="34">
        <v>14907</v>
      </c>
      <c r="D939" s="34" t="s">
        <v>18</v>
      </c>
      <c r="E939" s="34">
        <v>129</v>
      </c>
      <c r="F939" s="35">
        <v>44274</v>
      </c>
      <c r="G939" s="35">
        <v>46099</v>
      </c>
      <c r="H939" s="34" t="s">
        <v>59</v>
      </c>
      <c r="I939" s="34" t="s">
        <v>79</v>
      </c>
    </row>
    <row r="940" spans="1:9" ht="14.4">
      <c r="A940" s="36">
        <v>2677</v>
      </c>
      <c r="B940" s="33" t="s">
        <v>242</v>
      </c>
      <c r="C940" s="36">
        <v>14916</v>
      </c>
      <c r="D940" s="36" t="s">
        <v>18</v>
      </c>
      <c r="E940" s="36">
        <v>10</v>
      </c>
      <c r="F940" s="37">
        <v>44300</v>
      </c>
      <c r="G940" s="37">
        <v>46125</v>
      </c>
      <c r="H940" s="36" t="s">
        <v>14</v>
      </c>
      <c r="I940" s="36" t="s">
        <v>79</v>
      </c>
    </row>
    <row r="941" spans="1:9" ht="14.4">
      <c r="A941" s="34">
        <v>2678</v>
      </c>
      <c r="B941" s="32" t="s">
        <v>355</v>
      </c>
      <c r="C941" s="34">
        <v>14919</v>
      </c>
      <c r="D941" s="34" t="s">
        <v>18</v>
      </c>
      <c r="E941" s="34">
        <v>4</v>
      </c>
      <c r="F941" s="35">
        <v>44326</v>
      </c>
      <c r="G941" s="35">
        <v>46151</v>
      </c>
      <c r="H941" s="34" t="s">
        <v>22</v>
      </c>
      <c r="I941" s="34" t="s">
        <v>79</v>
      </c>
    </row>
    <row r="942" spans="1:9" ht="14.4">
      <c r="A942" s="36">
        <v>2679</v>
      </c>
      <c r="B942" s="33" t="s">
        <v>352</v>
      </c>
      <c r="C942" s="36">
        <v>14920</v>
      </c>
      <c r="D942" s="36" t="s">
        <v>18</v>
      </c>
      <c r="E942" s="36">
        <v>150</v>
      </c>
      <c r="F942" s="37">
        <v>44431</v>
      </c>
      <c r="G942" s="37">
        <v>46256</v>
      </c>
      <c r="H942" s="36" t="s">
        <v>24</v>
      </c>
      <c r="I942" s="36" t="s">
        <v>79</v>
      </c>
    </row>
    <row r="943" spans="1:9" ht="14.4">
      <c r="A943" s="34">
        <v>2680</v>
      </c>
      <c r="B943" s="32" t="s">
        <v>352</v>
      </c>
      <c r="C943" s="34">
        <v>14921</v>
      </c>
      <c r="D943" s="34" t="s">
        <v>18</v>
      </c>
      <c r="E943" s="34">
        <v>141</v>
      </c>
      <c r="F943" s="35">
        <v>44431</v>
      </c>
      <c r="G943" s="35">
        <v>46256</v>
      </c>
      <c r="H943" s="34" t="s">
        <v>24</v>
      </c>
      <c r="I943" s="34" t="s">
        <v>79</v>
      </c>
    </row>
    <row r="944" spans="1:9" ht="14.4">
      <c r="A944" s="36">
        <v>2681</v>
      </c>
      <c r="B944" s="33" t="s">
        <v>324</v>
      </c>
      <c r="C944" s="36">
        <v>14922</v>
      </c>
      <c r="D944" s="36" t="s">
        <v>18</v>
      </c>
      <c r="E944" s="36">
        <v>1</v>
      </c>
      <c r="F944" s="37">
        <v>44329</v>
      </c>
      <c r="G944" s="37">
        <v>46154</v>
      </c>
      <c r="H944" s="36" t="s">
        <v>70</v>
      </c>
      <c r="I944" s="36" t="s">
        <v>79</v>
      </c>
    </row>
    <row r="945" spans="1:9" ht="14.4">
      <c r="A945" s="34">
        <v>2682</v>
      </c>
      <c r="B945" s="32" t="s">
        <v>356</v>
      </c>
      <c r="C945" s="34">
        <v>14923</v>
      </c>
      <c r="D945" s="34" t="s">
        <v>18</v>
      </c>
      <c r="E945" s="34">
        <v>4</v>
      </c>
      <c r="F945" s="35">
        <v>44253</v>
      </c>
      <c r="G945" s="35">
        <v>46078</v>
      </c>
      <c r="H945" s="34" t="s">
        <v>19</v>
      </c>
      <c r="I945" s="34" t="s">
        <v>79</v>
      </c>
    </row>
    <row r="946" spans="1:9" ht="14.4">
      <c r="A946" s="36">
        <v>2683</v>
      </c>
      <c r="B946" s="33" t="s">
        <v>357</v>
      </c>
      <c r="C946" s="36">
        <v>14924</v>
      </c>
      <c r="D946" s="36" t="s">
        <v>18</v>
      </c>
      <c r="E946" s="36">
        <v>2</v>
      </c>
      <c r="F946" s="37">
        <v>44251</v>
      </c>
      <c r="G946" s="37">
        <v>46076</v>
      </c>
      <c r="H946" s="36" t="s">
        <v>59</v>
      </c>
      <c r="I946" s="36" t="s">
        <v>79</v>
      </c>
    </row>
    <row r="947" spans="1:9" ht="14.4">
      <c r="A947" s="34">
        <v>2684</v>
      </c>
      <c r="B947" s="32" t="s">
        <v>357</v>
      </c>
      <c r="C947" s="34">
        <v>14925</v>
      </c>
      <c r="D947" s="34" t="s">
        <v>18</v>
      </c>
      <c r="E947" s="34">
        <v>2</v>
      </c>
      <c r="F947" s="35">
        <v>44663</v>
      </c>
      <c r="G947" s="35">
        <v>46488</v>
      </c>
      <c r="H947" s="34" t="s">
        <v>59</v>
      </c>
      <c r="I947" s="34" t="s">
        <v>79</v>
      </c>
    </row>
    <row r="948" spans="1:9" ht="14.4">
      <c r="A948" s="36">
        <v>2686</v>
      </c>
      <c r="B948" s="33" t="s">
        <v>358</v>
      </c>
      <c r="C948" s="36">
        <v>14928</v>
      </c>
      <c r="D948" s="36" t="s">
        <v>18</v>
      </c>
      <c r="E948" s="36">
        <v>10</v>
      </c>
      <c r="F948" s="37">
        <v>44272</v>
      </c>
      <c r="G948" s="37">
        <v>46097</v>
      </c>
      <c r="H948" s="36" t="s">
        <v>24</v>
      </c>
      <c r="I948" s="36" t="s">
        <v>79</v>
      </c>
    </row>
    <row r="949" spans="1:9" ht="14.4">
      <c r="A949" s="34">
        <v>2687</v>
      </c>
      <c r="B949" s="32" t="s">
        <v>242</v>
      </c>
      <c r="C949" s="34">
        <v>14929</v>
      </c>
      <c r="D949" s="34" t="s">
        <v>18</v>
      </c>
      <c r="E949" s="34">
        <v>4</v>
      </c>
      <c r="F949" s="35">
        <v>44300</v>
      </c>
      <c r="G949" s="35">
        <v>46125</v>
      </c>
      <c r="H949" s="34" t="s">
        <v>14</v>
      </c>
      <c r="I949" s="34" t="s">
        <v>79</v>
      </c>
    </row>
    <row r="950" spans="1:9" ht="14.4">
      <c r="A950" s="36">
        <v>2688</v>
      </c>
      <c r="B950" s="33" t="s">
        <v>359</v>
      </c>
      <c r="C950" s="36">
        <v>14933</v>
      </c>
      <c r="D950" s="36" t="s">
        <v>18</v>
      </c>
      <c r="E950" s="36">
        <v>2</v>
      </c>
      <c r="F950" s="37">
        <v>44280</v>
      </c>
      <c r="G950" s="37">
        <v>46105</v>
      </c>
      <c r="H950" s="36" t="s">
        <v>14</v>
      </c>
      <c r="I950" s="36" t="s">
        <v>79</v>
      </c>
    </row>
    <row r="951" spans="1:9" ht="14.4">
      <c r="A951" s="34">
        <v>2689</v>
      </c>
      <c r="B951" s="32" t="s">
        <v>359</v>
      </c>
      <c r="C951" s="34">
        <v>14934</v>
      </c>
      <c r="D951" s="34" t="s">
        <v>18</v>
      </c>
      <c r="E951" s="34">
        <v>4</v>
      </c>
      <c r="F951" s="35">
        <v>44280</v>
      </c>
      <c r="G951" s="35">
        <v>46105</v>
      </c>
      <c r="H951" s="34" t="s">
        <v>14</v>
      </c>
      <c r="I951" s="34" t="s">
        <v>79</v>
      </c>
    </row>
    <row r="952" spans="1:9" ht="14.4">
      <c r="A952" s="36">
        <v>2690</v>
      </c>
      <c r="B952" s="33" t="s">
        <v>360</v>
      </c>
      <c r="C952" s="36">
        <v>14935</v>
      </c>
      <c r="D952" s="36" t="s">
        <v>18</v>
      </c>
      <c r="E952" s="36">
        <v>5</v>
      </c>
      <c r="F952" s="37">
        <v>44271</v>
      </c>
      <c r="G952" s="37">
        <v>46096</v>
      </c>
      <c r="H952" s="36" t="s">
        <v>14</v>
      </c>
      <c r="I952" s="36" t="s">
        <v>79</v>
      </c>
    </row>
    <row r="953" spans="1:9" ht="14.4">
      <c r="A953" s="34">
        <v>2691</v>
      </c>
      <c r="B953" s="32" t="s">
        <v>154</v>
      </c>
      <c r="C953" s="34">
        <v>14936</v>
      </c>
      <c r="D953" s="34" t="s">
        <v>18</v>
      </c>
      <c r="E953" s="34">
        <v>4</v>
      </c>
      <c r="F953" s="35">
        <v>44281</v>
      </c>
      <c r="G953" s="35">
        <v>46106</v>
      </c>
      <c r="H953" s="34" t="s">
        <v>16</v>
      </c>
      <c r="I953" s="34" t="s">
        <v>79</v>
      </c>
    </row>
    <row r="954" spans="1:9" ht="14.4">
      <c r="A954" s="36">
        <v>2692</v>
      </c>
      <c r="B954" s="33" t="s">
        <v>361</v>
      </c>
      <c r="C954" s="36">
        <v>14937</v>
      </c>
      <c r="D954" s="36" t="s">
        <v>18</v>
      </c>
      <c r="E954" s="36">
        <v>20</v>
      </c>
      <c r="F954" s="37">
        <v>44342</v>
      </c>
      <c r="G954" s="37">
        <v>46167</v>
      </c>
      <c r="H954" s="36" t="s">
        <v>84</v>
      </c>
      <c r="I954" s="36" t="s">
        <v>79</v>
      </c>
    </row>
    <row r="955" spans="1:9" ht="14.4">
      <c r="A955" s="34">
        <v>2695</v>
      </c>
      <c r="B955" s="32" t="s">
        <v>362</v>
      </c>
      <c r="C955" s="34">
        <v>14943</v>
      </c>
      <c r="D955" s="34" t="s">
        <v>18</v>
      </c>
      <c r="E955" s="34">
        <v>8</v>
      </c>
      <c r="F955" s="35">
        <v>44544</v>
      </c>
      <c r="G955" s="35">
        <v>46369</v>
      </c>
      <c r="H955" s="34" t="s">
        <v>84</v>
      </c>
      <c r="I955" s="34" t="s">
        <v>79</v>
      </c>
    </row>
    <row r="956" spans="1:9" ht="14.4">
      <c r="A956" s="36">
        <v>2696</v>
      </c>
      <c r="B956" s="33" t="s">
        <v>362</v>
      </c>
      <c r="C956" s="36">
        <v>14944</v>
      </c>
      <c r="D956" s="36" t="s">
        <v>18</v>
      </c>
      <c r="E956" s="36">
        <v>5</v>
      </c>
      <c r="F956" s="37">
        <v>44643</v>
      </c>
      <c r="G956" s="37">
        <v>46468</v>
      </c>
      <c r="H956" s="36" t="s">
        <v>16</v>
      </c>
      <c r="I956" s="36" t="s">
        <v>79</v>
      </c>
    </row>
    <row r="957" spans="1:9" ht="14.4">
      <c r="A957" s="34">
        <v>2697</v>
      </c>
      <c r="B957" s="32" t="s">
        <v>362</v>
      </c>
      <c r="C957" s="34">
        <v>14945</v>
      </c>
      <c r="D957" s="34" t="s">
        <v>18</v>
      </c>
      <c r="E957" s="34">
        <v>5</v>
      </c>
      <c r="F957" s="35">
        <v>44265</v>
      </c>
      <c r="G957" s="35">
        <v>46090</v>
      </c>
      <c r="H957" s="34" t="s">
        <v>14</v>
      </c>
      <c r="I957" s="34" t="s">
        <v>79</v>
      </c>
    </row>
    <row r="958" spans="1:9" ht="14.4">
      <c r="A958" s="36">
        <v>2698</v>
      </c>
      <c r="B958" s="33" t="s">
        <v>362</v>
      </c>
      <c r="C958" s="36">
        <v>14946</v>
      </c>
      <c r="D958" s="36" t="s">
        <v>18</v>
      </c>
      <c r="E958" s="36">
        <v>7</v>
      </c>
      <c r="F958" s="37">
        <v>44265</v>
      </c>
      <c r="G958" s="37">
        <v>46090</v>
      </c>
      <c r="H958" s="36" t="s">
        <v>84</v>
      </c>
      <c r="I958" s="36" t="s">
        <v>79</v>
      </c>
    </row>
    <row r="959" spans="1:9" ht="14.4">
      <c r="A959" s="34">
        <v>2699</v>
      </c>
      <c r="B959" s="32" t="s">
        <v>360</v>
      </c>
      <c r="C959" s="34">
        <v>14948</v>
      </c>
      <c r="D959" s="34" t="s">
        <v>18</v>
      </c>
      <c r="E959" s="34">
        <v>5</v>
      </c>
      <c r="F959" s="35">
        <v>44298</v>
      </c>
      <c r="G959" s="35">
        <v>46123</v>
      </c>
      <c r="H959" s="34" t="s">
        <v>22</v>
      </c>
      <c r="I959" s="34" t="s">
        <v>79</v>
      </c>
    </row>
    <row r="960" spans="1:9" ht="14.4">
      <c r="A960" s="36">
        <v>2700</v>
      </c>
      <c r="B960" s="33" t="s">
        <v>360</v>
      </c>
      <c r="C960" s="36">
        <v>14949</v>
      </c>
      <c r="D960" s="36" t="s">
        <v>18</v>
      </c>
      <c r="E960" s="36">
        <v>5</v>
      </c>
      <c r="F960" s="37">
        <v>44298</v>
      </c>
      <c r="G960" s="37">
        <v>46123</v>
      </c>
      <c r="H960" s="36" t="s">
        <v>22</v>
      </c>
      <c r="I960" s="36" t="s">
        <v>79</v>
      </c>
    </row>
    <row r="961" spans="1:9" ht="14.4">
      <c r="A961" s="34">
        <v>2701</v>
      </c>
      <c r="B961" s="32" t="s">
        <v>360</v>
      </c>
      <c r="C961" s="34">
        <v>14950</v>
      </c>
      <c r="D961" s="34" t="s">
        <v>18</v>
      </c>
      <c r="E961" s="34">
        <v>5</v>
      </c>
      <c r="F961" s="35">
        <v>44298</v>
      </c>
      <c r="G961" s="35">
        <v>46123</v>
      </c>
      <c r="H961" s="34" t="s">
        <v>22</v>
      </c>
      <c r="I961" s="34" t="s">
        <v>79</v>
      </c>
    </row>
    <row r="962" spans="1:9" ht="14.4">
      <c r="A962" s="36">
        <v>2703</v>
      </c>
      <c r="B962" s="33" t="s">
        <v>363</v>
      </c>
      <c r="C962" s="36">
        <v>14952</v>
      </c>
      <c r="D962" s="36" t="s">
        <v>18</v>
      </c>
      <c r="E962" s="36">
        <v>36</v>
      </c>
      <c r="F962" s="37">
        <v>44237</v>
      </c>
      <c r="G962" s="37">
        <v>45578</v>
      </c>
      <c r="H962" s="36" t="s">
        <v>14</v>
      </c>
      <c r="I962" s="36" t="s">
        <v>79</v>
      </c>
    </row>
    <row r="963" spans="1:9" ht="14.4">
      <c r="A963" s="34">
        <v>2705</v>
      </c>
      <c r="B963" s="32" t="s">
        <v>362</v>
      </c>
      <c r="C963" s="34">
        <v>14958</v>
      </c>
      <c r="D963" s="34" t="s">
        <v>18</v>
      </c>
      <c r="E963" s="34">
        <v>10</v>
      </c>
      <c r="F963" s="35">
        <v>44265</v>
      </c>
      <c r="G963" s="35">
        <v>46090</v>
      </c>
      <c r="H963" s="34" t="s">
        <v>56</v>
      </c>
      <c r="I963" s="34" t="s">
        <v>79</v>
      </c>
    </row>
    <row r="964" spans="1:9" ht="14.4">
      <c r="A964" s="36">
        <v>2706</v>
      </c>
      <c r="B964" s="33" t="s">
        <v>364</v>
      </c>
      <c r="C964" s="36">
        <v>14960</v>
      </c>
      <c r="D964" s="36" t="s">
        <v>18</v>
      </c>
      <c r="E964" s="36">
        <v>1</v>
      </c>
      <c r="F964" s="37">
        <v>44299</v>
      </c>
      <c r="G964" s="37">
        <v>46124</v>
      </c>
      <c r="H964" s="36" t="s">
        <v>277</v>
      </c>
      <c r="I964" s="36" t="s">
        <v>79</v>
      </c>
    </row>
    <row r="965" spans="1:9" ht="14.4">
      <c r="A965" s="34">
        <v>2707</v>
      </c>
      <c r="B965" s="32" t="s">
        <v>133</v>
      </c>
      <c r="C965" s="34">
        <v>14961</v>
      </c>
      <c r="D965" s="34" t="s">
        <v>18</v>
      </c>
      <c r="E965" s="34">
        <v>3</v>
      </c>
      <c r="F965" s="35">
        <v>44342</v>
      </c>
      <c r="G965" s="35">
        <v>46167</v>
      </c>
      <c r="H965" s="34" t="s">
        <v>14</v>
      </c>
      <c r="I965" s="34" t="s">
        <v>79</v>
      </c>
    </row>
    <row r="966" spans="1:9" ht="14.4">
      <c r="A966" s="36">
        <v>2708</v>
      </c>
      <c r="B966" s="33" t="s">
        <v>365</v>
      </c>
      <c r="C966" s="36">
        <v>14963</v>
      </c>
      <c r="D966" s="36" t="s">
        <v>18</v>
      </c>
      <c r="E966" s="36">
        <v>2</v>
      </c>
      <c r="F966" s="37">
        <v>44309</v>
      </c>
      <c r="G966" s="37">
        <v>46134</v>
      </c>
      <c r="H966" s="36" t="s">
        <v>219</v>
      </c>
      <c r="I966" s="36" t="s">
        <v>79</v>
      </c>
    </row>
    <row r="967" spans="1:9" ht="14.4">
      <c r="A967" s="34">
        <v>2709</v>
      </c>
      <c r="B967" s="32" t="s">
        <v>366</v>
      </c>
      <c r="C967" s="34">
        <v>14964</v>
      </c>
      <c r="D967" s="34" t="s">
        <v>18</v>
      </c>
      <c r="E967" s="34">
        <v>4</v>
      </c>
      <c r="F967" s="35">
        <v>44341</v>
      </c>
      <c r="G967" s="35">
        <v>46166</v>
      </c>
      <c r="H967" s="34" t="s">
        <v>16</v>
      </c>
      <c r="I967" s="34" t="s">
        <v>79</v>
      </c>
    </row>
    <row r="968" spans="1:9" ht="14.4">
      <c r="A968" s="36">
        <v>2710</v>
      </c>
      <c r="B968" s="33" t="s">
        <v>367</v>
      </c>
      <c r="C968" s="36">
        <v>14965</v>
      </c>
      <c r="D968" s="36" t="s">
        <v>18</v>
      </c>
      <c r="E968" s="36">
        <v>8</v>
      </c>
      <c r="F968" s="37">
        <v>44294</v>
      </c>
      <c r="G968" s="37">
        <v>46119</v>
      </c>
      <c r="H968" s="36" t="s">
        <v>14</v>
      </c>
      <c r="I968" s="36" t="s">
        <v>79</v>
      </c>
    </row>
    <row r="969" spans="1:9" ht="14.4">
      <c r="A969" s="34">
        <v>2711</v>
      </c>
      <c r="B969" s="32" t="s">
        <v>368</v>
      </c>
      <c r="C969" s="34">
        <v>14966</v>
      </c>
      <c r="D969" s="34" t="s">
        <v>18</v>
      </c>
      <c r="E969" s="34">
        <v>3</v>
      </c>
      <c r="F969" s="35">
        <v>44242</v>
      </c>
      <c r="G969" s="35">
        <v>46067</v>
      </c>
      <c r="H969" s="34" t="s">
        <v>14</v>
      </c>
      <c r="I969" s="34" t="s">
        <v>79</v>
      </c>
    </row>
    <row r="970" spans="1:9" ht="14.4">
      <c r="A970" s="36">
        <v>2712</v>
      </c>
      <c r="B970" s="33" t="s">
        <v>368</v>
      </c>
      <c r="C970" s="36">
        <v>14967</v>
      </c>
      <c r="D970" s="36" t="s">
        <v>18</v>
      </c>
      <c r="E970" s="36">
        <v>13</v>
      </c>
      <c r="F970" s="37">
        <v>44242</v>
      </c>
      <c r="G970" s="37">
        <v>46067</v>
      </c>
      <c r="H970" s="36" t="s">
        <v>16</v>
      </c>
      <c r="I970" s="36" t="s">
        <v>79</v>
      </c>
    </row>
    <row r="971" spans="1:9" ht="14.4">
      <c r="A971" s="34">
        <v>2713</v>
      </c>
      <c r="B971" s="32" t="s">
        <v>368</v>
      </c>
      <c r="C971" s="34">
        <v>14968</v>
      </c>
      <c r="D971" s="34" t="s">
        <v>18</v>
      </c>
      <c r="E971" s="34">
        <v>16</v>
      </c>
      <c r="F971" s="35">
        <v>44242</v>
      </c>
      <c r="G971" s="35">
        <v>46067</v>
      </c>
      <c r="H971" s="34" t="s">
        <v>14</v>
      </c>
      <c r="I971" s="34" t="s">
        <v>79</v>
      </c>
    </row>
    <row r="972" spans="1:9" ht="14.4">
      <c r="A972" s="36">
        <v>2714</v>
      </c>
      <c r="B972" s="33" t="s">
        <v>368</v>
      </c>
      <c r="C972" s="36">
        <v>14969</v>
      </c>
      <c r="D972" s="36" t="s">
        <v>18</v>
      </c>
      <c r="E972" s="36">
        <v>47</v>
      </c>
      <c r="F972" s="37">
        <v>44270</v>
      </c>
      <c r="G972" s="37">
        <v>46095</v>
      </c>
      <c r="H972" s="36" t="s">
        <v>70</v>
      </c>
      <c r="I972" s="36" t="s">
        <v>79</v>
      </c>
    </row>
    <row r="973" spans="1:9" ht="14.4">
      <c r="A973" s="34">
        <v>2715</v>
      </c>
      <c r="B973" s="32" t="s">
        <v>369</v>
      </c>
      <c r="C973" s="34">
        <v>14971</v>
      </c>
      <c r="D973" s="34" t="s">
        <v>18</v>
      </c>
      <c r="E973" s="34">
        <v>10</v>
      </c>
      <c r="F973" s="35">
        <v>44236</v>
      </c>
      <c r="G973" s="35">
        <v>46061</v>
      </c>
      <c r="H973" s="34" t="s">
        <v>16</v>
      </c>
      <c r="I973" s="34" t="s">
        <v>79</v>
      </c>
    </row>
    <row r="974" spans="1:9" ht="14.4">
      <c r="A974" s="36">
        <v>2716</v>
      </c>
      <c r="B974" s="33" t="s">
        <v>369</v>
      </c>
      <c r="C974" s="36">
        <v>14972</v>
      </c>
      <c r="D974" s="36" t="s">
        <v>18</v>
      </c>
      <c r="E974" s="36">
        <v>5</v>
      </c>
      <c r="F974" s="37">
        <v>44236</v>
      </c>
      <c r="G974" s="37">
        <v>46061</v>
      </c>
      <c r="H974" s="36" t="s">
        <v>219</v>
      </c>
      <c r="I974" s="36" t="s">
        <v>79</v>
      </c>
    </row>
    <row r="975" spans="1:9" ht="14.4">
      <c r="A975" s="34">
        <v>2717</v>
      </c>
      <c r="B975" s="32" t="s">
        <v>369</v>
      </c>
      <c r="C975" s="34">
        <v>14973</v>
      </c>
      <c r="D975" s="34" t="s">
        <v>18</v>
      </c>
      <c r="E975" s="34">
        <v>23</v>
      </c>
      <c r="F975" s="35">
        <v>44236</v>
      </c>
      <c r="G975" s="35">
        <v>46061</v>
      </c>
      <c r="H975" s="34" t="s">
        <v>16</v>
      </c>
      <c r="I975" s="34" t="s">
        <v>79</v>
      </c>
    </row>
    <row r="976" spans="1:9" ht="14.4">
      <c r="A976" s="36">
        <v>2718</v>
      </c>
      <c r="B976" s="33" t="s">
        <v>369</v>
      </c>
      <c r="C976" s="36">
        <v>14974</v>
      </c>
      <c r="D976" s="36" t="s">
        <v>18</v>
      </c>
      <c r="E976" s="36">
        <v>3</v>
      </c>
      <c r="F976" s="37">
        <v>44236</v>
      </c>
      <c r="G976" s="37">
        <v>46061</v>
      </c>
      <c r="H976" s="36" t="s">
        <v>14</v>
      </c>
      <c r="I976" s="36" t="s">
        <v>79</v>
      </c>
    </row>
    <row r="977" spans="1:9" ht="14.4">
      <c r="A977" s="34">
        <v>2725</v>
      </c>
      <c r="B977" s="32" t="s">
        <v>368</v>
      </c>
      <c r="C977" s="34">
        <v>14985</v>
      </c>
      <c r="D977" s="34" t="s">
        <v>18</v>
      </c>
      <c r="E977" s="34">
        <v>8</v>
      </c>
      <c r="F977" s="35">
        <v>44252</v>
      </c>
      <c r="G977" s="35">
        <v>46077</v>
      </c>
      <c r="H977" s="34" t="s">
        <v>16</v>
      </c>
      <c r="I977" s="34" t="s">
        <v>79</v>
      </c>
    </row>
    <row r="978" spans="1:9" ht="14.4">
      <c r="A978" s="36">
        <v>2726</v>
      </c>
      <c r="B978" s="33" t="s">
        <v>370</v>
      </c>
      <c r="C978" s="36">
        <v>14986</v>
      </c>
      <c r="D978" s="36" t="s">
        <v>18</v>
      </c>
      <c r="E978" s="36">
        <v>2</v>
      </c>
      <c r="F978" s="37">
        <v>44252</v>
      </c>
      <c r="G978" s="37">
        <v>46077</v>
      </c>
      <c r="H978" s="36" t="s">
        <v>31</v>
      </c>
      <c r="I978" s="36" t="s">
        <v>79</v>
      </c>
    </row>
    <row r="979" spans="1:9" ht="14.4">
      <c r="A979" s="34">
        <v>2727</v>
      </c>
      <c r="B979" s="32" t="s">
        <v>370</v>
      </c>
      <c r="C979" s="34">
        <v>14987</v>
      </c>
      <c r="D979" s="34" t="s">
        <v>18</v>
      </c>
      <c r="E979" s="34">
        <v>6</v>
      </c>
      <c r="F979" s="35">
        <v>44252</v>
      </c>
      <c r="G979" s="35">
        <v>46077</v>
      </c>
      <c r="H979" s="34" t="s">
        <v>32</v>
      </c>
      <c r="I979" s="34" t="s">
        <v>79</v>
      </c>
    </row>
    <row r="980" spans="1:9" ht="14.4">
      <c r="A980" s="36">
        <v>2728</v>
      </c>
      <c r="B980" s="33" t="s">
        <v>370</v>
      </c>
      <c r="C980" s="36">
        <v>14988</v>
      </c>
      <c r="D980" s="36" t="s">
        <v>18</v>
      </c>
      <c r="E980" s="36">
        <v>2</v>
      </c>
      <c r="F980" s="37">
        <v>44252</v>
      </c>
      <c r="G980" s="37">
        <v>46077</v>
      </c>
      <c r="H980" s="36" t="s">
        <v>31</v>
      </c>
      <c r="I980" s="36" t="s">
        <v>79</v>
      </c>
    </row>
    <row r="981" spans="1:9" ht="14.4">
      <c r="A981" s="34">
        <v>2729</v>
      </c>
      <c r="B981" s="32" t="s">
        <v>371</v>
      </c>
      <c r="C981" s="34">
        <v>14990</v>
      </c>
      <c r="D981" s="34" t="s">
        <v>18</v>
      </c>
      <c r="E981" s="34">
        <v>7</v>
      </c>
      <c r="F981" s="35">
        <v>44231</v>
      </c>
      <c r="G981" s="35">
        <v>46056</v>
      </c>
      <c r="H981" s="34" t="s">
        <v>14</v>
      </c>
      <c r="I981" s="34" t="s">
        <v>79</v>
      </c>
    </row>
    <row r="982" spans="1:9" ht="14.4">
      <c r="A982" s="36">
        <v>2730</v>
      </c>
      <c r="B982" s="33" t="s">
        <v>358</v>
      </c>
      <c r="C982" s="36">
        <v>14991</v>
      </c>
      <c r="D982" s="36" t="s">
        <v>18</v>
      </c>
      <c r="E982" s="36">
        <v>24</v>
      </c>
      <c r="F982" s="37">
        <v>44239</v>
      </c>
      <c r="G982" s="37">
        <v>46064</v>
      </c>
      <c r="H982" s="36" t="s">
        <v>24</v>
      </c>
      <c r="I982" s="36" t="s">
        <v>79</v>
      </c>
    </row>
    <row r="983" spans="1:9" ht="14.4">
      <c r="A983" s="34">
        <v>2731</v>
      </c>
      <c r="B983" s="32" t="s">
        <v>372</v>
      </c>
      <c r="C983" s="34">
        <v>14992</v>
      </c>
      <c r="D983" s="34" t="s">
        <v>18</v>
      </c>
      <c r="E983" s="34">
        <v>15</v>
      </c>
      <c r="F983" s="35">
        <v>44253</v>
      </c>
      <c r="G983" s="35">
        <v>46078</v>
      </c>
      <c r="H983" s="34" t="s">
        <v>22</v>
      </c>
      <c r="I983" s="34" t="s">
        <v>79</v>
      </c>
    </row>
    <row r="984" spans="1:9" ht="14.4">
      <c r="A984" s="36">
        <v>2732</v>
      </c>
      <c r="B984" s="33" t="s">
        <v>372</v>
      </c>
      <c r="C984" s="36">
        <v>14993</v>
      </c>
      <c r="D984" s="36" t="s">
        <v>18</v>
      </c>
      <c r="E984" s="36">
        <v>10</v>
      </c>
      <c r="F984" s="37">
        <v>44253</v>
      </c>
      <c r="G984" s="37">
        <v>46078</v>
      </c>
      <c r="H984" s="36" t="s">
        <v>22</v>
      </c>
      <c r="I984" s="36" t="s">
        <v>79</v>
      </c>
    </row>
    <row r="985" spans="1:9" ht="14.4">
      <c r="A985" s="34">
        <v>2733</v>
      </c>
      <c r="B985" s="32" t="s">
        <v>373</v>
      </c>
      <c r="C985" s="34">
        <v>14994</v>
      </c>
      <c r="D985" s="34" t="s">
        <v>18</v>
      </c>
      <c r="E985" s="34">
        <v>39</v>
      </c>
      <c r="F985" s="35">
        <v>44309</v>
      </c>
      <c r="G985" s="35">
        <v>46134</v>
      </c>
      <c r="H985" s="34" t="s">
        <v>84</v>
      </c>
      <c r="I985" s="34" t="s">
        <v>79</v>
      </c>
    </row>
    <row r="986" spans="1:9" ht="14.4">
      <c r="A986" s="36">
        <v>2734</v>
      </c>
      <c r="B986" s="33" t="s">
        <v>374</v>
      </c>
      <c r="C986" s="36">
        <v>14995</v>
      </c>
      <c r="D986" s="36" t="s">
        <v>18</v>
      </c>
      <c r="E986" s="36">
        <v>8</v>
      </c>
      <c r="F986" s="37">
        <v>44239</v>
      </c>
      <c r="G986" s="37">
        <v>46064</v>
      </c>
      <c r="H986" s="36" t="s">
        <v>14</v>
      </c>
      <c r="I986" s="36" t="s">
        <v>79</v>
      </c>
    </row>
    <row r="987" spans="1:9" ht="14.4">
      <c r="A987" s="34">
        <v>2735</v>
      </c>
      <c r="B987" s="32" t="s">
        <v>267</v>
      </c>
      <c r="C987" s="34">
        <v>14997</v>
      </c>
      <c r="D987" s="34" t="s">
        <v>18</v>
      </c>
      <c r="E987" s="34">
        <v>4</v>
      </c>
      <c r="F987" s="35">
        <v>44299</v>
      </c>
      <c r="G987" s="35">
        <v>46124</v>
      </c>
      <c r="H987" s="34" t="s">
        <v>16</v>
      </c>
      <c r="I987" s="34" t="s">
        <v>79</v>
      </c>
    </row>
    <row r="988" spans="1:9" ht="14.4">
      <c r="A988" s="36">
        <v>2736</v>
      </c>
      <c r="B988" s="33" t="s">
        <v>375</v>
      </c>
      <c r="C988" s="36">
        <v>15001</v>
      </c>
      <c r="D988" s="36" t="s">
        <v>18</v>
      </c>
      <c r="E988" s="36">
        <v>54</v>
      </c>
      <c r="F988" s="37">
        <v>44299</v>
      </c>
      <c r="G988" s="37">
        <v>46124</v>
      </c>
      <c r="H988" s="36" t="s">
        <v>56</v>
      </c>
      <c r="I988" s="36" t="s">
        <v>79</v>
      </c>
    </row>
    <row r="989" spans="1:9" ht="14.4">
      <c r="A989" s="34">
        <v>2737</v>
      </c>
      <c r="B989" s="32" t="s">
        <v>376</v>
      </c>
      <c r="C989" s="34">
        <v>15002</v>
      </c>
      <c r="D989" s="34" t="s">
        <v>18</v>
      </c>
      <c r="E989" s="34">
        <v>2</v>
      </c>
      <c r="F989" s="35">
        <v>44309</v>
      </c>
      <c r="G989" s="35">
        <v>46134</v>
      </c>
      <c r="H989" s="34" t="s">
        <v>19</v>
      </c>
      <c r="I989" s="34" t="s">
        <v>79</v>
      </c>
    </row>
    <row r="990" spans="1:9" ht="14.4">
      <c r="A990" s="36">
        <v>2738</v>
      </c>
      <c r="B990" s="33" t="s">
        <v>308</v>
      </c>
      <c r="C990" s="36">
        <v>15003</v>
      </c>
      <c r="D990" s="36" t="s">
        <v>18</v>
      </c>
      <c r="E990" s="36">
        <v>9</v>
      </c>
      <c r="F990" s="37">
        <v>44299</v>
      </c>
      <c r="G990" s="37">
        <v>46124</v>
      </c>
      <c r="H990" s="36" t="s">
        <v>84</v>
      </c>
      <c r="I990" s="36" t="s">
        <v>79</v>
      </c>
    </row>
    <row r="991" spans="1:9" ht="14.4">
      <c r="A991" s="34">
        <v>2740</v>
      </c>
      <c r="B991" s="32" t="s">
        <v>377</v>
      </c>
      <c r="C991" s="34">
        <v>15005</v>
      </c>
      <c r="D991" s="34" t="s">
        <v>18</v>
      </c>
      <c r="E991" s="34">
        <v>3</v>
      </c>
      <c r="F991" s="35">
        <v>44560</v>
      </c>
      <c r="G991" s="35">
        <v>46385</v>
      </c>
      <c r="H991" s="34" t="s">
        <v>16</v>
      </c>
      <c r="I991" s="34" t="s">
        <v>79</v>
      </c>
    </row>
    <row r="992" spans="1:9" ht="14.4">
      <c r="A992" s="36">
        <v>2741</v>
      </c>
      <c r="B992" s="33" t="s">
        <v>377</v>
      </c>
      <c r="C992" s="36">
        <v>15006</v>
      </c>
      <c r="D992" s="36" t="s">
        <v>23</v>
      </c>
      <c r="E992" s="36">
        <v>3</v>
      </c>
      <c r="F992" s="37">
        <v>44762</v>
      </c>
      <c r="G992" s="37">
        <v>45126</v>
      </c>
      <c r="H992" s="36" t="s">
        <v>16</v>
      </c>
      <c r="I992" s="36" t="s">
        <v>79</v>
      </c>
    </row>
    <row r="993" spans="1:9" ht="14.4">
      <c r="A993" s="34">
        <v>2744</v>
      </c>
      <c r="B993" s="32" t="s">
        <v>378</v>
      </c>
      <c r="C993" s="34">
        <v>15009</v>
      </c>
      <c r="D993" s="34" t="s">
        <v>23</v>
      </c>
      <c r="E993" s="34">
        <v>4</v>
      </c>
      <c r="F993" s="35">
        <v>44655</v>
      </c>
      <c r="G993" s="35">
        <v>45019</v>
      </c>
      <c r="H993" s="34" t="s">
        <v>16</v>
      </c>
      <c r="I993" s="34" t="s">
        <v>79</v>
      </c>
    </row>
    <row r="994" spans="1:9" ht="14.4">
      <c r="A994" s="36">
        <v>2745</v>
      </c>
      <c r="B994" s="33" t="s">
        <v>378</v>
      </c>
      <c r="C994" s="36">
        <v>15010</v>
      </c>
      <c r="D994" s="36" t="s">
        <v>18</v>
      </c>
      <c r="E994" s="36">
        <v>4</v>
      </c>
      <c r="F994" s="37">
        <v>44299</v>
      </c>
      <c r="G994" s="37">
        <v>46124</v>
      </c>
      <c r="H994" s="36" t="s">
        <v>16</v>
      </c>
      <c r="I994" s="36" t="s">
        <v>79</v>
      </c>
    </row>
    <row r="995" spans="1:9" ht="14.4">
      <c r="A995" s="34">
        <v>2746</v>
      </c>
      <c r="B995" s="32" t="s">
        <v>378</v>
      </c>
      <c r="C995" s="34">
        <v>15011</v>
      </c>
      <c r="D995" s="34" t="s">
        <v>18</v>
      </c>
      <c r="E995" s="34">
        <v>10</v>
      </c>
      <c r="F995" s="35">
        <v>44299</v>
      </c>
      <c r="G995" s="35">
        <v>46124</v>
      </c>
      <c r="H995" s="34" t="s">
        <v>16</v>
      </c>
      <c r="I995" s="34" t="s">
        <v>79</v>
      </c>
    </row>
    <row r="996" spans="1:9" ht="14.4">
      <c r="A996" s="36">
        <v>2747</v>
      </c>
      <c r="B996" s="33" t="s">
        <v>379</v>
      </c>
      <c r="C996" s="36">
        <v>15012</v>
      </c>
      <c r="D996" s="36" t="s">
        <v>18</v>
      </c>
      <c r="E996" s="36">
        <v>5</v>
      </c>
      <c r="F996" s="37">
        <v>44309</v>
      </c>
      <c r="G996" s="37">
        <v>46134</v>
      </c>
      <c r="H996" s="36" t="s">
        <v>14</v>
      </c>
      <c r="I996" s="36" t="s">
        <v>79</v>
      </c>
    </row>
    <row r="997" spans="1:9" ht="14.4">
      <c r="A997" s="34">
        <v>2748</v>
      </c>
      <c r="B997" s="32" t="s">
        <v>380</v>
      </c>
      <c r="C997" s="34">
        <v>15013</v>
      </c>
      <c r="D997" s="34" t="s">
        <v>18</v>
      </c>
      <c r="E997" s="34">
        <v>12</v>
      </c>
      <c r="F997" s="35">
        <v>44270</v>
      </c>
      <c r="G997" s="35">
        <v>46095</v>
      </c>
      <c r="H997" s="34" t="s">
        <v>16</v>
      </c>
      <c r="I997" s="34" t="s">
        <v>79</v>
      </c>
    </row>
    <row r="998" spans="1:9" ht="14.4">
      <c r="A998" s="36">
        <v>2749</v>
      </c>
      <c r="B998" s="33" t="s">
        <v>380</v>
      </c>
      <c r="C998" s="36">
        <v>15014</v>
      </c>
      <c r="D998" s="36" t="s">
        <v>18</v>
      </c>
      <c r="E998" s="36">
        <v>6</v>
      </c>
      <c r="F998" s="37">
        <v>44270</v>
      </c>
      <c r="G998" s="37">
        <v>46095</v>
      </c>
      <c r="H998" s="36" t="s">
        <v>16</v>
      </c>
      <c r="I998" s="36" t="s">
        <v>79</v>
      </c>
    </row>
    <row r="999" spans="1:9" ht="14.4">
      <c r="A999" s="34">
        <v>2751</v>
      </c>
      <c r="B999" s="32" t="s">
        <v>307</v>
      </c>
      <c r="C999" s="34">
        <v>15019</v>
      </c>
      <c r="D999" s="34" t="s">
        <v>18</v>
      </c>
      <c r="E999" s="34">
        <v>4</v>
      </c>
      <c r="F999" s="35">
        <v>44308</v>
      </c>
      <c r="G999" s="35">
        <v>46133</v>
      </c>
      <c r="H999" s="34" t="s">
        <v>14</v>
      </c>
      <c r="I999" s="34" t="s">
        <v>79</v>
      </c>
    </row>
    <row r="1000" spans="1:9" ht="14.4">
      <c r="A1000" s="36">
        <v>2752</v>
      </c>
      <c r="B1000" s="33" t="s">
        <v>356</v>
      </c>
      <c r="C1000" s="36">
        <v>15021</v>
      </c>
      <c r="D1000" s="36" t="s">
        <v>18</v>
      </c>
      <c r="E1000" s="36">
        <v>1</v>
      </c>
      <c r="F1000" s="37">
        <v>44299</v>
      </c>
      <c r="G1000" s="37">
        <v>46124</v>
      </c>
      <c r="H1000" s="36" t="s">
        <v>19</v>
      </c>
      <c r="I1000" s="36" t="s">
        <v>79</v>
      </c>
    </row>
    <row r="1001" spans="1:9" ht="14.4">
      <c r="A1001" s="34">
        <v>2753</v>
      </c>
      <c r="B1001" s="32" t="s">
        <v>356</v>
      </c>
      <c r="C1001" s="34">
        <v>15022</v>
      </c>
      <c r="D1001" s="34" t="s">
        <v>18</v>
      </c>
      <c r="E1001" s="34">
        <v>2</v>
      </c>
      <c r="F1001" s="35">
        <v>44294</v>
      </c>
      <c r="G1001" s="35">
        <v>46119</v>
      </c>
      <c r="H1001" s="34" t="s">
        <v>19</v>
      </c>
      <c r="I1001" s="34" t="s">
        <v>79</v>
      </c>
    </row>
    <row r="1002" spans="1:9" ht="14.4">
      <c r="A1002" s="36">
        <v>2754</v>
      </c>
      <c r="B1002" s="33" t="s">
        <v>356</v>
      </c>
      <c r="C1002" s="36">
        <v>15023</v>
      </c>
      <c r="D1002" s="36" t="s">
        <v>18</v>
      </c>
      <c r="E1002" s="36">
        <v>2</v>
      </c>
      <c r="F1002" s="37">
        <v>44294</v>
      </c>
      <c r="G1002" s="37">
        <v>46119</v>
      </c>
      <c r="H1002" s="36" t="s">
        <v>19</v>
      </c>
      <c r="I1002" s="36" t="s">
        <v>79</v>
      </c>
    </row>
    <row r="1003" spans="1:9" ht="14.4">
      <c r="A1003" s="34">
        <v>2755</v>
      </c>
      <c r="B1003" s="32" t="s">
        <v>356</v>
      </c>
      <c r="C1003" s="34">
        <v>15024</v>
      </c>
      <c r="D1003" s="34" t="s">
        <v>18</v>
      </c>
      <c r="E1003" s="34">
        <v>1</v>
      </c>
      <c r="F1003" s="35">
        <v>44301</v>
      </c>
      <c r="G1003" s="35">
        <v>46126</v>
      </c>
      <c r="H1003" s="34" t="s">
        <v>19</v>
      </c>
      <c r="I1003" s="34" t="s">
        <v>79</v>
      </c>
    </row>
    <row r="1004" spans="1:9" ht="14.4">
      <c r="A1004" s="36">
        <v>2756</v>
      </c>
      <c r="B1004" s="33" t="s">
        <v>356</v>
      </c>
      <c r="C1004" s="36">
        <v>15025</v>
      </c>
      <c r="D1004" s="36" t="s">
        <v>18</v>
      </c>
      <c r="E1004" s="36">
        <v>1</v>
      </c>
      <c r="F1004" s="37">
        <v>44301</v>
      </c>
      <c r="G1004" s="37">
        <v>46126</v>
      </c>
      <c r="H1004" s="36" t="s">
        <v>19</v>
      </c>
      <c r="I1004" s="36" t="s">
        <v>79</v>
      </c>
    </row>
    <row r="1005" spans="1:9" ht="14.4">
      <c r="A1005" s="34">
        <v>2757</v>
      </c>
      <c r="B1005" s="32" t="s">
        <v>381</v>
      </c>
      <c r="C1005" s="34">
        <v>15026</v>
      </c>
      <c r="D1005" s="34" t="s">
        <v>18</v>
      </c>
      <c r="E1005" s="34">
        <v>3</v>
      </c>
      <c r="F1005" s="35">
        <v>44327</v>
      </c>
      <c r="G1005" s="35">
        <v>46152</v>
      </c>
      <c r="H1005" s="34" t="s">
        <v>14</v>
      </c>
      <c r="I1005" s="34" t="s">
        <v>79</v>
      </c>
    </row>
    <row r="1006" spans="1:9" ht="14.4">
      <c r="A1006" s="36">
        <v>2758</v>
      </c>
      <c r="B1006" s="33" t="s">
        <v>381</v>
      </c>
      <c r="C1006" s="36">
        <v>15027</v>
      </c>
      <c r="D1006" s="36" t="s">
        <v>18</v>
      </c>
      <c r="E1006" s="36">
        <v>3</v>
      </c>
      <c r="F1006" s="37">
        <v>44327</v>
      </c>
      <c r="G1006" s="37">
        <v>46152</v>
      </c>
      <c r="H1006" s="36" t="s">
        <v>14</v>
      </c>
      <c r="I1006" s="36" t="s">
        <v>79</v>
      </c>
    </row>
    <row r="1007" spans="1:9" ht="14.4">
      <c r="A1007" s="34">
        <v>2759</v>
      </c>
      <c r="B1007" s="32" t="s">
        <v>382</v>
      </c>
      <c r="C1007" s="34">
        <v>15029</v>
      </c>
      <c r="D1007" s="34" t="s">
        <v>18</v>
      </c>
      <c r="E1007" s="34">
        <v>21</v>
      </c>
      <c r="F1007" s="35">
        <v>44322</v>
      </c>
      <c r="G1007" s="35">
        <v>46147</v>
      </c>
      <c r="H1007" s="34" t="s">
        <v>16</v>
      </c>
      <c r="I1007" s="34" t="s">
        <v>79</v>
      </c>
    </row>
    <row r="1008" spans="1:9" ht="14.4">
      <c r="A1008" s="36">
        <v>2760</v>
      </c>
      <c r="B1008" s="33" t="s">
        <v>380</v>
      </c>
      <c r="C1008" s="36">
        <v>15032</v>
      </c>
      <c r="D1008" s="36" t="s">
        <v>18</v>
      </c>
      <c r="E1008" s="36">
        <v>12</v>
      </c>
      <c r="F1008" s="37">
        <v>44299</v>
      </c>
      <c r="G1008" s="37">
        <v>46124</v>
      </c>
      <c r="H1008" s="36" t="s">
        <v>14</v>
      </c>
      <c r="I1008" s="36" t="s">
        <v>79</v>
      </c>
    </row>
    <row r="1009" spans="1:9" ht="14.4">
      <c r="A1009" s="34">
        <v>2761</v>
      </c>
      <c r="B1009" s="32" t="s">
        <v>383</v>
      </c>
      <c r="C1009" s="34">
        <v>15033</v>
      </c>
      <c r="D1009" s="34" t="s">
        <v>18</v>
      </c>
      <c r="E1009" s="34">
        <v>33</v>
      </c>
      <c r="F1009" s="35">
        <v>44322</v>
      </c>
      <c r="G1009" s="35">
        <v>46147</v>
      </c>
      <c r="H1009" s="34" t="s">
        <v>24</v>
      </c>
      <c r="I1009" s="34" t="s">
        <v>79</v>
      </c>
    </row>
    <row r="1010" spans="1:9" ht="14.4">
      <c r="A1010" s="36">
        <v>2762</v>
      </c>
      <c r="B1010" s="33" t="s">
        <v>384</v>
      </c>
      <c r="C1010" s="36">
        <v>15034</v>
      </c>
      <c r="D1010" s="36" t="s">
        <v>18</v>
      </c>
      <c r="E1010" s="36">
        <v>2</v>
      </c>
      <c r="F1010" s="37">
        <v>44326</v>
      </c>
      <c r="G1010" s="37">
        <v>46151</v>
      </c>
      <c r="H1010" s="36" t="s">
        <v>14</v>
      </c>
      <c r="I1010" s="36" t="s">
        <v>79</v>
      </c>
    </row>
    <row r="1011" spans="1:9" ht="14.4">
      <c r="A1011" s="34">
        <v>2763</v>
      </c>
      <c r="B1011" s="32" t="s">
        <v>385</v>
      </c>
      <c r="C1011" s="34">
        <v>15036</v>
      </c>
      <c r="D1011" s="34" t="s">
        <v>18</v>
      </c>
      <c r="E1011" s="34">
        <v>4</v>
      </c>
      <c r="F1011" s="35">
        <v>44309</v>
      </c>
      <c r="G1011" s="35">
        <v>46134</v>
      </c>
      <c r="H1011" s="34" t="s">
        <v>70</v>
      </c>
      <c r="I1011" s="34" t="s">
        <v>79</v>
      </c>
    </row>
    <row r="1012" spans="1:9" ht="14.4">
      <c r="A1012" s="36">
        <v>2764</v>
      </c>
      <c r="B1012" s="33" t="s">
        <v>385</v>
      </c>
      <c r="C1012" s="36">
        <v>15037</v>
      </c>
      <c r="D1012" s="36" t="s">
        <v>18</v>
      </c>
      <c r="E1012" s="36">
        <v>2</v>
      </c>
      <c r="F1012" s="37">
        <v>44309</v>
      </c>
      <c r="G1012" s="37">
        <v>46134</v>
      </c>
      <c r="H1012" s="36" t="s">
        <v>14</v>
      </c>
      <c r="I1012" s="36" t="s">
        <v>79</v>
      </c>
    </row>
    <row r="1013" spans="1:9" ht="14.4">
      <c r="A1013" s="34">
        <v>2765</v>
      </c>
      <c r="B1013" s="32" t="s">
        <v>386</v>
      </c>
      <c r="C1013" s="34">
        <v>15038</v>
      </c>
      <c r="D1013" s="34" t="s">
        <v>18</v>
      </c>
      <c r="E1013" s="34">
        <v>2</v>
      </c>
      <c r="F1013" s="35">
        <v>44739</v>
      </c>
      <c r="G1013" s="35">
        <v>46564</v>
      </c>
      <c r="H1013" s="34" t="s">
        <v>84</v>
      </c>
      <c r="I1013" s="34" t="s">
        <v>79</v>
      </c>
    </row>
    <row r="1014" spans="1:9" ht="14.4">
      <c r="A1014" s="36">
        <v>2766</v>
      </c>
      <c r="B1014" s="33" t="s">
        <v>387</v>
      </c>
      <c r="C1014" s="36">
        <v>15042</v>
      </c>
      <c r="D1014" s="36" t="s">
        <v>18</v>
      </c>
      <c r="E1014" s="36">
        <v>63</v>
      </c>
      <c r="F1014" s="37">
        <v>44454</v>
      </c>
      <c r="G1014" s="37">
        <v>46279</v>
      </c>
      <c r="H1014" s="36" t="s">
        <v>31</v>
      </c>
      <c r="I1014" s="36" t="s">
        <v>79</v>
      </c>
    </row>
    <row r="1015" spans="1:9" ht="14.4">
      <c r="A1015" s="34">
        <v>2767</v>
      </c>
      <c r="B1015" s="32" t="s">
        <v>265</v>
      </c>
      <c r="C1015" s="34">
        <v>15043</v>
      </c>
      <c r="D1015" s="34" t="s">
        <v>18</v>
      </c>
      <c r="E1015" s="34">
        <v>59</v>
      </c>
      <c r="F1015" s="35">
        <v>44592</v>
      </c>
      <c r="G1015" s="35">
        <v>46417</v>
      </c>
      <c r="H1015" s="34" t="s">
        <v>16</v>
      </c>
      <c r="I1015" s="34" t="s">
        <v>79</v>
      </c>
    </row>
    <row r="1016" spans="1:9" ht="14.4">
      <c r="A1016" s="36">
        <v>2768</v>
      </c>
      <c r="B1016" s="33" t="s">
        <v>111</v>
      </c>
      <c r="C1016" s="36">
        <v>15046</v>
      </c>
      <c r="D1016" s="36" t="s">
        <v>18</v>
      </c>
      <c r="E1016" s="36">
        <v>1</v>
      </c>
      <c r="F1016" s="37">
        <v>44515</v>
      </c>
      <c r="G1016" s="37">
        <v>46340</v>
      </c>
      <c r="H1016" s="36" t="s">
        <v>16</v>
      </c>
      <c r="I1016" s="36" t="s">
        <v>79</v>
      </c>
    </row>
    <row r="1017" spans="1:9" ht="14.4">
      <c r="A1017" s="34">
        <v>2769</v>
      </c>
      <c r="B1017" s="32" t="s">
        <v>388</v>
      </c>
      <c r="C1017" s="34">
        <v>15047</v>
      </c>
      <c r="D1017" s="34" t="s">
        <v>18</v>
      </c>
      <c r="E1017" s="34">
        <v>4</v>
      </c>
      <c r="F1017" s="35">
        <v>44769</v>
      </c>
      <c r="G1017" s="35">
        <v>46594</v>
      </c>
      <c r="H1017" s="34" t="s">
        <v>14</v>
      </c>
      <c r="I1017" s="34" t="s">
        <v>79</v>
      </c>
    </row>
    <row r="1018" spans="1:9" ht="14.4">
      <c r="A1018" s="36">
        <v>2770</v>
      </c>
      <c r="B1018" s="33" t="s">
        <v>388</v>
      </c>
      <c r="C1018" s="36">
        <v>15049</v>
      </c>
      <c r="D1018" s="36" t="s">
        <v>18</v>
      </c>
      <c r="E1018" s="36">
        <v>4</v>
      </c>
      <c r="F1018" s="37">
        <v>44769</v>
      </c>
      <c r="G1018" s="37">
        <v>46594</v>
      </c>
      <c r="H1018" s="36" t="s">
        <v>14</v>
      </c>
      <c r="I1018" s="36" t="s">
        <v>79</v>
      </c>
    </row>
    <row r="1019" spans="1:9" ht="14.4">
      <c r="A1019" s="34">
        <v>2771</v>
      </c>
      <c r="B1019" s="32" t="s">
        <v>389</v>
      </c>
      <c r="C1019" s="34">
        <v>15053</v>
      </c>
      <c r="D1019" s="34" t="s">
        <v>18</v>
      </c>
      <c r="E1019" s="34">
        <v>23</v>
      </c>
      <c r="F1019" s="35">
        <v>44566</v>
      </c>
      <c r="G1019" s="35">
        <v>46391</v>
      </c>
      <c r="H1019" s="34" t="s">
        <v>84</v>
      </c>
      <c r="I1019" s="34" t="s">
        <v>79</v>
      </c>
    </row>
    <row r="1020" spans="1:9" ht="14.4">
      <c r="A1020" s="36">
        <v>2772</v>
      </c>
      <c r="B1020" s="33" t="s">
        <v>389</v>
      </c>
      <c r="C1020" s="36">
        <v>15054</v>
      </c>
      <c r="D1020" s="36" t="s">
        <v>18</v>
      </c>
      <c r="E1020" s="36">
        <v>10</v>
      </c>
      <c r="F1020" s="37">
        <v>44566</v>
      </c>
      <c r="G1020" s="37">
        <v>46391</v>
      </c>
      <c r="H1020" s="36" t="s">
        <v>84</v>
      </c>
      <c r="I1020" s="36" t="s">
        <v>79</v>
      </c>
    </row>
    <row r="1021" spans="1:9" ht="14.4">
      <c r="A1021" s="34">
        <v>2773</v>
      </c>
      <c r="B1021" s="32" t="s">
        <v>389</v>
      </c>
      <c r="C1021" s="34">
        <v>15055</v>
      </c>
      <c r="D1021" s="34" t="s">
        <v>18</v>
      </c>
      <c r="E1021" s="34">
        <v>28</v>
      </c>
      <c r="F1021" s="35">
        <v>44566</v>
      </c>
      <c r="G1021" s="35">
        <v>46391</v>
      </c>
      <c r="H1021" s="34" t="s">
        <v>84</v>
      </c>
      <c r="I1021" s="34" t="s">
        <v>79</v>
      </c>
    </row>
    <row r="1022" spans="1:9" ht="14.4">
      <c r="A1022" s="36">
        <v>2774</v>
      </c>
      <c r="B1022" s="33" t="s">
        <v>389</v>
      </c>
      <c r="C1022" s="36">
        <v>15056</v>
      </c>
      <c r="D1022" s="36" t="s">
        <v>18</v>
      </c>
      <c r="E1022" s="36">
        <v>2</v>
      </c>
      <c r="F1022" s="37">
        <v>44566</v>
      </c>
      <c r="G1022" s="37">
        <v>46391</v>
      </c>
      <c r="H1022" s="36" t="s">
        <v>84</v>
      </c>
      <c r="I1022" s="36" t="s">
        <v>79</v>
      </c>
    </row>
    <row r="1023" spans="1:9" ht="14.4">
      <c r="A1023" s="34">
        <v>2775</v>
      </c>
      <c r="B1023" s="32" t="s">
        <v>389</v>
      </c>
      <c r="C1023" s="34">
        <v>15057</v>
      </c>
      <c r="D1023" s="34" t="s">
        <v>18</v>
      </c>
      <c r="E1023" s="34">
        <v>2</v>
      </c>
      <c r="F1023" s="35">
        <v>44566</v>
      </c>
      <c r="G1023" s="35">
        <v>46391</v>
      </c>
      <c r="H1023" s="34" t="s">
        <v>84</v>
      </c>
      <c r="I1023" s="34" t="s">
        <v>79</v>
      </c>
    </row>
    <row r="1024" spans="1:9" ht="14.4">
      <c r="A1024" s="36">
        <v>2776</v>
      </c>
      <c r="B1024" s="33" t="s">
        <v>233</v>
      </c>
      <c r="C1024" s="36">
        <v>15058</v>
      </c>
      <c r="D1024" s="36" t="s">
        <v>18</v>
      </c>
      <c r="E1024" s="36">
        <v>8</v>
      </c>
      <c r="F1024" s="37">
        <v>44552</v>
      </c>
      <c r="G1024" s="37">
        <v>46377</v>
      </c>
      <c r="H1024" s="36" t="s">
        <v>31</v>
      </c>
      <c r="I1024" s="36" t="s">
        <v>79</v>
      </c>
    </row>
    <row r="1025" spans="1:9" ht="14.4">
      <c r="A1025" s="34">
        <v>2777</v>
      </c>
      <c r="B1025" s="32" t="s">
        <v>390</v>
      </c>
      <c r="C1025" s="34">
        <v>15059</v>
      </c>
      <c r="D1025" s="34" t="s">
        <v>23</v>
      </c>
      <c r="E1025" s="34">
        <v>4</v>
      </c>
      <c r="F1025" s="35">
        <v>44796</v>
      </c>
      <c r="G1025" s="35">
        <v>45160</v>
      </c>
      <c r="H1025" s="34" t="s">
        <v>16</v>
      </c>
      <c r="I1025" s="34" t="s">
        <v>79</v>
      </c>
    </row>
    <row r="1026" spans="1:9" ht="14.4">
      <c r="A1026" s="36">
        <v>2778</v>
      </c>
      <c r="B1026" s="33" t="s">
        <v>391</v>
      </c>
      <c r="C1026" s="36">
        <v>15062</v>
      </c>
      <c r="D1026" s="36" t="s">
        <v>18</v>
      </c>
      <c r="E1026" s="36">
        <v>10</v>
      </c>
      <c r="F1026" s="37">
        <v>44449</v>
      </c>
      <c r="G1026" s="37">
        <v>46274</v>
      </c>
      <c r="H1026" s="36" t="s">
        <v>16</v>
      </c>
      <c r="I1026" s="36" t="s">
        <v>79</v>
      </c>
    </row>
    <row r="1027" spans="1:9" ht="14.4">
      <c r="A1027" s="34">
        <v>2779</v>
      </c>
      <c r="B1027" s="32" t="s">
        <v>392</v>
      </c>
      <c r="C1027" s="34">
        <v>15063</v>
      </c>
      <c r="D1027" s="34" t="s">
        <v>18</v>
      </c>
      <c r="E1027" s="34">
        <v>5</v>
      </c>
      <c r="F1027" s="35">
        <v>44592</v>
      </c>
      <c r="G1027" s="35">
        <v>46417</v>
      </c>
      <c r="H1027" s="34" t="s">
        <v>16</v>
      </c>
      <c r="I1027" s="34" t="s">
        <v>79</v>
      </c>
    </row>
    <row r="1028" spans="1:9" ht="14.4">
      <c r="A1028" s="36">
        <v>2780</v>
      </c>
      <c r="B1028" s="33" t="s">
        <v>392</v>
      </c>
      <c r="C1028" s="36">
        <v>15064</v>
      </c>
      <c r="D1028" s="36" t="s">
        <v>18</v>
      </c>
      <c r="E1028" s="36">
        <v>2</v>
      </c>
      <c r="F1028" s="37">
        <v>44592</v>
      </c>
      <c r="G1028" s="37">
        <v>46417</v>
      </c>
      <c r="H1028" s="36" t="s">
        <v>16</v>
      </c>
      <c r="I1028" s="36" t="s">
        <v>79</v>
      </c>
    </row>
    <row r="1029" spans="1:9" ht="14.4">
      <c r="A1029" s="34">
        <v>2781</v>
      </c>
      <c r="B1029" s="32" t="s">
        <v>392</v>
      </c>
      <c r="C1029" s="34">
        <v>15065</v>
      </c>
      <c r="D1029" s="34" t="s">
        <v>18</v>
      </c>
      <c r="E1029" s="34">
        <v>3</v>
      </c>
      <c r="F1029" s="35">
        <v>44592</v>
      </c>
      <c r="G1029" s="35">
        <v>46417</v>
      </c>
      <c r="H1029" s="34" t="s">
        <v>16</v>
      </c>
      <c r="I1029" s="34" t="s">
        <v>79</v>
      </c>
    </row>
    <row r="1030" spans="1:9" ht="14.4">
      <c r="A1030" s="36">
        <v>2782</v>
      </c>
      <c r="B1030" s="33" t="s">
        <v>392</v>
      </c>
      <c r="C1030" s="36">
        <v>15066</v>
      </c>
      <c r="D1030" s="36" t="s">
        <v>23</v>
      </c>
      <c r="E1030" s="36">
        <v>1</v>
      </c>
      <c r="F1030" s="37">
        <v>44592</v>
      </c>
      <c r="G1030" s="37">
        <v>44956</v>
      </c>
      <c r="H1030" s="36" t="s">
        <v>14</v>
      </c>
      <c r="I1030" s="36" t="s">
        <v>79</v>
      </c>
    </row>
    <row r="1031" spans="1:9" ht="14.4">
      <c r="A1031" s="34">
        <v>2784</v>
      </c>
      <c r="B1031" s="32" t="s">
        <v>393</v>
      </c>
      <c r="C1031" s="34">
        <v>15068</v>
      </c>
      <c r="D1031" s="34" t="s">
        <v>23</v>
      </c>
      <c r="E1031" s="34">
        <v>2</v>
      </c>
      <c r="F1031" s="35">
        <v>44624</v>
      </c>
      <c r="G1031" s="35">
        <v>44988</v>
      </c>
      <c r="H1031" s="34" t="s">
        <v>16</v>
      </c>
      <c r="I1031" s="34" t="s">
        <v>79</v>
      </c>
    </row>
    <row r="1032" spans="1:9" ht="14.4">
      <c r="A1032" s="36">
        <v>2785</v>
      </c>
      <c r="B1032" s="33" t="s">
        <v>394</v>
      </c>
      <c r="C1032" s="36">
        <v>15069</v>
      </c>
      <c r="D1032" s="36" t="s">
        <v>18</v>
      </c>
      <c r="E1032" s="36">
        <v>4</v>
      </c>
      <c r="F1032" s="37">
        <v>44461</v>
      </c>
      <c r="G1032" s="37">
        <v>46286</v>
      </c>
      <c r="H1032" s="36" t="s">
        <v>16</v>
      </c>
      <c r="I1032" s="36" t="s">
        <v>79</v>
      </c>
    </row>
    <row r="1033" spans="1:9" ht="14.4">
      <c r="A1033" s="34">
        <v>2786</v>
      </c>
      <c r="B1033" s="32" t="s">
        <v>375</v>
      </c>
      <c r="C1033" s="34">
        <v>15070</v>
      </c>
      <c r="D1033" s="34" t="s">
        <v>18</v>
      </c>
      <c r="E1033" s="34">
        <v>54</v>
      </c>
      <c r="F1033" s="35">
        <v>44677</v>
      </c>
      <c r="G1033" s="35">
        <v>46502</v>
      </c>
      <c r="H1033" s="34" t="s">
        <v>24</v>
      </c>
      <c r="I1033" s="34" t="s">
        <v>79</v>
      </c>
    </row>
    <row r="1034" spans="1:9" ht="14.4">
      <c r="A1034" s="36">
        <v>2787</v>
      </c>
      <c r="B1034" s="33" t="s">
        <v>395</v>
      </c>
      <c r="C1034" s="36">
        <v>15071</v>
      </c>
      <c r="D1034" s="36" t="s">
        <v>18</v>
      </c>
      <c r="E1034" s="36">
        <v>50</v>
      </c>
      <c r="F1034" s="37">
        <v>44560</v>
      </c>
      <c r="G1034" s="37">
        <v>46385</v>
      </c>
      <c r="H1034" s="36" t="s">
        <v>59</v>
      </c>
      <c r="I1034" s="36" t="s">
        <v>79</v>
      </c>
    </row>
    <row r="1035" spans="1:9" ht="14.4">
      <c r="A1035" s="34">
        <v>2788</v>
      </c>
      <c r="B1035" s="32" t="s">
        <v>389</v>
      </c>
      <c r="C1035" s="34">
        <v>15075</v>
      </c>
      <c r="D1035" s="34" t="s">
        <v>18</v>
      </c>
      <c r="E1035" s="34">
        <v>6</v>
      </c>
      <c r="F1035" s="35">
        <v>44566</v>
      </c>
      <c r="G1035" s="35">
        <v>46391</v>
      </c>
      <c r="H1035" s="34" t="s">
        <v>84</v>
      </c>
      <c r="I1035" s="34" t="s">
        <v>79</v>
      </c>
    </row>
    <row r="1036" spans="1:9" ht="14.4">
      <c r="A1036" s="36">
        <v>2789</v>
      </c>
      <c r="B1036" s="33" t="s">
        <v>389</v>
      </c>
      <c r="C1036" s="36">
        <v>15076</v>
      </c>
      <c r="D1036" s="36" t="s">
        <v>18</v>
      </c>
      <c r="E1036" s="36">
        <v>2</v>
      </c>
      <c r="F1036" s="37">
        <v>44566</v>
      </c>
      <c r="G1036" s="37">
        <v>46391</v>
      </c>
      <c r="H1036" s="36" t="s">
        <v>84</v>
      </c>
      <c r="I1036" s="36" t="s">
        <v>79</v>
      </c>
    </row>
    <row r="1037" spans="1:9" ht="14.4">
      <c r="A1037" s="34">
        <v>2790</v>
      </c>
      <c r="B1037" s="32" t="s">
        <v>389</v>
      </c>
      <c r="C1037" s="34">
        <v>15077</v>
      </c>
      <c r="D1037" s="34" t="s">
        <v>18</v>
      </c>
      <c r="E1037" s="34">
        <v>12</v>
      </c>
      <c r="F1037" s="35">
        <v>44566</v>
      </c>
      <c r="G1037" s="35">
        <v>46391</v>
      </c>
      <c r="H1037" s="34" t="s">
        <v>84</v>
      </c>
      <c r="I1037" s="34" t="s">
        <v>79</v>
      </c>
    </row>
    <row r="1038" spans="1:9" ht="14.4">
      <c r="A1038" s="36">
        <v>2791</v>
      </c>
      <c r="B1038" s="33" t="s">
        <v>396</v>
      </c>
      <c r="C1038" s="36">
        <v>15081</v>
      </c>
      <c r="D1038" s="36" t="s">
        <v>18</v>
      </c>
      <c r="E1038" s="36">
        <v>5</v>
      </c>
      <c r="F1038" s="37">
        <v>44775</v>
      </c>
      <c r="G1038" s="37">
        <v>46600</v>
      </c>
      <c r="H1038" s="36" t="s">
        <v>26</v>
      </c>
      <c r="I1038" s="36" t="s">
        <v>79</v>
      </c>
    </row>
    <row r="1039" spans="1:9" ht="14.4">
      <c r="A1039" s="34">
        <v>2792</v>
      </c>
      <c r="B1039" s="32" t="s">
        <v>397</v>
      </c>
      <c r="C1039" s="34">
        <v>15082</v>
      </c>
      <c r="D1039" s="34" t="s">
        <v>18</v>
      </c>
      <c r="E1039" s="34">
        <v>4</v>
      </c>
      <c r="F1039" s="35">
        <v>44545</v>
      </c>
      <c r="G1039" s="35">
        <v>46370</v>
      </c>
      <c r="H1039" s="34" t="s">
        <v>59</v>
      </c>
      <c r="I1039" s="34" t="s">
        <v>79</v>
      </c>
    </row>
    <row r="1040" spans="1:9" ht="14.4">
      <c r="A1040" s="36">
        <v>2795</v>
      </c>
      <c r="B1040" s="33" t="s">
        <v>398</v>
      </c>
      <c r="C1040" s="36">
        <v>15090</v>
      </c>
      <c r="D1040" s="36" t="s">
        <v>18</v>
      </c>
      <c r="E1040" s="36">
        <v>10</v>
      </c>
      <c r="F1040" s="37">
        <v>44649</v>
      </c>
      <c r="G1040" s="37">
        <v>46474</v>
      </c>
      <c r="H1040" s="36" t="s">
        <v>84</v>
      </c>
      <c r="I1040" s="36" t="s">
        <v>79</v>
      </c>
    </row>
    <row r="1041" spans="1:9" ht="14.4">
      <c r="A1041" s="34">
        <v>2796</v>
      </c>
      <c r="B1041" s="32" t="s">
        <v>398</v>
      </c>
      <c r="C1041" s="34">
        <v>15091</v>
      </c>
      <c r="D1041" s="34" t="s">
        <v>18</v>
      </c>
      <c r="E1041" s="34">
        <v>22</v>
      </c>
      <c r="F1041" s="35">
        <v>44649</v>
      </c>
      <c r="G1041" s="35">
        <v>46474</v>
      </c>
      <c r="H1041" s="34" t="s">
        <v>84</v>
      </c>
      <c r="I1041" s="34" t="s">
        <v>79</v>
      </c>
    </row>
    <row r="1042" spans="1:9" ht="14.4">
      <c r="A1042" s="36">
        <v>2798</v>
      </c>
      <c r="B1042" s="33" t="s">
        <v>351</v>
      </c>
      <c r="C1042" s="36">
        <v>15094</v>
      </c>
      <c r="D1042" s="36" t="s">
        <v>18</v>
      </c>
      <c r="E1042" s="36">
        <v>4</v>
      </c>
      <c r="F1042" s="37">
        <v>44467</v>
      </c>
      <c r="G1042" s="37">
        <v>46292</v>
      </c>
      <c r="H1042" s="36" t="s">
        <v>14</v>
      </c>
      <c r="I1042" s="36" t="s">
        <v>79</v>
      </c>
    </row>
    <row r="1043" spans="1:9" ht="14.4">
      <c r="A1043" s="34">
        <v>2799</v>
      </c>
      <c r="B1043" s="32" t="s">
        <v>304</v>
      </c>
      <c r="C1043" s="34">
        <v>15096</v>
      </c>
      <c r="D1043" s="34" t="s">
        <v>23</v>
      </c>
      <c r="E1043" s="34">
        <v>4</v>
      </c>
      <c r="F1043" s="35">
        <v>44684</v>
      </c>
      <c r="G1043" s="35">
        <v>45048</v>
      </c>
      <c r="H1043" s="34" t="s">
        <v>22</v>
      </c>
      <c r="I1043" s="34" t="s">
        <v>79</v>
      </c>
    </row>
    <row r="1044" spans="1:9" ht="14.4">
      <c r="A1044" s="36">
        <v>2800</v>
      </c>
      <c r="B1044" s="33" t="s">
        <v>304</v>
      </c>
      <c r="C1044" s="36">
        <v>15097</v>
      </c>
      <c r="D1044" s="36" t="s">
        <v>23</v>
      </c>
      <c r="E1044" s="36">
        <v>4</v>
      </c>
      <c r="F1044" s="37">
        <v>44684</v>
      </c>
      <c r="G1044" s="37">
        <v>45048</v>
      </c>
      <c r="H1044" s="36" t="s">
        <v>22</v>
      </c>
      <c r="I1044" s="36" t="s">
        <v>79</v>
      </c>
    </row>
    <row r="1045" spans="1:9" ht="14.4">
      <c r="A1045" s="34">
        <v>2802</v>
      </c>
      <c r="B1045" s="32" t="s">
        <v>394</v>
      </c>
      <c r="C1045" s="34">
        <v>15102</v>
      </c>
      <c r="D1045" s="34" t="s">
        <v>18</v>
      </c>
      <c r="E1045" s="34">
        <v>4</v>
      </c>
      <c r="F1045" s="35">
        <v>44461</v>
      </c>
      <c r="G1045" s="35">
        <v>46286</v>
      </c>
      <c r="H1045" s="34" t="s">
        <v>14</v>
      </c>
      <c r="I1045" s="34" t="s">
        <v>79</v>
      </c>
    </row>
    <row r="1046" spans="1:9" ht="14.4">
      <c r="A1046" s="36">
        <v>2803</v>
      </c>
      <c r="B1046" s="33" t="s">
        <v>394</v>
      </c>
      <c r="C1046" s="36">
        <v>15103</v>
      </c>
      <c r="D1046" s="36" t="s">
        <v>18</v>
      </c>
      <c r="E1046" s="36">
        <v>4</v>
      </c>
      <c r="F1046" s="37">
        <v>44461</v>
      </c>
      <c r="G1046" s="37">
        <v>46286</v>
      </c>
      <c r="H1046" s="36" t="s">
        <v>14</v>
      </c>
      <c r="I1046" s="36" t="s">
        <v>79</v>
      </c>
    </row>
    <row r="1047" spans="1:9" ht="14.4">
      <c r="A1047" s="34">
        <v>2804</v>
      </c>
      <c r="B1047" s="32" t="s">
        <v>399</v>
      </c>
      <c r="C1047" s="34">
        <v>15104</v>
      </c>
      <c r="D1047" s="34" t="s">
        <v>18</v>
      </c>
      <c r="E1047" s="34">
        <v>54</v>
      </c>
      <c r="F1047" s="35">
        <v>44523</v>
      </c>
      <c r="G1047" s="35">
        <v>46348</v>
      </c>
      <c r="H1047" s="34" t="s">
        <v>32</v>
      </c>
      <c r="I1047" s="34" t="s">
        <v>79</v>
      </c>
    </row>
    <row r="1048" spans="1:9" ht="14.4">
      <c r="A1048" s="36">
        <v>2805</v>
      </c>
      <c r="B1048" s="33" t="s">
        <v>399</v>
      </c>
      <c r="C1048" s="36">
        <v>15105</v>
      </c>
      <c r="D1048" s="36" t="s">
        <v>18</v>
      </c>
      <c r="E1048" s="36">
        <v>54</v>
      </c>
      <c r="F1048" s="37">
        <v>44523</v>
      </c>
      <c r="G1048" s="37">
        <v>46348</v>
      </c>
      <c r="H1048" s="36" t="s">
        <v>32</v>
      </c>
      <c r="I1048" s="36" t="s">
        <v>79</v>
      </c>
    </row>
    <row r="1049" spans="1:9" ht="14.4">
      <c r="A1049" s="34">
        <v>2806</v>
      </c>
      <c r="B1049" s="32" t="s">
        <v>400</v>
      </c>
      <c r="C1049" s="34">
        <v>15106</v>
      </c>
      <c r="D1049" s="34" t="s">
        <v>18</v>
      </c>
      <c r="E1049" s="34">
        <v>56</v>
      </c>
      <c r="F1049" s="35">
        <v>44523</v>
      </c>
      <c r="G1049" s="35">
        <v>46348</v>
      </c>
      <c r="H1049" s="34" t="s">
        <v>32</v>
      </c>
      <c r="I1049" s="34" t="s">
        <v>79</v>
      </c>
    </row>
    <row r="1050" spans="1:9" ht="14.4">
      <c r="A1050" s="36">
        <v>2807</v>
      </c>
      <c r="B1050" s="33" t="s">
        <v>400</v>
      </c>
      <c r="C1050" s="36">
        <v>15107</v>
      </c>
      <c r="D1050" s="36" t="s">
        <v>18</v>
      </c>
      <c r="E1050" s="36">
        <v>36</v>
      </c>
      <c r="F1050" s="37">
        <v>44523</v>
      </c>
      <c r="G1050" s="37">
        <v>46348</v>
      </c>
      <c r="H1050" s="36" t="s">
        <v>32</v>
      </c>
      <c r="I1050" s="36" t="s">
        <v>79</v>
      </c>
    </row>
    <row r="1051" spans="1:9" ht="14.4">
      <c r="A1051" s="34">
        <v>2808</v>
      </c>
      <c r="B1051" s="32" t="s">
        <v>245</v>
      </c>
      <c r="C1051" s="34">
        <v>15108</v>
      </c>
      <c r="D1051" s="34" t="s">
        <v>13</v>
      </c>
      <c r="E1051" s="34">
        <v>2</v>
      </c>
      <c r="F1051" s="35">
        <v>44776</v>
      </c>
      <c r="G1051" s="35">
        <v>51013</v>
      </c>
      <c r="H1051" s="34" t="s">
        <v>16</v>
      </c>
      <c r="I1051" s="34" t="s">
        <v>79</v>
      </c>
    </row>
    <row r="1052" spans="1:9" ht="14.4">
      <c r="A1052" s="36">
        <v>2809</v>
      </c>
      <c r="B1052" s="33" t="s">
        <v>401</v>
      </c>
      <c r="C1052" s="36">
        <v>15111</v>
      </c>
      <c r="D1052" s="36" t="s">
        <v>18</v>
      </c>
      <c r="E1052" s="36">
        <v>6</v>
      </c>
      <c r="F1052" s="37">
        <v>44442</v>
      </c>
      <c r="G1052" s="37">
        <v>46267</v>
      </c>
      <c r="H1052" s="36" t="s">
        <v>16</v>
      </c>
      <c r="I1052" s="36" t="s">
        <v>79</v>
      </c>
    </row>
    <row r="1053" spans="1:9" ht="14.4">
      <c r="A1053" s="34">
        <v>2810</v>
      </c>
      <c r="B1053" s="32" t="s">
        <v>401</v>
      </c>
      <c r="C1053" s="34">
        <v>15112</v>
      </c>
      <c r="D1053" s="34" t="s">
        <v>18</v>
      </c>
      <c r="E1053" s="34">
        <v>17</v>
      </c>
      <c r="F1053" s="35">
        <v>44552</v>
      </c>
      <c r="G1053" s="35">
        <v>46377</v>
      </c>
      <c r="H1053" s="34" t="s">
        <v>16</v>
      </c>
      <c r="I1053" s="34" t="s">
        <v>79</v>
      </c>
    </row>
    <row r="1054" spans="1:9" ht="14.4">
      <c r="A1054" s="36">
        <v>2811</v>
      </c>
      <c r="B1054" s="33" t="s">
        <v>401</v>
      </c>
      <c r="C1054" s="36">
        <v>15113</v>
      </c>
      <c r="D1054" s="36" t="s">
        <v>18</v>
      </c>
      <c r="E1054" s="36">
        <v>12</v>
      </c>
      <c r="F1054" s="37">
        <v>44442</v>
      </c>
      <c r="G1054" s="37">
        <v>46267</v>
      </c>
      <c r="H1054" s="36" t="s">
        <v>16</v>
      </c>
      <c r="I1054" s="36" t="s">
        <v>79</v>
      </c>
    </row>
    <row r="1055" spans="1:9" ht="14.4">
      <c r="A1055" s="34">
        <v>2813</v>
      </c>
      <c r="B1055" s="32" t="s">
        <v>402</v>
      </c>
      <c r="C1055" s="34">
        <v>15115</v>
      </c>
      <c r="D1055" s="34" t="s">
        <v>18</v>
      </c>
      <c r="E1055" s="34">
        <v>30</v>
      </c>
      <c r="F1055" s="35">
        <v>44517</v>
      </c>
      <c r="G1055" s="35">
        <v>46342</v>
      </c>
      <c r="H1055" s="34" t="s">
        <v>31</v>
      </c>
      <c r="I1055" s="34" t="s">
        <v>79</v>
      </c>
    </row>
    <row r="1056" spans="1:9" ht="14.4">
      <c r="A1056" s="36">
        <v>2814</v>
      </c>
      <c r="B1056" s="33" t="s">
        <v>403</v>
      </c>
      <c r="C1056" s="36">
        <v>15116</v>
      </c>
      <c r="D1056" s="36" t="s">
        <v>23</v>
      </c>
      <c r="E1056" s="36">
        <v>4</v>
      </c>
      <c r="F1056" s="37">
        <v>44505</v>
      </c>
      <c r="G1056" s="37">
        <v>44869</v>
      </c>
      <c r="H1056" s="36" t="s">
        <v>22</v>
      </c>
      <c r="I1056" s="36" t="s">
        <v>79</v>
      </c>
    </row>
    <row r="1057" spans="1:9" ht="14.4">
      <c r="A1057" s="34">
        <v>2815</v>
      </c>
      <c r="B1057" s="32" t="s">
        <v>403</v>
      </c>
      <c r="C1057" s="34">
        <v>15117</v>
      </c>
      <c r="D1057" s="34" t="s">
        <v>23</v>
      </c>
      <c r="E1057" s="34">
        <v>4</v>
      </c>
      <c r="F1057" s="35">
        <v>44505</v>
      </c>
      <c r="G1057" s="35">
        <v>44869</v>
      </c>
      <c r="H1057" s="34" t="s">
        <v>22</v>
      </c>
      <c r="I1057" s="34" t="s">
        <v>79</v>
      </c>
    </row>
    <row r="1058" spans="1:9" ht="14.4">
      <c r="A1058" s="36">
        <v>2816</v>
      </c>
      <c r="B1058" s="33" t="s">
        <v>404</v>
      </c>
      <c r="C1058" s="36">
        <v>15118</v>
      </c>
      <c r="D1058" s="36" t="s">
        <v>18</v>
      </c>
      <c r="E1058" s="36">
        <v>9</v>
      </c>
      <c r="F1058" s="37">
        <v>44718</v>
      </c>
      <c r="G1058" s="37">
        <v>46543</v>
      </c>
      <c r="H1058" s="36" t="s">
        <v>31</v>
      </c>
      <c r="I1058" s="36" t="s">
        <v>79</v>
      </c>
    </row>
    <row r="1059" spans="1:9" ht="14.4">
      <c r="A1059" s="34">
        <v>2818</v>
      </c>
      <c r="B1059" s="32" t="s">
        <v>404</v>
      </c>
      <c r="C1059" s="34">
        <v>15121</v>
      </c>
      <c r="D1059" s="34" t="s">
        <v>18</v>
      </c>
      <c r="E1059" s="34">
        <v>6</v>
      </c>
      <c r="F1059" s="35">
        <v>44690</v>
      </c>
      <c r="G1059" s="35">
        <v>46515</v>
      </c>
      <c r="H1059" s="34" t="s">
        <v>31</v>
      </c>
      <c r="I1059" s="34" t="s">
        <v>79</v>
      </c>
    </row>
    <row r="1060" spans="1:9" ht="14.4">
      <c r="A1060" s="36">
        <v>2819</v>
      </c>
      <c r="B1060" s="33" t="s">
        <v>404</v>
      </c>
      <c r="C1060" s="36">
        <v>15122</v>
      </c>
      <c r="D1060" s="36" t="s">
        <v>18</v>
      </c>
      <c r="E1060" s="36">
        <v>9</v>
      </c>
      <c r="F1060" s="37">
        <v>44690</v>
      </c>
      <c r="G1060" s="37">
        <v>46515</v>
      </c>
      <c r="H1060" s="36" t="s">
        <v>31</v>
      </c>
      <c r="I1060" s="36" t="s">
        <v>79</v>
      </c>
    </row>
    <row r="1061" spans="1:9" ht="14.4">
      <c r="A1061" s="34">
        <v>2820</v>
      </c>
      <c r="B1061" s="32" t="s">
        <v>405</v>
      </c>
      <c r="C1061" s="34">
        <v>15124</v>
      </c>
      <c r="D1061" s="34" t="s">
        <v>18</v>
      </c>
      <c r="E1061" s="34">
        <v>1</v>
      </c>
      <c r="F1061" s="35">
        <v>44515</v>
      </c>
      <c r="G1061" s="35">
        <v>46340</v>
      </c>
      <c r="H1061" s="34" t="s">
        <v>14</v>
      </c>
      <c r="I1061" s="34" t="s">
        <v>79</v>
      </c>
    </row>
    <row r="1062" spans="1:9" ht="14.4">
      <c r="A1062" s="36">
        <v>2821</v>
      </c>
      <c r="B1062" s="33" t="s">
        <v>378</v>
      </c>
      <c r="C1062" s="36">
        <v>15127</v>
      </c>
      <c r="D1062" s="36" t="s">
        <v>23</v>
      </c>
      <c r="E1062" s="36">
        <v>2</v>
      </c>
      <c r="F1062" s="37">
        <v>44655</v>
      </c>
      <c r="G1062" s="37">
        <v>45019</v>
      </c>
      <c r="H1062" s="36" t="s">
        <v>16</v>
      </c>
      <c r="I1062" s="36" t="s">
        <v>79</v>
      </c>
    </row>
    <row r="1063" spans="1:9" ht="14.4">
      <c r="A1063" s="34">
        <v>2822</v>
      </c>
      <c r="B1063" s="32" t="s">
        <v>378</v>
      </c>
      <c r="C1063" s="34">
        <v>15128</v>
      </c>
      <c r="D1063" s="34" t="s">
        <v>23</v>
      </c>
      <c r="E1063" s="34">
        <v>4</v>
      </c>
      <c r="F1063" s="35">
        <v>44655</v>
      </c>
      <c r="G1063" s="35">
        <v>45019</v>
      </c>
      <c r="H1063" s="34" t="s">
        <v>16</v>
      </c>
      <c r="I1063" s="34" t="s">
        <v>79</v>
      </c>
    </row>
    <row r="1064" spans="1:9" ht="14.4">
      <c r="A1064" s="36">
        <v>2823</v>
      </c>
      <c r="B1064" s="33" t="s">
        <v>368</v>
      </c>
      <c r="C1064" s="36">
        <v>15129</v>
      </c>
      <c r="D1064" s="36" t="s">
        <v>18</v>
      </c>
      <c r="E1064" s="36">
        <v>8</v>
      </c>
      <c r="F1064" s="37">
        <v>44566</v>
      </c>
      <c r="G1064" s="37">
        <v>46391</v>
      </c>
      <c r="H1064" s="36" t="s">
        <v>16</v>
      </c>
      <c r="I1064" s="36" t="s">
        <v>79</v>
      </c>
    </row>
    <row r="1065" spans="1:9" ht="14.4">
      <c r="A1065" s="34">
        <v>2824</v>
      </c>
      <c r="B1065" s="32" t="s">
        <v>406</v>
      </c>
      <c r="C1065" s="34">
        <v>15130</v>
      </c>
      <c r="D1065" s="34" t="s">
        <v>18</v>
      </c>
      <c r="E1065" s="34">
        <v>9</v>
      </c>
      <c r="F1065" s="35">
        <v>44545</v>
      </c>
      <c r="G1065" s="35">
        <v>46370</v>
      </c>
      <c r="H1065" s="34" t="s">
        <v>19</v>
      </c>
      <c r="I1065" s="34" t="s">
        <v>79</v>
      </c>
    </row>
    <row r="1066" spans="1:9" ht="14.4">
      <c r="A1066" s="36">
        <v>2827</v>
      </c>
      <c r="B1066" s="33" t="s">
        <v>360</v>
      </c>
      <c r="C1066" s="36">
        <v>15140</v>
      </c>
      <c r="D1066" s="36" t="s">
        <v>23</v>
      </c>
      <c r="E1066" s="36">
        <v>2</v>
      </c>
      <c r="F1066" s="37">
        <v>44813</v>
      </c>
      <c r="G1066" s="37">
        <v>45177</v>
      </c>
      <c r="H1066" s="36" t="s">
        <v>22</v>
      </c>
      <c r="I1066" s="36" t="s">
        <v>79</v>
      </c>
    </row>
    <row r="1067" spans="1:9" ht="14.4">
      <c r="A1067" s="34">
        <v>2828</v>
      </c>
      <c r="B1067" s="32" t="s">
        <v>360</v>
      </c>
      <c r="C1067" s="34">
        <v>15141</v>
      </c>
      <c r="D1067" s="34" t="s">
        <v>23</v>
      </c>
      <c r="E1067" s="34">
        <v>2</v>
      </c>
      <c r="F1067" s="35">
        <v>44813</v>
      </c>
      <c r="G1067" s="35">
        <v>45177</v>
      </c>
      <c r="H1067" s="34" t="s">
        <v>22</v>
      </c>
      <c r="I1067" s="34" t="s">
        <v>79</v>
      </c>
    </row>
    <row r="1068" spans="1:9" ht="14.4">
      <c r="A1068" s="36">
        <v>2829</v>
      </c>
      <c r="B1068" s="33" t="s">
        <v>407</v>
      </c>
      <c r="C1068" s="36">
        <v>15143</v>
      </c>
      <c r="D1068" s="36" t="s">
        <v>18</v>
      </c>
      <c r="E1068" s="36">
        <v>25</v>
      </c>
      <c r="F1068" s="37">
        <v>44531</v>
      </c>
      <c r="G1068" s="37">
        <v>46356</v>
      </c>
      <c r="H1068" s="36" t="s">
        <v>59</v>
      </c>
      <c r="I1068" s="36" t="s">
        <v>79</v>
      </c>
    </row>
    <row r="1069" spans="1:9" ht="14.4">
      <c r="A1069" s="34">
        <v>2830</v>
      </c>
      <c r="B1069" s="32" t="s">
        <v>256</v>
      </c>
      <c r="C1069" s="34">
        <v>15144</v>
      </c>
      <c r="D1069" s="34" t="s">
        <v>18</v>
      </c>
      <c r="E1069" s="34">
        <v>11</v>
      </c>
      <c r="F1069" s="35">
        <v>44706</v>
      </c>
      <c r="G1069" s="35">
        <v>46531</v>
      </c>
      <c r="H1069" s="34" t="s">
        <v>84</v>
      </c>
      <c r="I1069" s="34" t="s">
        <v>79</v>
      </c>
    </row>
    <row r="1070" spans="1:9" ht="14.4">
      <c r="A1070" s="36">
        <v>2831</v>
      </c>
      <c r="B1070" s="33" t="s">
        <v>408</v>
      </c>
      <c r="C1070" s="36">
        <v>15146</v>
      </c>
      <c r="D1070" s="36" t="s">
        <v>18</v>
      </c>
      <c r="E1070" s="36">
        <v>31</v>
      </c>
      <c r="F1070" s="37">
        <v>44659</v>
      </c>
      <c r="G1070" s="37">
        <v>46484</v>
      </c>
      <c r="H1070" s="36" t="s">
        <v>32</v>
      </c>
      <c r="I1070" s="36" t="s">
        <v>79</v>
      </c>
    </row>
    <row r="1071" spans="1:9" ht="14.4">
      <c r="A1071" s="34">
        <v>2832</v>
      </c>
      <c r="B1071" s="32" t="s">
        <v>409</v>
      </c>
      <c r="C1071" s="34">
        <v>15149</v>
      </c>
      <c r="D1071" s="34" t="s">
        <v>18</v>
      </c>
      <c r="E1071" s="34">
        <v>8</v>
      </c>
      <c r="F1071" s="35">
        <v>44739</v>
      </c>
      <c r="G1071" s="35">
        <v>46564</v>
      </c>
      <c r="H1071" s="34" t="s">
        <v>16</v>
      </c>
      <c r="I1071" s="34" t="s">
        <v>79</v>
      </c>
    </row>
    <row r="1072" spans="1:9" ht="14.4">
      <c r="A1072" s="36">
        <v>2833</v>
      </c>
      <c r="B1072" s="33" t="s">
        <v>409</v>
      </c>
      <c r="C1072" s="36">
        <v>15150</v>
      </c>
      <c r="D1072" s="36" t="s">
        <v>18</v>
      </c>
      <c r="E1072" s="36">
        <v>4</v>
      </c>
      <c r="F1072" s="37">
        <v>44739</v>
      </c>
      <c r="G1072" s="37">
        <v>46564</v>
      </c>
      <c r="H1072" s="36" t="s">
        <v>16</v>
      </c>
      <c r="I1072" s="36" t="s">
        <v>79</v>
      </c>
    </row>
    <row r="1073" spans="1:9" ht="14.4">
      <c r="A1073" s="34">
        <v>2834</v>
      </c>
      <c r="B1073" s="32" t="s">
        <v>410</v>
      </c>
      <c r="C1073" s="34">
        <v>15154</v>
      </c>
      <c r="D1073" s="34" t="s">
        <v>18</v>
      </c>
      <c r="E1073" s="34">
        <v>4</v>
      </c>
      <c r="F1073" s="35">
        <v>44707</v>
      </c>
      <c r="G1073" s="35">
        <v>46532</v>
      </c>
      <c r="H1073" s="34" t="s">
        <v>59</v>
      </c>
      <c r="I1073" s="34" t="s">
        <v>79</v>
      </c>
    </row>
    <row r="1074" spans="1:9" ht="14.4">
      <c r="A1074" s="36">
        <v>2836</v>
      </c>
      <c r="B1074" s="33" t="s">
        <v>410</v>
      </c>
      <c r="C1074" s="36">
        <v>15156</v>
      </c>
      <c r="D1074" s="36" t="s">
        <v>18</v>
      </c>
      <c r="E1074" s="36">
        <v>4</v>
      </c>
      <c r="F1074" s="37">
        <v>44707</v>
      </c>
      <c r="G1074" s="37">
        <v>46532</v>
      </c>
      <c r="H1074" s="36" t="s">
        <v>59</v>
      </c>
      <c r="I1074" s="36" t="s">
        <v>79</v>
      </c>
    </row>
    <row r="1075" spans="1:9" ht="14.4">
      <c r="A1075" s="34">
        <v>2837</v>
      </c>
      <c r="B1075" s="32" t="s">
        <v>410</v>
      </c>
      <c r="C1075" s="34">
        <v>15157</v>
      </c>
      <c r="D1075" s="34" t="s">
        <v>18</v>
      </c>
      <c r="E1075" s="34">
        <v>2</v>
      </c>
      <c r="F1075" s="35">
        <v>44707</v>
      </c>
      <c r="G1075" s="35">
        <v>46532</v>
      </c>
      <c r="H1075" s="34" t="s">
        <v>59</v>
      </c>
      <c r="I1075" s="34" t="s">
        <v>79</v>
      </c>
    </row>
    <row r="1076" spans="1:9" ht="14.4">
      <c r="A1076" s="36">
        <v>2838</v>
      </c>
      <c r="B1076" s="33" t="s">
        <v>411</v>
      </c>
      <c r="C1076" s="36">
        <v>15158</v>
      </c>
      <c r="D1076" s="36" t="s">
        <v>18</v>
      </c>
      <c r="E1076" s="36">
        <v>22</v>
      </c>
      <c r="F1076" s="37">
        <v>44862</v>
      </c>
      <c r="G1076" s="37">
        <v>46687</v>
      </c>
      <c r="H1076" s="36" t="s">
        <v>56</v>
      </c>
      <c r="I1076" s="36" t="s">
        <v>79</v>
      </c>
    </row>
    <row r="1077" spans="1:9" ht="14.4">
      <c r="A1077" s="34">
        <v>2839</v>
      </c>
      <c r="B1077" s="32" t="s">
        <v>411</v>
      </c>
      <c r="C1077" s="34">
        <v>15159</v>
      </c>
      <c r="D1077" s="34" t="s">
        <v>18</v>
      </c>
      <c r="E1077" s="34">
        <v>10</v>
      </c>
      <c r="F1077" s="35">
        <v>44862</v>
      </c>
      <c r="G1077" s="35">
        <v>46687</v>
      </c>
      <c r="H1077" s="34" t="s">
        <v>56</v>
      </c>
      <c r="I1077" s="34" t="s">
        <v>79</v>
      </c>
    </row>
    <row r="1078" spans="1:9" ht="14.4">
      <c r="A1078" s="36">
        <v>2840</v>
      </c>
      <c r="B1078" s="33" t="s">
        <v>412</v>
      </c>
      <c r="C1078" s="36">
        <v>15163</v>
      </c>
      <c r="D1078" s="36" t="s">
        <v>18</v>
      </c>
      <c r="E1078" s="36">
        <v>7</v>
      </c>
      <c r="F1078" s="37">
        <v>44738</v>
      </c>
      <c r="G1078" s="37">
        <v>46563</v>
      </c>
      <c r="H1078" s="36" t="s">
        <v>16</v>
      </c>
      <c r="I1078" s="36" t="s">
        <v>79</v>
      </c>
    </row>
    <row r="1079" spans="1:9" ht="14.4">
      <c r="A1079" s="34">
        <v>2841</v>
      </c>
      <c r="B1079" s="32" t="s">
        <v>413</v>
      </c>
      <c r="C1079" s="34">
        <v>15164</v>
      </c>
      <c r="D1079" s="34" t="s">
        <v>18</v>
      </c>
      <c r="E1079" s="34">
        <v>30</v>
      </c>
      <c r="F1079" s="35">
        <v>44533</v>
      </c>
      <c r="G1079" s="35">
        <v>46358</v>
      </c>
      <c r="H1079" s="34" t="s">
        <v>14</v>
      </c>
      <c r="I1079" s="34" t="s">
        <v>79</v>
      </c>
    </row>
    <row r="1080" spans="1:9" ht="14.4">
      <c r="A1080" s="36">
        <v>2842</v>
      </c>
      <c r="B1080" s="33" t="s">
        <v>413</v>
      </c>
      <c r="C1080" s="36">
        <v>15165</v>
      </c>
      <c r="D1080" s="36" t="s">
        <v>18</v>
      </c>
      <c r="E1080" s="36">
        <v>77</v>
      </c>
      <c r="F1080" s="37">
        <v>44533</v>
      </c>
      <c r="G1080" s="37">
        <v>46358</v>
      </c>
      <c r="H1080" s="36" t="s">
        <v>14</v>
      </c>
      <c r="I1080" s="36" t="s">
        <v>79</v>
      </c>
    </row>
    <row r="1081" spans="1:9" ht="14.4">
      <c r="A1081" s="34">
        <v>2843</v>
      </c>
      <c r="B1081" s="32" t="s">
        <v>384</v>
      </c>
      <c r="C1081" s="34">
        <v>15166</v>
      </c>
      <c r="D1081" s="34" t="s">
        <v>18</v>
      </c>
      <c r="E1081" s="34">
        <v>11</v>
      </c>
      <c r="F1081" s="35">
        <v>44657</v>
      </c>
      <c r="G1081" s="35">
        <v>46482</v>
      </c>
      <c r="H1081" s="34" t="s">
        <v>14</v>
      </c>
      <c r="I1081" s="34" t="s">
        <v>79</v>
      </c>
    </row>
    <row r="1082" spans="1:9" ht="14.4">
      <c r="A1082" s="36">
        <v>2844</v>
      </c>
      <c r="B1082" s="33" t="s">
        <v>414</v>
      </c>
      <c r="C1082" s="36">
        <v>15172</v>
      </c>
      <c r="D1082" s="36" t="s">
        <v>18</v>
      </c>
      <c r="E1082" s="36">
        <v>9</v>
      </c>
      <c r="F1082" s="37">
        <v>44474</v>
      </c>
      <c r="G1082" s="37">
        <v>46299</v>
      </c>
      <c r="H1082" s="36" t="s">
        <v>94</v>
      </c>
      <c r="I1082" s="36" t="s">
        <v>79</v>
      </c>
    </row>
    <row r="1083" spans="1:9" ht="14.4">
      <c r="A1083" s="34">
        <v>2845</v>
      </c>
      <c r="B1083" s="32" t="s">
        <v>368</v>
      </c>
      <c r="C1083" s="34">
        <v>15173</v>
      </c>
      <c r="D1083" s="34" t="s">
        <v>18</v>
      </c>
      <c r="E1083" s="34">
        <v>5</v>
      </c>
      <c r="F1083" s="35">
        <v>44566</v>
      </c>
      <c r="G1083" s="35">
        <v>46391</v>
      </c>
      <c r="H1083" s="34" t="s">
        <v>59</v>
      </c>
      <c r="I1083" s="34" t="s">
        <v>79</v>
      </c>
    </row>
    <row r="1084" spans="1:9" ht="14.4">
      <c r="A1084" s="36">
        <v>2846</v>
      </c>
      <c r="B1084" s="33" t="s">
        <v>415</v>
      </c>
      <c r="C1084" s="36">
        <v>15174</v>
      </c>
      <c r="D1084" s="36" t="s">
        <v>18</v>
      </c>
      <c r="E1084" s="36">
        <v>41</v>
      </c>
      <c r="F1084" s="37">
        <v>44592</v>
      </c>
      <c r="G1084" s="37">
        <v>46417</v>
      </c>
      <c r="H1084" s="36" t="s">
        <v>31</v>
      </c>
      <c r="I1084" s="36" t="s">
        <v>79</v>
      </c>
    </row>
    <row r="1085" spans="1:9" ht="14.4">
      <c r="A1085" s="34">
        <v>2847</v>
      </c>
      <c r="B1085" s="32" t="s">
        <v>415</v>
      </c>
      <c r="C1085" s="34">
        <v>15175</v>
      </c>
      <c r="D1085" s="34" t="s">
        <v>18</v>
      </c>
      <c r="E1085" s="34">
        <v>130</v>
      </c>
      <c r="F1085" s="35">
        <v>44592</v>
      </c>
      <c r="G1085" s="35">
        <v>46417</v>
      </c>
      <c r="H1085" s="34" t="s">
        <v>32</v>
      </c>
      <c r="I1085" s="34" t="s">
        <v>79</v>
      </c>
    </row>
    <row r="1086" spans="1:9" ht="14.4">
      <c r="A1086" s="36">
        <v>2849</v>
      </c>
      <c r="B1086" s="33" t="s">
        <v>416</v>
      </c>
      <c r="C1086" s="36">
        <v>15179</v>
      </c>
      <c r="D1086" s="36" t="s">
        <v>18</v>
      </c>
      <c r="E1086" s="36">
        <v>3</v>
      </c>
      <c r="F1086" s="37">
        <v>44741</v>
      </c>
      <c r="G1086" s="37">
        <v>46566</v>
      </c>
      <c r="H1086" s="36" t="s">
        <v>84</v>
      </c>
      <c r="I1086" s="36" t="s">
        <v>79</v>
      </c>
    </row>
    <row r="1087" spans="1:9" ht="14.4">
      <c r="A1087" s="34">
        <v>2850</v>
      </c>
      <c r="B1087" s="32" t="s">
        <v>416</v>
      </c>
      <c r="C1087" s="34">
        <v>15180</v>
      </c>
      <c r="D1087" s="34" t="s">
        <v>18</v>
      </c>
      <c r="E1087" s="34">
        <v>6</v>
      </c>
      <c r="F1087" s="35">
        <v>44741</v>
      </c>
      <c r="G1087" s="35">
        <v>46566</v>
      </c>
      <c r="H1087" s="34" t="s">
        <v>84</v>
      </c>
      <c r="I1087" s="34" t="s">
        <v>79</v>
      </c>
    </row>
    <row r="1088" spans="1:9" ht="14.4">
      <c r="A1088" s="36">
        <v>2851</v>
      </c>
      <c r="B1088" s="33" t="s">
        <v>416</v>
      </c>
      <c r="C1088" s="36">
        <v>15181</v>
      </c>
      <c r="D1088" s="36" t="s">
        <v>18</v>
      </c>
      <c r="E1088" s="36">
        <v>19</v>
      </c>
      <c r="F1088" s="37">
        <v>44511</v>
      </c>
      <c r="G1088" s="37">
        <v>46336</v>
      </c>
      <c r="H1088" s="36" t="s">
        <v>84</v>
      </c>
      <c r="I1088" s="36" t="s">
        <v>79</v>
      </c>
    </row>
    <row r="1089" spans="1:9" ht="14.4">
      <c r="A1089" s="34">
        <v>2852</v>
      </c>
      <c r="B1089" s="32" t="s">
        <v>416</v>
      </c>
      <c r="C1089" s="34">
        <v>15182</v>
      </c>
      <c r="D1089" s="34" t="s">
        <v>18</v>
      </c>
      <c r="E1089" s="34">
        <v>72</v>
      </c>
      <c r="F1089" s="35">
        <v>44614</v>
      </c>
      <c r="G1089" s="35">
        <v>46439</v>
      </c>
      <c r="H1089" s="34" t="s">
        <v>84</v>
      </c>
      <c r="I1089" s="34" t="s">
        <v>79</v>
      </c>
    </row>
    <row r="1090" spans="1:9" ht="14.4">
      <c r="A1090" s="36">
        <v>2853</v>
      </c>
      <c r="B1090" s="33" t="s">
        <v>416</v>
      </c>
      <c r="C1090" s="36">
        <v>15183</v>
      </c>
      <c r="D1090" s="36" t="s">
        <v>18</v>
      </c>
      <c r="E1090" s="36">
        <v>112</v>
      </c>
      <c r="F1090" s="37">
        <v>44511</v>
      </c>
      <c r="G1090" s="37">
        <v>46336</v>
      </c>
      <c r="H1090" s="36" t="s">
        <v>84</v>
      </c>
      <c r="I1090" s="36" t="s">
        <v>79</v>
      </c>
    </row>
    <row r="1091" spans="1:9" ht="14.4">
      <c r="A1091" s="34">
        <v>2855</v>
      </c>
      <c r="B1091" s="32" t="s">
        <v>352</v>
      </c>
      <c r="C1091" s="34">
        <v>15186</v>
      </c>
      <c r="D1091" s="34" t="s">
        <v>18</v>
      </c>
      <c r="E1091" s="34">
        <v>104</v>
      </c>
      <c r="F1091" s="35">
        <v>44566</v>
      </c>
      <c r="G1091" s="35">
        <v>46391</v>
      </c>
      <c r="H1091" s="34" t="s">
        <v>84</v>
      </c>
      <c r="I1091" s="34" t="s">
        <v>79</v>
      </c>
    </row>
    <row r="1092" spans="1:9" ht="14.4">
      <c r="A1092" s="36">
        <v>2856</v>
      </c>
      <c r="B1092" s="33" t="s">
        <v>352</v>
      </c>
      <c r="C1092" s="36">
        <v>15187</v>
      </c>
      <c r="D1092" s="36" t="s">
        <v>18</v>
      </c>
      <c r="E1092" s="36">
        <v>59</v>
      </c>
      <c r="F1092" s="37">
        <v>44566</v>
      </c>
      <c r="G1092" s="37">
        <v>46391</v>
      </c>
      <c r="H1092" s="36" t="s">
        <v>84</v>
      </c>
      <c r="I1092" s="36" t="s">
        <v>79</v>
      </c>
    </row>
    <row r="1093" spans="1:9" ht="14.4">
      <c r="A1093" s="34">
        <v>2857</v>
      </c>
      <c r="B1093" s="32" t="s">
        <v>417</v>
      </c>
      <c r="C1093" s="34">
        <v>15188</v>
      </c>
      <c r="D1093" s="34" t="s">
        <v>18</v>
      </c>
      <c r="E1093" s="34">
        <v>72</v>
      </c>
      <c r="F1093" s="35">
        <v>44558</v>
      </c>
      <c r="G1093" s="35">
        <v>46383</v>
      </c>
      <c r="H1093" s="34" t="s">
        <v>84</v>
      </c>
      <c r="I1093" s="34" t="s">
        <v>79</v>
      </c>
    </row>
    <row r="1094" spans="1:9" ht="14.4">
      <c r="A1094" s="36">
        <v>2858</v>
      </c>
      <c r="B1094" s="33" t="s">
        <v>417</v>
      </c>
      <c r="C1094" s="36">
        <v>15189</v>
      </c>
      <c r="D1094" s="36" t="s">
        <v>18</v>
      </c>
      <c r="E1094" s="36">
        <v>55</v>
      </c>
      <c r="F1094" s="37">
        <v>44558</v>
      </c>
      <c r="G1094" s="37">
        <v>46383</v>
      </c>
      <c r="H1094" s="36" t="s">
        <v>84</v>
      </c>
      <c r="I1094" s="36" t="s">
        <v>79</v>
      </c>
    </row>
    <row r="1095" spans="1:9" ht="14.4">
      <c r="A1095" s="34">
        <v>2859</v>
      </c>
      <c r="B1095" s="32" t="s">
        <v>417</v>
      </c>
      <c r="C1095" s="34">
        <v>15190</v>
      </c>
      <c r="D1095" s="34" t="s">
        <v>18</v>
      </c>
      <c r="E1095" s="34">
        <v>29</v>
      </c>
      <c r="F1095" s="35">
        <v>44558</v>
      </c>
      <c r="G1095" s="35">
        <v>46383</v>
      </c>
      <c r="H1095" s="34" t="s">
        <v>84</v>
      </c>
      <c r="I1095" s="34" t="s">
        <v>79</v>
      </c>
    </row>
    <row r="1096" spans="1:9" ht="14.4">
      <c r="A1096" s="36">
        <v>2860</v>
      </c>
      <c r="B1096" s="33" t="s">
        <v>399</v>
      </c>
      <c r="C1096" s="36">
        <v>15192</v>
      </c>
      <c r="D1096" s="36" t="s">
        <v>18</v>
      </c>
      <c r="E1096" s="36">
        <v>21</v>
      </c>
      <c r="F1096" s="37">
        <v>44670</v>
      </c>
      <c r="G1096" s="37">
        <v>46495</v>
      </c>
      <c r="H1096" s="36" t="s">
        <v>32</v>
      </c>
      <c r="I1096" s="36" t="s">
        <v>79</v>
      </c>
    </row>
    <row r="1097" spans="1:9" ht="14.4">
      <c r="A1097" s="34">
        <v>2861</v>
      </c>
      <c r="B1097" s="32" t="s">
        <v>400</v>
      </c>
      <c r="C1097" s="34">
        <v>15193</v>
      </c>
      <c r="D1097" s="34" t="s">
        <v>18</v>
      </c>
      <c r="E1097" s="34">
        <v>45</v>
      </c>
      <c r="F1097" s="35">
        <v>44659</v>
      </c>
      <c r="G1097" s="35">
        <v>46484</v>
      </c>
      <c r="H1097" s="34" t="s">
        <v>32</v>
      </c>
      <c r="I1097" s="34" t="s">
        <v>79</v>
      </c>
    </row>
    <row r="1098" spans="1:9" ht="14.4">
      <c r="A1098" s="36">
        <v>2862</v>
      </c>
      <c r="B1098" s="33" t="s">
        <v>400</v>
      </c>
      <c r="C1098" s="36">
        <v>15194</v>
      </c>
      <c r="D1098" s="36" t="s">
        <v>18</v>
      </c>
      <c r="E1098" s="36">
        <v>18</v>
      </c>
      <c r="F1098" s="37">
        <v>44659</v>
      </c>
      <c r="G1098" s="37">
        <v>46484</v>
      </c>
      <c r="H1098" s="36" t="s">
        <v>32</v>
      </c>
      <c r="I1098" s="36" t="s">
        <v>79</v>
      </c>
    </row>
    <row r="1099" spans="1:9" ht="14.4">
      <c r="A1099" s="34">
        <v>2864</v>
      </c>
      <c r="B1099" s="32" t="s">
        <v>418</v>
      </c>
      <c r="C1099" s="34">
        <v>15206</v>
      </c>
      <c r="D1099" s="34" t="s">
        <v>18</v>
      </c>
      <c r="E1099" s="34">
        <v>2</v>
      </c>
      <c r="F1099" s="35">
        <v>44649</v>
      </c>
      <c r="G1099" s="35">
        <v>46474</v>
      </c>
      <c r="H1099" s="34" t="s">
        <v>84</v>
      </c>
      <c r="I1099" s="34" t="s">
        <v>79</v>
      </c>
    </row>
    <row r="1100" spans="1:9" ht="14.4">
      <c r="A1100" s="36">
        <v>2865</v>
      </c>
      <c r="B1100" s="33" t="s">
        <v>419</v>
      </c>
      <c r="C1100" s="36">
        <v>15207</v>
      </c>
      <c r="D1100" s="36" t="s">
        <v>23</v>
      </c>
      <c r="E1100" s="36">
        <v>3</v>
      </c>
      <c r="F1100" s="37">
        <v>44610</v>
      </c>
      <c r="G1100" s="37">
        <v>44974</v>
      </c>
      <c r="H1100" s="36" t="s">
        <v>16</v>
      </c>
      <c r="I1100" s="36" t="s">
        <v>79</v>
      </c>
    </row>
    <row r="1101" spans="1:9" ht="14.4">
      <c r="A1101" s="34">
        <v>2866</v>
      </c>
      <c r="B1101" s="32" t="s">
        <v>419</v>
      </c>
      <c r="C1101" s="34">
        <v>15208</v>
      </c>
      <c r="D1101" s="34" t="s">
        <v>18</v>
      </c>
      <c r="E1101" s="34">
        <v>4</v>
      </c>
      <c r="F1101" s="35">
        <v>44610</v>
      </c>
      <c r="G1101" s="35">
        <v>46435</v>
      </c>
      <c r="H1101" s="34" t="s">
        <v>16</v>
      </c>
      <c r="I1101" s="34" t="s">
        <v>79</v>
      </c>
    </row>
    <row r="1102" spans="1:9" ht="14.4">
      <c r="A1102" s="36">
        <v>2867</v>
      </c>
      <c r="B1102" s="33" t="s">
        <v>152</v>
      </c>
      <c r="C1102" s="36">
        <v>15216</v>
      </c>
      <c r="D1102" s="36" t="s">
        <v>18</v>
      </c>
      <c r="E1102" s="36">
        <v>89</v>
      </c>
      <c r="F1102" s="37">
        <v>44775</v>
      </c>
      <c r="G1102" s="37">
        <v>46600</v>
      </c>
      <c r="H1102" s="36" t="s">
        <v>84</v>
      </c>
      <c r="I1102" s="36" t="s">
        <v>79</v>
      </c>
    </row>
    <row r="1103" spans="1:9" ht="14.4">
      <c r="A1103" s="34">
        <v>2868</v>
      </c>
      <c r="B1103" s="32" t="s">
        <v>264</v>
      </c>
      <c r="C1103" s="34">
        <v>15217</v>
      </c>
      <c r="D1103" s="34" t="s">
        <v>18</v>
      </c>
      <c r="E1103" s="34">
        <v>4</v>
      </c>
      <c r="F1103" s="35">
        <v>44659</v>
      </c>
      <c r="G1103" s="35">
        <v>46484</v>
      </c>
      <c r="H1103" s="34" t="s">
        <v>24</v>
      </c>
      <c r="I1103" s="34" t="s">
        <v>79</v>
      </c>
    </row>
    <row r="1104" spans="1:9" ht="14.4">
      <c r="A1104" s="36">
        <v>2869</v>
      </c>
      <c r="B1104" s="33" t="s">
        <v>264</v>
      </c>
      <c r="C1104" s="36">
        <v>15218</v>
      </c>
      <c r="D1104" s="36" t="s">
        <v>18</v>
      </c>
      <c r="E1104" s="36">
        <v>30</v>
      </c>
      <c r="F1104" s="37">
        <v>44659</v>
      </c>
      <c r="G1104" s="37">
        <v>46484</v>
      </c>
      <c r="H1104" s="36" t="s">
        <v>24</v>
      </c>
      <c r="I1104" s="36" t="s">
        <v>79</v>
      </c>
    </row>
    <row r="1105" spans="1:9" ht="14.4">
      <c r="A1105" s="34">
        <v>2870</v>
      </c>
      <c r="B1105" s="32" t="s">
        <v>264</v>
      </c>
      <c r="C1105" s="34">
        <v>15219</v>
      </c>
      <c r="D1105" s="34" t="s">
        <v>18</v>
      </c>
      <c r="E1105" s="34">
        <v>35</v>
      </c>
      <c r="F1105" s="35">
        <v>44659</v>
      </c>
      <c r="G1105" s="35">
        <v>46484</v>
      </c>
      <c r="H1105" s="34" t="s">
        <v>24</v>
      </c>
      <c r="I1105" s="34" t="s">
        <v>79</v>
      </c>
    </row>
    <row r="1106" spans="1:9" ht="14.4">
      <c r="A1106" s="36">
        <v>2871</v>
      </c>
      <c r="B1106" s="33" t="s">
        <v>264</v>
      </c>
      <c r="C1106" s="36">
        <v>15220</v>
      </c>
      <c r="D1106" s="36" t="s">
        <v>18</v>
      </c>
      <c r="E1106" s="36">
        <v>16</v>
      </c>
      <c r="F1106" s="37">
        <v>44659</v>
      </c>
      <c r="G1106" s="37">
        <v>46484</v>
      </c>
      <c r="H1106" s="36" t="s">
        <v>24</v>
      </c>
      <c r="I1106" s="36" t="s">
        <v>79</v>
      </c>
    </row>
    <row r="1107" spans="1:9" ht="14.4">
      <c r="A1107" s="34">
        <v>2872</v>
      </c>
      <c r="B1107" s="32" t="s">
        <v>420</v>
      </c>
      <c r="C1107" s="34">
        <v>15222</v>
      </c>
      <c r="D1107" s="34" t="s">
        <v>18</v>
      </c>
      <c r="E1107" s="34">
        <v>30</v>
      </c>
      <c r="F1107" s="35">
        <v>44810</v>
      </c>
      <c r="G1107" s="35">
        <v>46635</v>
      </c>
      <c r="H1107" s="34" t="s">
        <v>32</v>
      </c>
      <c r="I1107" s="34" t="s">
        <v>79</v>
      </c>
    </row>
    <row r="1108" spans="1:9" ht="14.4">
      <c r="A1108" s="36">
        <v>2874</v>
      </c>
      <c r="B1108" s="33" t="s">
        <v>111</v>
      </c>
      <c r="C1108" s="36">
        <v>15230</v>
      </c>
      <c r="D1108" s="36" t="s">
        <v>18</v>
      </c>
      <c r="E1108" s="36">
        <v>15</v>
      </c>
      <c r="F1108" s="37">
        <v>44515</v>
      </c>
      <c r="G1108" s="37">
        <v>46340</v>
      </c>
      <c r="H1108" s="36" t="s">
        <v>16</v>
      </c>
      <c r="I1108" s="36" t="s">
        <v>79</v>
      </c>
    </row>
    <row r="1109" spans="1:9" ht="14.4">
      <c r="A1109" s="34">
        <v>2875</v>
      </c>
      <c r="B1109" s="32" t="s">
        <v>420</v>
      </c>
      <c r="C1109" s="34">
        <v>15231</v>
      </c>
      <c r="D1109" s="34" t="s">
        <v>18</v>
      </c>
      <c r="E1109" s="34">
        <v>4</v>
      </c>
      <c r="F1109" s="35">
        <v>44810</v>
      </c>
      <c r="G1109" s="35">
        <v>46635</v>
      </c>
      <c r="H1109" s="34" t="s">
        <v>16</v>
      </c>
      <c r="I1109" s="34" t="s">
        <v>79</v>
      </c>
    </row>
    <row r="1110" spans="1:9" ht="14.4">
      <c r="A1110" s="36">
        <v>2876</v>
      </c>
      <c r="B1110" s="33" t="s">
        <v>421</v>
      </c>
      <c r="C1110" s="36">
        <v>15234</v>
      </c>
      <c r="D1110" s="36" t="s">
        <v>21</v>
      </c>
      <c r="E1110" s="36">
        <v>1</v>
      </c>
      <c r="F1110" s="37">
        <v>44705</v>
      </c>
      <c r="G1110" s="37">
        <v>45455</v>
      </c>
      <c r="H1110" s="36" t="s">
        <v>89</v>
      </c>
      <c r="I1110" s="36" t="s">
        <v>79</v>
      </c>
    </row>
    <row r="1111" spans="1:9" ht="14.4">
      <c r="A1111" s="34">
        <v>2877</v>
      </c>
      <c r="B1111" s="32" t="s">
        <v>152</v>
      </c>
      <c r="C1111" s="34">
        <v>15235</v>
      </c>
      <c r="D1111" s="34" t="s">
        <v>18</v>
      </c>
      <c r="E1111" s="34">
        <v>43</v>
      </c>
      <c r="F1111" s="35">
        <v>44775</v>
      </c>
      <c r="G1111" s="35">
        <v>46600</v>
      </c>
      <c r="H1111" s="34" t="s">
        <v>84</v>
      </c>
      <c r="I1111" s="34" t="s">
        <v>79</v>
      </c>
    </row>
    <row r="1112" spans="1:9" ht="14.4">
      <c r="A1112" s="36">
        <v>2878</v>
      </c>
      <c r="B1112" s="33" t="s">
        <v>152</v>
      </c>
      <c r="C1112" s="36">
        <v>15236</v>
      </c>
      <c r="D1112" s="36" t="s">
        <v>18</v>
      </c>
      <c r="E1112" s="36">
        <v>7</v>
      </c>
      <c r="F1112" s="37">
        <v>44775</v>
      </c>
      <c r="G1112" s="37">
        <v>46600</v>
      </c>
      <c r="H1112" s="36" t="s">
        <v>84</v>
      </c>
      <c r="I1112" s="36" t="s">
        <v>79</v>
      </c>
    </row>
    <row r="1113" spans="1:9" ht="14.4">
      <c r="A1113" s="34">
        <v>2879</v>
      </c>
      <c r="B1113" s="32" t="s">
        <v>351</v>
      </c>
      <c r="C1113" s="34">
        <v>15238</v>
      </c>
      <c r="D1113" s="34" t="s">
        <v>18</v>
      </c>
      <c r="E1113" s="34">
        <v>6</v>
      </c>
      <c r="F1113" s="35">
        <v>44783</v>
      </c>
      <c r="G1113" s="35">
        <v>46608</v>
      </c>
      <c r="H1113" s="34" t="s">
        <v>277</v>
      </c>
      <c r="I1113" s="34" t="s">
        <v>79</v>
      </c>
    </row>
    <row r="1114" spans="1:9" ht="14.4">
      <c r="A1114" s="36">
        <v>2880</v>
      </c>
      <c r="B1114" s="33" t="s">
        <v>351</v>
      </c>
      <c r="C1114" s="36">
        <v>15240</v>
      </c>
      <c r="D1114" s="36" t="s">
        <v>18</v>
      </c>
      <c r="E1114" s="36">
        <v>18</v>
      </c>
      <c r="F1114" s="37">
        <v>44783</v>
      </c>
      <c r="G1114" s="37">
        <v>46608</v>
      </c>
      <c r="H1114" s="36" t="s">
        <v>277</v>
      </c>
      <c r="I1114" s="36" t="s">
        <v>79</v>
      </c>
    </row>
    <row r="1115" spans="1:9" ht="14.4">
      <c r="A1115" s="34">
        <v>2881</v>
      </c>
      <c r="B1115" s="32" t="s">
        <v>422</v>
      </c>
      <c r="C1115" s="34">
        <v>15243</v>
      </c>
      <c r="D1115" s="34" t="s">
        <v>18</v>
      </c>
      <c r="E1115" s="34">
        <v>4</v>
      </c>
      <c r="F1115" s="35">
        <v>44888</v>
      </c>
      <c r="G1115" s="35">
        <v>46713</v>
      </c>
      <c r="H1115" s="34" t="s">
        <v>14</v>
      </c>
      <c r="I1115" s="34" t="s">
        <v>79</v>
      </c>
    </row>
    <row r="1116" spans="1:9" ht="14.4">
      <c r="A1116" s="36">
        <v>2882</v>
      </c>
      <c r="B1116" s="33" t="s">
        <v>422</v>
      </c>
      <c r="C1116" s="36">
        <v>15244</v>
      </c>
      <c r="D1116" s="36" t="s">
        <v>18</v>
      </c>
      <c r="E1116" s="36">
        <v>4</v>
      </c>
      <c r="F1116" s="37">
        <v>44888</v>
      </c>
      <c r="G1116" s="37">
        <v>46713</v>
      </c>
      <c r="H1116" s="36" t="s">
        <v>14</v>
      </c>
      <c r="I1116" s="36" t="s">
        <v>79</v>
      </c>
    </row>
    <row r="1117" spans="1:9" ht="14.4">
      <c r="A1117" s="34">
        <v>2883</v>
      </c>
      <c r="B1117" s="32" t="s">
        <v>423</v>
      </c>
      <c r="C1117" s="34">
        <v>15252</v>
      </c>
      <c r="D1117" s="34" t="s">
        <v>18</v>
      </c>
      <c r="E1117" s="34">
        <v>6</v>
      </c>
      <c r="F1117" s="35">
        <v>44638</v>
      </c>
      <c r="G1117" s="35">
        <v>46463</v>
      </c>
      <c r="H1117" s="34" t="s">
        <v>73</v>
      </c>
      <c r="I1117" s="34" t="s">
        <v>79</v>
      </c>
    </row>
    <row r="1118" spans="1:9" ht="14.4">
      <c r="A1118" s="36">
        <v>2884</v>
      </c>
      <c r="B1118" s="33" t="s">
        <v>423</v>
      </c>
      <c r="C1118" s="36">
        <v>15253</v>
      </c>
      <c r="D1118" s="36" t="s">
        <v>18</v>
      </c>
      <c r="E1118" s="36">
        <v>4</v>
      </c>
      <c r="F1118" s="37">
        <v>44638</v>
      </c>
      <c r="G1118" s="37">
        <v>46463</v>
      </c>
      <c r="H1118" s="36" t="s">
        <v>73</v>
      </c>
      <c r="I1118" s="36" t="s">
        <v>79</v>
      </c>
    </row>
    <row r="1119" spans="1:9" ht="14.4">
      <c r="A1119" s="34">
        <v>2886</v>
      </c>
      <c r="B1119" s="32" t="s">
        <v>424</v>
      </c>
      <c r="C1119" s="34">
        <v>15258</v>
      </c>
      <c r="D1119" s="34" t="s">
        <v>18</v>
      </c>
      <c r="E1119" s="34">
        <v>5</v>
      </c>
      <c r="F1119" s="35">
        <v>44896</v>
      </c>
      <c r="G1119" s="35">
        <v>46721</v>
      </c>
      <c r="H1119" s="34" t="s">
        <v>277</v>
      </c>
      <c r="I1119" s="34" t="s">
        <v>79</v>
      </c>
    </row>
    <row r="1120" spans="1:9" ht="14.4">
      <c r="A1120" s="36">
        <v>2889</v>
      </c>
      <c r="B1120" s="33" t="s">
        <v>425</v>
      </c>
      <c r="C1120" s="36">
        <v>15263</v>
      </c>
      <c r="D1120" s="36" t="s">
        <v>18</v>
      </c>
      <c r="E1120" s="36">
        <v>15</v>
      </c>
      <c r="F1120" s="37">
        <v>44896</v>
      </c>
      <c r="G1120" s="37">
        <v>46721</v>
      </c>
      <c r="H1120" s="36" t="s">
        <v>14</v>
      </c>
      <c r="I1120" s="36" t="s">
        <v>79</v>
      </c>
    </row>
    <row r="1121" spans="1:9" ht="14.4">
      <c r="A1121" s="34">
        <v>2890</v>
      </c>
      <c r="B1121" s="32" t="s">
        <v>197</v>
      </c>
      <c r="C1121" s="34">
        <v>15266</v>
      </c>
      <c r="D1121" s="34" t="s">
        <v>18</v>
      </c>
      <c r="E1121" s="34">
        <v>8</v>
      </c>
      <c r="F1121" s="35">
        <v>44747</v>
      </c>
      <c r="G1121" s="35">
        <v>46572</v>
      </c>
      <c r="H1121" s="34" t="s">
        <v>14</v>
      </c>
      <c r="I1121" s="34" t="s">
        <v>79</v>
      </c>
    </row>
    <row r="1122" spans="1:9" ht="14.4">
      <c r="A1122" s="36">
        <v>2891</v>
      </c>
      <c r="B1122" s="33" t="s">
        <v>426</v>
      </c>
      <c r="C1122" s="36">
        <v>15273</v>
      </c>
      <c r="D1122" s="36" t="s">
        <v>18</v>
      </c>
      <c r="E1122" s="36">
        <v>13</v>
      </c>
      <c r="F1122" s="37">
        <v>44888</v>
      </c>
      <c r="G1122" s="37">
        <v>46713</v>
      </c>
      <c r="H1122" s="36" t="s">
        <v>14</v>
      </c>
      <c r="I1122" s="36" t="s">
        <v>79</v>
      </c>
    </row>
    <row r="1123" spans="1:9" ht="14.4">
      <c r="A1123" s="34">
        <v>2892</v>
      </c>
      <c r="B1123" s="32" t="s">
        <v>426</v>
      </c>
      <c r="C1123" s="34">
        <v>15274</v>
      </c>
      <c r="D1123" s="34" t="s">
        <v>18</v>
      </c>
      <c r="E1123" s="34">
        <v>12</v>
      </c>
      <c r="F1123" s="35">
        <v>44888</v>
      </c>
      <c r="G1123" s="35">
        <v>46713</v>
      </c>
      <c r="H1123" s="34" t="s">
        <v>14</v>
      </c>
      <c r="I1123" s="34" t="s">
        <v>79</v>
      </c>
    </row>
    <row r="1124" spans="1:9" ht="14.4">
      <c r="A1124" s="36">
        <v>2893</v>
      </c>
      <c r="B1124" s="33" t="s">
        <v>426</v>
      </c>
      <c r="C1124" s="36">
        <v>15275</v>
      </c>
      <c r="D1124" s="36" t="s">
        <v>18</v>
      </c>
      <c r="E1124" s="36">
        <v>34</v>
      </c>
      <c r="F1124" s="37">
        <v>44888</v>
      </c>
      <c r="G1124" s="37">
        <v>46713</v>
      </c>
      <c r="H1124" s="36" t="s">
        <v>14</v>
      </c>
      <c r="I1124" s="36" t="s">
        <v>79</v>
      </c>
    </row>
    <row r="1125" spans="1:9" ht="14.4">
      <c r="A1125" s="34">
        <v>2894</v>
      </c>
      <c r="B1125" s="32" t="s">
        <v>427</v>
      </c>
      <c r="C1125" s="34">
        <v>15276</v>
      </c>
      <c r="D1125" s="34" t="s">
        <v>18</v>
      </c>
      <c r="E1125" s="34">
        <v>98</v>
      </c>
      <c r="F1125" s="35">
        <v>44893</v>
      </c>
      <c r="G1125" s="35">
        <v>46718</v>
      </c>
      <c r="H1125" s="34" t="s">
        <v>56</v>
      </c>
      <c r="I1125" s="34" t="s">
        <v>79</v>
      </c>
    </row>
    <row r="1126" spans="1:9" ht="14.4">
      <c r="A1126" s="36">
        <v>2895</v>
      </c>
      <c r="B1126" s="33" t="s">
        <v>427</v>
      </c>
      <c r="C1126" s="36">
        <v>15277</v>
      </c>
      <c r="D1126" s="36" t="s">
        <v>18</v>
      </c>
      <c r="E1126" s="36">
        <v>165</v>
      </c>
      <c r="F1126" s="37">
        <v>44893</v>
      </c>
      <c r="G1126" s="37">
        <v>46718</v>
      </c>
      <c r="H1126" s="36" t="s">
        <v>59</v>
      </c>
      <c r="I1126" s="36" t="s">
        <v>79</v>
      </c>
    </row>
    <row r="1127" spans="1:9" ht="14.4">
      <c r="A1127" s="34">
        <v>2896</v>
      </c>
      <c r="B1127" s="32" t="s">
        <v>427</v>
      </c>
      <c r="C1127" s="34">
        <v>15278</v>
      </c>
      <c r="D1127" s="34" t="s">
        <v>18</v>
      </c>
      <c r="E1127" s="34">
        <v>63</v>
      </c>
      <c r="F1127" s="35">
        <v>44893</v>
      </c>
      <c r="G1127" s="35">
        <v>46718</v>
      </c>
      <c r="H1127" s="34" t="s">
        <v>70</v>
      </c>
      <c r="I1127" s="34" t="s">
        <v>79</v>
      </c>
    </row>
    <row r="1128" spans="1:9" ht="14.4">
      <c r="A1128" s="36">
        <v>2897</v>
      </c>
      <c r="B1128" s="33" t="s">
        <v>428</v>
      </c>
      <c r="C1128" s="36">
        <v>15279</v>
      </c>
      <c r="D1128" s="36" t="s">
        <v>18</v>
      </c>
      <c r="E1128" s="36">
        <v>20</v>
      </c>
      <c r="F1128" s="37">
        <v>44889</v>
      </c>
      <c r="G1128" s="37">
        <v>46714</v>
      </c>
      <c r="H1128" s="36" t="s">
        <v>56</v>
      </c>
      <c r="I1128" s="36" t="s">
        <v>79</v>
      </c>
    </row>
    <row r="1129" spans="1:9" ht="14.4">
      <c r="A1129" s="34">
        <v>2898</v>
      </c>
      <c r="B1129" s="32" t="s">
        <v>428</v>
      </c>
      <c r="C1129" s="34">
        <v>15280</v>
      </c>
      <c r="D1129" s="34" t="s">
        <v>18</v>
      </c>
      <c r="E1129" s="34">
        <v>12</v>
      </c>
      <c r="F1129" s="35">
        <v>44889</v>
      </c>
      <c r="G1129" s="35">
        <v>46714</v>
      </c>
      <c r="H1129" s="34" t="s">
        <v>32</v>
      </c>
      <c r="I1129" s="34" t="s">
        <v>79</v>
      </c>
    </row>
    <row r="1130" spans="1:9" ht="14.4">
      <c r="A1130" s="36">
        <v>2899</v>
      </c>
      <c r="B1130" s="33" t="s">
        <v>428</v>
      </c>
      <c r="C1130" s="36">
        <v>15281</v>
      </c>
      <c r="D1130" s="36" t="s">
        <v>18</v>
      </c>
      <c r="E1130" s="36">
        <v>16</v>
      </c>
      <c r="F1130" s="37">
        <v>44889</v>
      </c>
      <c r="G1130" s="37">
        <v>46714</v>
      </c>
      <c r="H1130" s="36" t="s">
        <v>14</v>
      </c>
      <c r="I1130" s="36" t="s">
        <v>79</v>
      </c>
    </row>
    <row r="1131" spans="1:9" ht="14.4">
      <c r="A1131" s="34">
        <v>2900</v>
      </c>
      <c r="B1131" s="32" t="s">
        <v>429</v>
      </c>
      <c r="C1131" s="34">
        <v>15284</v>
      </c>
      <c r="D1131" s="34" t="s">
        <v>18</v>
      </c>
      <c r="E1131" s="34">
        <v>33</v>
      </c>
      <c r="F1131" s="35">
        <v>44900</v>
      </c>
      <c r="G1131" s="35">
        <v>46725</v>
      </c>
      <c r="H1131" s="34" t="s">
        <v>59</v>
      </c>
      <c r="I1131" s="34" t="s">
        <v>79</v>
      </c>
    </row>
    <row r="1132" spans="1:9" ht="14.4">
      <c r="A1132" s="36">
        <v>2901</v>
      </c>
      <c r="B1132" s="33" t="s">
        <v>429</v>
      </c>
      <c r="C1132" s="36">
        <v>15285</v>
      </c>
      <c r="D1132" s="36" t="s">
        <v>18</v>
      </c>
      <c r="E1132" s="36">
        <v>41</v>
      </c>
      <c r="F1132" s="37">
        <v>44900</v>
      </c>
      <c r="G1132" s="37">
        <v>46725</v>
      </c>
      <c r="H1132" s="36" t="s">
        <v>59</v>
      </c>
      <c r="I1132" s="36" t="s">
        <v>79</v>
      </c>
    </row>
    <row r="1133" spans="1:9" ht="14.4">
      <c r="A1133" s="34">
        <v>2902</v>
      </c>
      <c r="B1133" s="32" t="s">
        <v>429</v>
      </c>
      <c r="C1133" s="34">
        <v>15286</v>
      </c>
      <c r="D1133" s="34" t="s">
        <v>18</v>
      </c>
      <c r="E1133" s="34">
        <v>48</v>
      </c>
      <c r="F1133" s="35">
        <v>44900</v>
      </c>
      <c r="G1133" s="35">
        <v>46725</v>
      </c>
      <c r="H1133" s="34" t="s">
        <v>59</v>
      </c>
      <c r="I1133" s="34" t="s">
        <v>79</v>
      </c>
    </row>
    <row r="1134" spans="1:9" ht="14.4">
      <c r="A1134" s="36">
        <v>2903</v>
      </c>
      <c r="B1134" s="33" t="s">
        <v>429</v>
      </c>
      <c r="C1134" s="36">
        <v>15287</v>
      </c>
      <c r="D1134" s="36" t="s">
        <v>18</v>
      </c>
      <c r="E1134" s="36">
        <v>2</v>
      </c>
      <c r="F1134" s="37">
        <v>44900</v>
      </c>
      <c r="G1134" s="37">
        <v>46725</v>
      </c>
      <c r="H1134" s="36" t="s">
        <v>59</v>
      </c>
      <c r="I1134" s="36" t="s">
        <v>79</v>
      </c>
    </row>
    <row r="1135" spans="1:9" ht="14.4">
      <c r="A1135" s="34">
        <v>2904</v>
      </c>
      <c r="B1135" s="32" t="s">
        <v>429</v>
      </c>
      <c r="C1135" s="34">
        <v>15288</v>
      </c>
      <c r="D1135" s="34" t="s">
        <v>18</v>
      </c>
      <c r="E1135" s="34">
        <v>4</v>
      </c>
      <c r="F1135" s="35">
        <v>44900</v>
      </c>
      <c r="G1135" s="35">
        <v>46725</v>
      </c>
      <c r="H1135" s="34" t="s">
        <v>59</v>
      </c>
      <c r="I1135" s="34" t="s">
        <v>79</v>
      </c>
    </row>
    <row r="1136" spans="1:9" ht="14.4">
      <c r="A1136" s="36">
        <v>2905</v>
      </c>
      <c r="B1136" s="33" t="s">
        <v>429</v>
      </c>
      <c r="C1136" s="36">
        <v>15289</v>
      </c>
      <c r="D1136" s="36" t="s">
        <v>18</v>
      </c>
      <c r="E1136" s="36">
        <v>15</v>
      </c>
      <c r="F1136" s="37">
        <v>44900</v>
      </c>
      <c r="G1136" s="37">
        <v>46725</v>
      </c>
      <c r="H1136" s="36" t="s">
        <v>59</v>
      </c>
      <c r="I1136" s="36" t="s">
        <v>79</v>
      </c>
    </row>
    <row r="1137" spans="1:9" ht="14.4">
      <c r="A1137" s="34">
        <v>2906</v>
      </c>
      <c r="B1137" s="32" t="s">
        <v>152</v>
      </c>
      <c r="C1137" s="34">
        <v>15300</v>
      </c>
      <c r="D1137" s="34" t="s">
        <v>18</v>
      </c>
      <c r="E1137" s="34">
        <v>47</v>
      </c>
      <c r="F1137" s="35">
        <v>44888</v>
      </c>
      <c r="G1137" s="35">
        <v>46713</v>
      </c>
      <c r="H1137" s="34" t="s">
        <v>31</v>
      </c>
      <c r="I1137" s="34" t="s">
        <v>79</v>
      </c>
    </row>
    <row r="1138" spans="1:9" ht="14.4">
      <c r="A1138" s="36">
        <v>2907</v>
      </c>
      <c r="B1138" s="33" t="s">
        <v>430</v>
      </c>
      <c r="C1138" s="36">
        <v>15311</v>
      </c>
      <c r="D1138" s="36" t="s">
        <v>18</v>
      </c>
      <c r="E1138" s="36">
        <v>12</v>
      </c>
      <c r="F1138" s="37">
        <v>44900</v>
      </c>
      <c r="G1138" s="37">
        <v>46725</v>
      </c>
      <c r="H1138" s="36" t="s">
        <v>16</v>
      </c>
      <c r="I1138" s="36" t="s">
        <v>79</v>
      </c>
    </row>
    <row r="1139" spans="1:9" ht="14.4">
      <c r="A1139" s="34">
        <v>2908</v>
      </c>
      <c r="B1139" s="32" t="s">
        <v>430</v>
      </c>
      <c r="C1139" s="34">
        <v>15312</v>
      </c>
      <c r="D1139" s="34" t="s">
        <v>18</v>
      </c>
      <c r="E1139" s="34">
        <v>13</v>
      </c>
      <c r="F1139" s="35">
        <v>44900</v>
      </c>
      <c r="G1139" s="35">
        <v>46725</v>
      </c>
      <c r="H1139" s="34" t="s">
        <v>16</v>
      </c>
      <c r="I1139" s="34" t="s">
        <v>79</v>
      </c>
    </row>
    <row r="1140" spans="1:9" ht="14.4">
      <c r="A1140" s="36">
        <v>2909</v>
      </c>
      <c r="B1140" s="33" t="s">
        <v>431</v>
      </c>
      <c r="C1140" s="36">
        <v>15313</v>
      </c>
      <c r="D1140" s="36" t="s">
        <v>18</v>
      </c>
      <c r="E1140" s="36">
        <v>29</v>
      </c>
      <c r="F1140" s="37">
        <v>44903</v>
      </c>
      <c r="G1140" s="37">
        <v>46728</v>
      </c>
      <c r="H1140" s="36" t="s">
        <v>32</v>
      </c>
      <c r="I1140" s="36" t="s">
        <v>79</v>
      </c>
    </row>
    <row r="1141" spans="1:9" ht="14.4">
      <c r="A1141" s="34">
        <v>2910</v>
      </c>
      <c r="B1141" s="32" t="s">
        <v>432</v>
      </c>
      <c r="C1141" s="34">
        <v>15315</v>
      </c>
      <c r="D1141" s="34" t="s">
        <v>18</v>
      </c>
      <c r="E1141" s="34">
        <v>5</v>
      </c>
      <c r="F1141" s="35">
        <v>44915</v>
      </c>
      <c r="G1141" s="35">
        <v>46740</v>
      </c>
      <c r="H1141" s="34" t="s">
        <v>14</v>
      </c>
      <c r="I1141" s="34" t="s">
        <v>79</v>
      </c>
    </row>
    <row r="1142" spans="1:9" ht="14.4">
      <c r="A1142" s="36">
        <v>2911</v>
      </c>
      <c r="B1142" s="33" t="s">
        <v>432</v>
      </c>
      <c r="C1142" s="36">
        <v>15316</v>
      </c>
      <c r="D1142" s="36" t="s">
        <v>18</v>
      </c>
      <c r="E1142" s="36">
        <v>20</v>
      </c>
      <c r="F1142" s="37">
        <v>44901</v>
      </c>
      <c r="G1142" s="37">
        <v>46726</v>
      </c>
      <c r="H1142" s="36" t="s">
        <v>14</v>
      </c>
      <c r="I1142" s="36" t="s">
        <v>79</v>
      </c>
    </row>
    <row r="1143" spans="1:9" ht="14.4">
      <c r="A1143" s="34">
        <v>2912</v>
      </c>
      <c r="B1143" s="32" t="s">
        <v>432</v>
      </c>
      <c r="C1143" s="34">
        <v>15317</v>
      </c>
      <c r="D1143" s="34" t="s">
        <v>18</v>
      </c>
      <c r="E1143" s="34">
        <v>8</v>
      </c>
      <c r="F1143" s="35">
        <v>44901</v>
      </c>
      <c r="G1143" s="35">
        <v>46726</v>
      </c>
      <c r="H1143" s="34" t="s">
        <v>14</v>
      </c>
      <c r="I1143" s="34" t="s">
        <v>79</v>
      </c>
    </row>
    <row r="1144" spans="1:9" ht="14.4">
      <c r="A1144" s="36">
        <v>2927</v>
      </c>
      <c r="B1144" s="33" t="s">
        <v>431</v>
      </c>
      <c r="C1144" s="36">
        <v>15563</v>
      </c>
      <c r="D1144" s="36" t="s">
        <v>18</v>
      </c>
      <c r="E1144" s="36">
        <v>55</v>
      </c>
      <c r="F1144" s="37">
        <v>44911</v>
      </c>
      <c r="G1144" s="37">
        <v>46736</v>
      </c>
      <c r="H1144" s="36" t="s">
        <v>32</v>
      </c>
      <c r="I1144" s="36" t="s">
        <v>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3:I9"/>
  <sheetViews>
    <sheetView showGridLines="0" workbookViewId="0">
      <selection activeCell="A3" sqref="A3"/>
    </sheetView>
  </sheetViews>
  <sheetFormatPr baseColWidth="10" defaultColWidth="10.69921875" defaultRowHeight="14.4"/>
  <cols>
    <col min="1" max="1" width="6.296875" style="38" bestFit="1" customWidth="1"/>
    <col min="2" max="2" width="50.296875" style="38" bestFit="1" customWidth="1"/>
    <col min="3" max="3" width="12.296875" style="38" bestFit="1" customWidth="1"/>
    <col min="4" max="4" width="11" style="38" bestFit="1" customWidth="1"/>
    <col min="5" max="5" width="10.69921875" style="38" bestFit="1" customWidth="1"/>
    <col min="6" max="6" width="13" style="38" bestFit="1" customWidth="1"/>
    <col min="7" max="7" width="16.69921875" style="38" bestFit="1" customWidth="1"/>
    <col min="8" max="8" width="15.69921875" style="38" bestFit="1" customWidth="1"/>
    <col min="9" max="9" width="37.296875" style="38" bestFit="1" customWidth="1"/>
    <col min="10" max="16384" width="10.69921875" style="38"/>
  </cols>
  <sheetData>
    <row r="3" spans="1:9" ht="16.2">
      <c r="A3" s="10" t="s">
        <v>2204</v>
      </c>
      <c r="B3" s="39"/>
    </row>
    <row r="6" spans="1:9" ht="15" thickBot="1">
      <c r="A6" s="1" t="s">
        <v>3</v>
      </c>
      <c r="B6" s="1" t="s">
        <v>6</v>
      </c>
      <c r="C6" s="1" t="s">
        <v>7</v>
      </c>
      <c r="D6" s="1" t="s">
        <v>8</v>
      </c>
      <c r="E6" s="1" t="s">
        <v>9</v>
      </c>
      <c r="F6" s="1" t="s">
        <v>10</v>
      </c>
      <c r="G6" s="1" t="s">
        <v>11</v>
      </c>
      <c r="H6" s="1" t="s">
        <v>2</v>
      </c>
      <c r="I6" s="1" t="s">
        <v>77</v>
      </c>
    </row>
    <row r="7" spans="1:9" ht="15" thickTop="1">
      <c r="A7" s="34">
        <v>655</v>
      </c>
      <c r="B7" s="32" t="s">
        <v>467</v>
      </c>
      <c r="C7" s="34">
        <v>3234</v>
      </c>
      <c r="D7" s="34" t="s">
        <v>18</v>
      </c>
      <c r="E7" s="34">
        <v>234</v>
      </c>
      <c r="F7" s="35">
        <v>44398</v>
      </c>
      <c r="G7" s="35">
        <v>44397</v>
      </c>
      <c r="H7" s="34" t="s">
        <v>59</v>
      </c>
      <c r="I7" s="34" t="s">
        <v>437</v>
      </c>
    </row>
    <row r="8" spans="1:9">
      <c r="A8" s="36">
        <v>1118</v>
      </c>
      <c r="B8" s="33" t="s">
        <v>490</v>
      </c>
      <c r="C8" s="36">
        <v>8126</v>
      </c>
      <c r="D8" s="36" t="s">
        <v>18</v>
      </c>
      <c r="E8" s="36">
        <v>20</v>
      </c>
      <c r="F8" s="37">
        <v>39425</v>
      </c>
      <c r="G8" s="37">
        <v>39425</v>
      </c>
      <c r="H8" s="36" t="s">
        <v>22</v>
      </c>
      <c r="I8" s="36" t="s">
        <v>438</v>
      </c>
    </row>
    <row r="9" spans="1:9">
      <c r="A9" s="34">
        <v>1705</v>
      </c>
      <c r="B9" s="32" t="s">
        <v>43</v>
      </c>
      <c r="C9" s="34">
        <v>13103</v>
      </c>
      <c r="D9" s="34" t="s">
        <v>44</v>
      </c>
      <c r="E9" s="34">
        <v>2</v>
      </c>
      <c r="F9" s="35">
        <v>43699</v>
      </c>
      <c r="G9" s="35">
        <v>43698</v>
      </c>
      <c r="H9" s="34" t="s">
        <v>14</v>
      </c>
      <c r="I9" s="34" t="s">
        <v>455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3:I31"/>
  <sheetViews>
    <sheetView workbookViewId="0">
      <selection activeCell="H31" sqref="H31"/>
    </sheetView>
  </sheetViews>
  <sheetFormatPr baseColWidth="10" defaultRowHeight="13.8"/>
  <cols>
    <col min="1" max="1" width="11" bestFit="1" customWidth="1"/>
    <col min="2" max="2" width="32.296875" bestFit="1" customWidth="1"/>
    <col min="3" max="3" width="11" bestFit="1" customWidth="1"/>
    <col min="5" max="5" width="11" bestFit="1" customWidth="1"/>
    <col min="6" max="7" width="13.69921875" bestFit="1" customWidth="1"/>
    <col min="8" max="8" width="12.3984375" bestFit="1" customWidth="1"/>
  </cols>
  <sheetData>
    <row r="3" spans="1:9" ht="16.2">
      <c r="A3" s="10" t="s">
        <v>2205</v>
      </c>
    </row>
    <row r="6" spans="1:9" ht="14.4" thickBot="1">
      <c r="A6" s="1" t="s">
        <v>3</v>
      </c>
      <c r="B6" s="1" t="s">
        <v>6</v>
      </c>
      <c r="C6" s="1" t="s">
        <v>7</v>
      </c>
      <c r="D6" s="1" t="s">
        <v>8</v>
      </c>
      <c r="E6" s="1" t="s">
        <v>9</v>
      </c>
      <c r="F6" s="1" t="s">
        <v>10</v>
      </c>
      <c r="G6" s="1" t="s">
        <v>11</v>
      </c>
      <c r="H6" s="1" t="s">
        <v>2</v>
      </c>
      <c r="I6" s="1" t="s">
        <v>77</v>
      </c>
    </row>
    <row r="7" spans="1:9" ht="15" thickTop="1">
      <c r="A7" s="34">
        <v>918</v>
      </c>
      <c r="B7" s="32" t="s">
        <v>136</v>
      </c>
      <c r="C7" s="34">
        <v>5077</v>
      </c>
      <c r="D7" s="34" t="s">
        <v>13</v>
      </c>
      <c r="E7" s="34">
        <v>471</v>
      </c>
      <c r="F7" s="35">
        <v>39214</v>
      </c>
      <c r="G7" s="35">
        <v>41770</v>
      </c>
      <c r="H7" s="34" t="s">
        <v>31</v>
      </c>
      <c r="I7" s="34" t="s">
        <v>79</v>
      </c>
    </row>
    <row r="8" spans="1:9" ht="14.4">
      <c r="A8" s="36">
        <v>1264</v>
      </c>
      <c r="B8" s="33" t="s">
        <v>162</v>
      </c>
      <c r="C8" s="36">
        <v>9719</v>
      </c>
      <c r="D8" s="36" t="s">
        <v>163</v>
      </c>
      <c r="E8" s="36">
        <v>1</v>
      </c>
      <c r="F8" s="37">
        <v>39391</v>
      </c>
      <c r="G8" s="37">
        <v>39756</v>
      </c>
      <c r="H8" s="36" t="s">
        <v>89</v>
      </c>
      <c r="I8" s="36" t="s">
        <v>79</v>
      </c>
    </row>
    <row r="9" spans="1:9" ht="14.4">
      <c r="A9" s="34">
        <v>1387</v>
      </c>
      <c r="B9" s="32" t="s">
        <v>169</v>
      </c>
      <c r="C9" s="34">
        <v>11474</v>
      </c>
      <c r="D9" s="34" t="s">
        <v>163</v>
      </c>
      <c r="E9" s="34">
        <v>2</v>
      </c>
      <c r="F9" s="35">
        <v>39951</v>
      </c>
      <c r="G9" s="35">
        <v>40315</v>
      </c>
      <c r="H9" s="34" t="s">
        <v>22</v>
      </c>
      <c r="I9" s="34" t="s">
        <v>79</v>
      </c>
    </row>
    <row r="10" spans="1:9" ht="14.4">
      <c r="A10" s="36">
        <v>1415</v>
      </c>
      <c r="B10" s="33" t="s">
        <v>169</v>
      </c>
      <c r="C10" s="36">
        <v>11620</v>
      </c>
      <c r="D10" s="36" t="s">
        <v>163</v>
      </c>
      <c r="E10" s="36">
        <v>4</v>
      </c>
      <c r="F10" s="37">
        <v>40087</v>
      </c>
      <c r="G10" s="37">
        <v>40451</v>
      </c>
      <c r="H10" s="36" t="s">
        <v>22</v>
      </c>
      <c r="I10" s="36" t="s">
        <v>79</v>
      </c>
    </row>
    <row r="11" spans="1:9" ht="14.4">
      <c r="A11" s="34">
        <v>1416</v>
      </c>
      <c r="B11" s="32" t="s">
        <v>169</v>
      </c>
      <c r="C11" s="34">
        <v>11621</v>
      </c>
      <c r="D11" s="34" t="s">
        <v>163</v>
      </c>
      <c r="E11" s="34">
        <v>5</v>
      </c>
      <c r="F11" s="35">
        <v>40087</v>
      </c>
      <c r="G11" s="35">
        <v>40451</v>
      </c>
      <c r="H11" s="34" t="s">
        <v>22</v>
      </c>
      <c r="I11" s="34" t="s">
        <v>79</v>
      </c>
    </row>
    <row r="12" spans="1:9" ht="14.4">
      <c r="A12" s="36">
        <v>1417</v>
      </c>
      <c r="B12" s="33" t="s">
        <v>169</v>
      </c>
      <c r="C12" s="36">
        <v>11622</v>
      </c>
      <c r="D12" s="36" t="s">
        <v>163</v>
      </c>
      <c r="E12" s="36">
        <v>5</v>
      </c>
      <c r="F12" s="37">
        <v>40087</v>
      </c>
      <c r="G12" s="37">
        <v>40451</v>
      </c>
      <c r="H12" s="36" t="s">
        <v>22</v>
      </c>
      <c r="I12" s="36" t="s">
        <v>79</v>
      </c>
    </row>
    <row r="13" spans="1:9" ht="14.4">
      <c r="A13" s="34">
        <v>1418</v>
      </c>
      <c r="B13" s="32" t="s">
        <v>169</v>
      </c>
      <c r="C13" s="34">
        <v>11623</v>
      </c>
      <c r="D13" s="34" t="s">
        <v>163</v>
      </c>
      <c r="E13" s="34">
        <v>5</v>
      </c>
      <c r="F13" s="35">
        <v>40087</v>
      </c>
      <c r="G13" s="35">
        <v>40451</v>
      </c>
      <c r="H13" s="34" t="s">
        <v>22</v>
      </c>
      <c r="I13" s="34" t="s">
        <v>79</v>
      </c>
    </row>
    <row r="14" spans="1:9" ht="14.4">
      <c r="A14" s="36">
        <v>1419</v>
      </c>
      <c r="B14" s="33" t="s">
        <v>169</v>
      </c>
      <c r="C14" s="36">
        <v>11624</v>
      </c>
      <c r="D14" s="36" t="s">
        <v>163</v>
      </c>
      <c r="E14" s="36">
        <v>5</v>
      </c>
      <c r="F14" s="37">
        <v>42390</v>
      </c>
      <c r="G14" s="37">
        <v>44216</v>
      </c>
      <c r="H14" s="36" t="s">
        <v>22</v>
      </c>
      <c r="I14" s="36" t="s">
        <v>79</v>
      </c>
    </row>
    <row r="15" spans="1:9" ht="14.4">
      <c r="A15" s="34">
        <v>1441</v>
      </c>
      <c r="B15" s="32" t="s">
        <v>136</v>
      </c>
      <c r="C15" s="34">
        <v>11796</v>
      </c>
      <c r="D15" s="34" t="s">
        <v>18</v>
      </c>
      <c r="E15" s="34">
        <v>280</v>
      </c>
      <c r="F15" s="35">
        <v>40312</v>
      </c>
      <c r="G15" s="35">
        <v>41772</v>
      </c>
      <c r="H15" s="34" t="s">
        <v>32</v>
      </c>
      <c r="I15" s="34" t="s">
        <v>79</v>
      </c>
    </row>
    <row r="16" spans="1:9" ht="14.4">
      <c r="A16" s="36">
        <v>1442</v>
      </c>
      <c r="B16" s="33" t="s">
        <v>136</v>
      </c>
      <c r="C16" s="36">
        <v>11797</v>
      </c>
      <c r="D16" s="36" t="s">
        <v>18</v>
      </c>
      <c r="E16" s="36">
        <v>436</v>
      </c>
      <c r="F16" s="37">
        <v>40312</v>
      </c>
      <c r="G16" s="37">
        <v>41772</v>
      </c>
      <c r="H16" s="36" t="s">
        <v>32</v>
      </c>
      <c r="I16" s="36" t="s">
        <v>79</v>
      </c>
    </row>
    <row r="17" spans="1:9" ht="14.4">
      <c r="A17" s="34">
        <v>1443</v>
      </c>
      <c r="B17" s="32" t="s">
        <v>136</v>
      </c>
      <c r="C17" s="34">
        <v>11798</v>
      </c>
      <c r="D17" s="34" t="s">
        <v>18</v>
      </c>
      <c r="E17" s="34">
        <v>348</v>
      </c>
      <c r="F17" s="35">
        <v>40312</v>
      </c>
      <c r="G17" s="35">
        <v>41772</v>
      </c>
      <c r="H17" s="34" t="s">
        <v>32</v>
      </c>
      <c r="I17" s="34" t="s">
        <v>79</v>
      </c>
    </row>
    <row r="18" spans="1:9" ht="14.4">
      <c r="A18" s="36">
        <v>1445</v>
      </c>
      <c r="B18" s="33" t="s">
        <v>136</v>
      </c>
      <c r="C18" s="36">
        <v>11801</v>
      </c>
      <c r="D18" s="36" t="s">
        <v>18</v>
      </c>
      <c r="E18" s="36">
        <v>140</v>
      </c>
      <c r="F18" s="37">
        <v>40425</v>
      </c>
      <c r="G18" s="37">
        <v>41885</v>
      </c>
      <c r="H18" s="36" t="s">
        <v>32</v>
      </c>
      <c r="I18" s="36" t="s">
        <v>79</v>
      </c>
    </row>
    <row r="19" spans="1:9" ht="14.4">
      <c r="A19" s="34">
        <v>1446</v>
      </c>
      <c r="B19" s="32" t="s">
        <v>136</v>
      </c>
      <c r="C19" s="34">
        <v>11816</v>
      </c>
      <c r="D19" s="34" t="s">
        <v>18</v>
      </c>
      <c r="E19" s="34">
        <v>460</v>
      </c>
      <c r="F19" s="35">
        <v>40312</v>
      </c>
      <c r="G19" s="35">
        <v>41772</v>
      </c>
      <c r="H19" s="34" t="s">
        <v>32</v>
      </c>
      <c r="I19" s="34" t="s">
        <v>79</v>
      </c>
    </row>
    <row r="20" spans="1:9" ht="14.4">
      <c r="A20" s="36">
        <v>1447</v>
      </c>
      <c r="B20" s="33" t="s">
        <v>136</v>
      </c>
      <c r="C20" s="36">
        <v>11817</v>
      </c>
      <c r="D20" s="36" t="s">
        <v>18</v>
      </c>
      <c r="E20" s="36">
        <v>370</v>
      </c>
      <c r="F20" s="37">
        <v>40312</v>
      </c>
      <c r="G20" s="37">
        <v>41772</v>
      </c>
      <c r="H20" s="36" t="s">
        <v>32</v>
      </c>
      <c r="I20" s="36" t="s">
        <v>79</v>
      </c>
    </row>
    <row r="21" spans="1:9" ht="14.4">
      <c r="A21" s="34">
        <v>1667</v>
      </c>
      <c r="B21" s="32" t="s">
        <v>193</v>
      </c>
      <c r="C21" s="34">
        <v>12894</v>
      </c>
      <c r="D21" s="34" t="s">
        <v>18</v>
      </c>
      <c r="E21" s="34">
        <v>310</v>
      </c>
      <c r="F21" s="35">
        <v>41358</v>
      </c>
      <c r="G21" s="35">
        <v>43183</v>
      </c>
      <c r="H21" s="34" t="s">
        <v>16</v>
      </c>
      <c r="I21" s="34" t="s">
        <v>79</v>
      </c>
    </row>
    <row r="22" spans="1:9" ht="14.4">
      <c r="A22" s="36">
        <v>1707</v>
      </c>
      <c r="B22" s="33" t="s">
        <v>169</v>
      </c>
      <c r="C22" s="36">
        <v>13117</v>
      </c>
      <c r="D22" s="36" t="s">
        <v>163</v>
      </c>
      <c r="E22" s="36">
        <v>2</v>
      </c>
      <c r="F22" s="37">
        <v>42050</v>
      </c>
      <c r="G22" s="37">
        <v>43875</v>
      </c>
      <c r="H22" s="36" t="s">
        <v>22</v>
      </c>
      <c r="I22" s="36" t="s">
        <v>79</v>
      </c>
    </row>
    <row r="23" spans="1:9" ht="14.4">
      <c r="A23" s="34">
        <v>1726</v>
      </c>
      <c r="B23" s="32" t="s">
        <v>169</v>
      </c>
      <c r="C23" s="34">
        <v>13168</v>
      </c>
      <c r="D23" s="34" t="s">
        <v>163</v>
      </c>
      <c r="E23" s="34">
        <v>4</v>
      </c>
      <c r="F23" s="35">
        <v>42025</v>
      </c>
      <c r="G23" s="35">
        <v>43850</v>
      </c>
      <c r="H23" s="34" t="s">
        <v>22</v>
      </c>
      <c r="I23" s="34" t="s">
        <v>79</v>
      </c>
    </row>
    <row r="24" spans="1:9" ht="14.4">
      <c r="A24" s="36">
        <v>1727</v>
      </c>
      <c r="B24" s="33" t="s">
        <v>169</v>
      </c>
      <c r="C24" s="36">
        <v>13169</v>
      </c>
      <c r="D24" s="36" t="s">
        <v>163</v>
      </c>
      <c r="E24" s="36">
        <v>4</v>
      </c>
      <c r="F24" s="37">
        <v>42390</v>
      </c>
      <c r="G24" s="37">
        <v>44216</v>
      </c>
      <c r="H24" s="36" t="s">
        <v>22</v>
      </c>
      <c r="I24" s="36" t="s">
        <v>79</v>
      </c>
    </row>
    <row r="25" spans="1:9" ht="14.4">
      <c r="A25" s="34">
        <v>1728</v>
      </c>
      <c r="B25" s="32" t="s">
        <v>169</v>
      </c>
      <c r="C25" s="34">
        <v>13170</v>
      </c>
      <c r="D25" s="34" t="s">
        <v>163</v>
      </c>
      <c r="E25" s="34">
        <v>4</v>
      </c>
      <c r="F25" s="35">
        <v>42390</v>
      </c>
      <c r="G25" s="35">
        <v>44216</v>
      </c>
      <c r="H25" s="34" t="s">
        <v>22</v>
      </c>
      <c r="I25" s="34" t="s">
        <v>79</v>
      </c>
    </row>
    <row r="26" spans="1:9" ht="14.4">
      <c r="A26" s="36">
        <v>1729</v>
      </c>
      <c r="B26" s="33" t="s">
        <v>169</v>
      </c>
      <c r="C26" s="36">
        <v>13171</v>
      </c>
      <c r="D26" s="36" t="s">
        <v>163</v>
      </c>
      <c r="E26" s="36">
        <v>4</v>
      </c>
      <c r="F26" s="37">
        <v>42390</v>
      </c>
      <c r="G26" s="37">
        <v>44216</v>
      </c>
      <c r="H26" s="36" t="s">
        <v>22</v>
      </c>
      <c r="I26" s="36" t="s">
        <v>79</v>
      </c>
    </row>
    <row r="27" spans="1:9" ht="14.4">
      <c r="A27" s="34">
        <v>1730</v>
      </c>
      <c r="B27" s="32" t="s">
        <v>169</v>
      </c>
      <c r="C27" s="34">
        <v>13172</v>
      </c>
      <c r="D27" s="34" t="s">
        <v>163</v>
      </c>
      <c r="E27" s="34">
        <v>4</v>
      </c>
      <c r="F27" s="35">
        <v>42019</v>
      </c>
      <c r="G27" s="35">
        <v>43844</v>
      </c>
      <c r="H27" s="34" t="s">
        <v>22</v>
      </c>
      <c r="I27" s="34" t="s">
        <v>79</v>
      </c>
    </row>
    <row r="28" spans="1:9" ht="14.4">
      <c r="A28" s="36">
        <v>1731</v>
      </c>
      <c r="B28" s="33" t="s">
        <v>169</v>
      </c>
      <c r="C28" s="36">
        <v>13173</v>
      </c>
      <c r="D28" s="36" t="s">
        <v>163</v>
      </c>
      <c r="E28" s="36">
        <v>4</v>
      </c>
      <c r="F28" s="37">
        <v>42390</v>
      </c>
      <c r="G28" s="37">
        <v>44216</v>
      </c>
      <c r="H28" s="36" t="s">
        <v>22</v>
      </c>
      <c r="I28" s="36" t="s">
        <v>79</v>
      </c>
    </row>
    <row r="29" spans="1:9" ht="14.4">
      <c r="A29" s="34">
        <v>1732</v>
      </c>
      <c r="B29" s="32" t="s">
        <v>169</v>
      </c>
      <c r="C29" s="34">
        <v>13174</v>
      </c>
      <c r="D29" s="34" t="s">
        <v>163</v>
      </c>
      <c r="E29" s="34">
        <v>3</v>
      </c>
      <c r="F29" s="35">
        <v>42390</v>
      </c>
      <c r="G29" s="35">
        <v>44216</v>
      </c>
      <c r="H29" s="34" t="s">
        <v>22</v>
      </c>
      <c r="I29" s="34" t="s">
        <v>79</v>
      </c>
    </row>
    <row r="30" spans="1:9" ht="14.4">
      <c r="A30" s="36">
        <v>1739</v>
      </c>
      <c r="B30" s="33" t="s">
        <v>202</v>
      </c>
      <c r="C30" s="36">
        <v>13227</v>
      </c>
      <c r="D30" s="36" t="s">
        <v>163</v>
      </c>
      <c r="E30" s="36">
        <v>2</v>
      </c>
      <c r="F30" s="37">
        <v>42420</v>
      </c>
      <c r="G30" s="37">
        <v>42785</v>
      </c>
      <c r="H30" s="36" t="s">
        <v>14</v>
      </c>
      <c r="I30" s="36" t="s">
        <v>79</v>
      </c>
    </row>
    <row r="31" spans="1:9" ht="14.4">
      <c r="A31" s="34">
        <v>1939</v>
      </c>
      <c r="B31" s="32" t="s">
        <v>210</v>
      </c>
      <c r="C31" s="34">
        <v>13717</v>
      </c>
      <c r="D31" s="34" t="s">
        <v>18</v>
      </c>
      <c r="E31" s="34">
        <v>52</v>
      </c>
      <c r="F31" s="35">
        <v>42999</v>
      </c>
      <c r="G31" s="35">
        <v>44459</v>
      </c>
      <c r="H31" s="34" t="s">
        <v>26</v>
      </c>
      <c r="I31" s="34" t="s">
        <v>79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3:I7"/>
  <sheetViews>
    <sheetView showGridLines="0" workbookViewId="0">
      <selection activeCell="A3" sqref="A3"/>
    </sheetView>
  </sheetViews>
  <sheetFormatPr baseColWidth="10" defaultColWidth="10.69921875" defaultRowHeight="14.4"/>
  <cols>
    <col min="1" max="1" width="10.69921875" style="38"/>
    <col min="2" max="2" width="26.69921875" style="38" bestFit="1" customWidth="1"/>
    <col min="3" max="5" width="10.69921875" style="38"/>
    <col min="6" max="6" width="13" style="38" bestFit="1" customWidth="1"/>
    <col min="7" max="7" width="16.69921875" style="38" bestFit="1" customWidth="1"/>
    <col min="8" max="16384" width="10.69921875" style="38"/>
  </cols>
  <sheetData>
    <row r="3" spans="1:9" ht="16.2">
      <c r="A3" s="10" t="s">
        <v>2206</v>
      </c>
      <c r="B3" s="39"/>
    </row>
    <row r="6" spans="1:9" ht="15" thickBot="1">
      <c r="A6" s="1" t="s">
        <v>3</v>
      </c>
      <c r="B6" s="1" t="s">
        <v>6</v>
      </c>
      <c r="C6" s="1" t="s">
        <v>7</v>
      </c>
      <c r="D6" s="1" t="s">
        <v>8</v>
      </c>
      <c r="E6" s="1" t="s">
        <v>9</v>
      </c>
      <c r="F6" s="1" t="s">
        <v>10</v>
      </c>
      <c r="G6" s="1" t="s">
        <v>11</v>
      </c>
      <c r="H6" s="1" t="s">
        <v>2</v>
      </c>
      <c r="I6" s="1" t="s">
        <v>77</v>
      </c>
    </row>
    <row r="7" spans="1:9" ht="15" thickTop="1">
      <c r="A7" s="34">
        <v>1584</v>
      </c>
      <c r="B7" s="32" t="s">
        <v>182</v>
      </c>
      <c r="C7" s="34" t="s">
        <v>183</v>
      </c>
      <c r="D7" s="34" t="s">
        <v>13</v>
      </c>
      <c r="E7" s="34">
        <v>7</v>
      </c>
      <c r="F7" s="35">
        <v>45386</v>
      </c>
      <c r="G7" s="35">
        <v>49779</v>
      </c>
      <c r="H7" s="34" t="s">
        <v>14</v>
      </c>
      <c r="I7" s="34" t="s">
        <v>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3:I32"/>
  <sheetViews>
    <sheetView showGridLines="0" workbookViewId="0">
      <selection activeCell="H19" sqref="H19"/>
    </sheetView>
  </sheetViews>
  <sheetFormatPr baseColWidth="10" defaultColWidth="10.69921875" defaultRowHeight="14.4"/>
  <cols>
    <col min="1" max="1" width="6.296875" style="38" customWidth="1"/>
    <col min="2" max="2" width="57.59765625" style="38" bestFit="1" customWidth="1"/>
    <col min="3" max="3" width="12.296875" style="38" bestFit="1" customWidth="1"/>
    <col min="4" max="4" width="11" style="38" bestFit="1" customWidth="1"/>
    <col min="5" max="6" width="10.69921875" style="38" bestFit="1" customWidth="1"/>
    <col min="7" max="7" width="16.69921875" style="38" bestFit="1" customWidth="1"/>
    <col min="8" max="8" width="15.69921875" style="38" bestFit="1" customWidth="1"/>
    <col min="9" max="9" width="31.69921875" style="38" bestFit="1" customWidth="1"/>
    <col min="10" max="16384" width="10.69921875" style="38"/>
  </cols>
  <sheetData>
    <row r="3" spans="1:9" ht="16.2">
      <c r="A3" s="10" t="s">
        <v>2207</v>
      </c>
      <c r="B3" s="39"/>
    </row>
    <row r="6" spans="1:9" ht="15" thickBot="1">
      <c r="A6" s="1" t="s">
        <v>3</v>
      </c>
      <c r="B6" s="1" t="s">
        <v>6</v>
      </c>
      <c r="C6" s="1" t="s">
        <v>7</v>
      </c>
      <c r="D6" s="1" t="s">
        <v>8</v>
      </c>
      <c r="E6" s="1" t="s">
        <v>9</v>
      </c>
      <c r="F6" s="1" t="s">
        <v>10</v>
      </c>
      <c r="G6" s="1" t="s">
        <v>11</v>
      </c>
      <c r="H6" s="1" t="s">
        <v>2</v>
      </c>
      <c r="I6" s="1" t="s">
        <v>77</v>
      </c>
    </row>
    <row r="7" spans="1:9" ht="15" thickTop="1">
      <c r="A7" s="34">
        <v>1200</v>
      </c>
      <c r="B7" s="32" t="s">
        <v>497</v>
      </c>
      <c r="C7" s="34">
        <v>9086</v>
      </c>
      <c r="D7" s="34" t="s">
        <v>18</v>
      </c>
      <c r="E7" s="34">
        <v>471</v>
      </c>
      <c r="F7" s="35"/>
      <c r="G7" s="35"/>
      <c r="H7" s="34" t="s">
        <v>94</v>
      </c>
      <c r="I7" s="34" t="s">
        <v>438</v>
      </c>
    </row>
    <row r="8" spans="1:9">
      <c r="A8" s="36">
        <v>2612</v>
      </c>
      <c r="B8" s="33" t="s">
        <v>531</v>
      </c>
      <c r="C8" s="36">
        <v>14809</v>
      </c>
      <c r="D8" s="36" t="s">
        <v>23</v>
      </c>
      <c r="E8" s="36">
        <v>3</v>
      </c>
      <c r="F8" s="37"/>
      <c r="G8" s="37"/>
      <c r="H8" s="36" t="s">
        <v>16</v>
      </c>
      <c r="I8" s="36" t="s">
        <v>540</v>
      </c>
    </row>
    <row r="9" spans="1:9">
      <c r="A9" s="34">
        <v>2613</v>
      </c>
      <c r="B9" s="32" t="s">
        <v>544</v>
      </c>
      <c r="C9" s="34">
        <v>14812</v>
      </c>
      <c r="D9" s="34" t="s">
        <v>23</v>
      </c>
      <c r="E9" s="34">
        <v>4</v>
      </c>
      <c r="F9" s="35"/>
      <c r="G9" s="35"/>
      <c r="H9" s="34" t="s">
        <v>16</v>
      </c>
      <c r="I9" s="34" t="s">
        <v>540</v>
      </c>
    </row>
    <row r="10" spans="1:9">
      <c r="A10" s="36">
        <v>2614</v>
      </c>
      <c r="B10" s="33" t="s">
        <v>197</v>
      </c>
      <c r="C10" s="36">
        <v>14813</v>
      </c>
      <c r="D10" s="36" t="s">
        <v>13</v>
      </c>
      <c r="E10" s="36">
        <v>44</v>
      </c>
      <c r="F10" s="37"/>
      <c r="G10" s="37"/>
      <c r="H10" s="36" t="s">
        <v>70</v>
      </c>
      <c r="I10" s="36" t="s">
        <v>79</v>
      </c>
    </row>
    <row r="11" spans="1:9">
      <c r="A11" s="34">
        <v>2721</v>
      </c>
      <c r="B11" s="32" t="s">
        <v>550</v>
      </c>
      <c r="C11" s="34">
        <v>14980</v>
      </c>
      <c r="D11" s="34" t="s">
        <v>18</v>
      </c>
      <c r="E11" s="34">
        <v>1</v>
      </c>
      <c r="F11" s="35"/>
      <c r="G11" s="35"/>
      <c r="H11" s="34" t="s">
        <v>16</v>
      </c>
      <c r="I11" s="34" t="s">
        <v>540</v>
      </c>
    </row>
    <row r="12" spans="1:9">
      <c r="A12" s="36">
        <v>2742</v>
      </c>
      <c r="B12" s="33" t="s">
        <v>551</v>
      </c>
      <c r="C12" s="36">
        <v>15007</v>
      </c>
      <c r="D12" s="36" t="s">
        <v>18</v>
      </c>
      <c r="E12" s="36">
        <v>2</v>
      </c>
      <c r="F12" s="37"/>
      <c r="G12" s="37"/>
      <c r="H12" s="36" t="s">
        <v>22</v>
      </c>
      <c r="I12" s="36" t="s">
        <v>540</v>
      </c>
    </row>
    <row r="13" spans="1:9">
      <c r="A13" s="34">
        <v>2835</v>
      </c>
      <c r="B13" s="32" t="s">
        <v>410</v>
      </c>
      <c r="C13" s="34">
        <v>15155</v>
      </c>
      <c r="D13" s="34" t="s">
        <v>18</v>
      </c>
      <c r="E13" s="34">
        <v>4</v>
      </c>
      <c r="F13" s="35"/>
      <c r="G13" s="35"/>
      <c r="H13" s="34" t="s">
        <v>59</v>
      </c>
      <c r="I13" s="34" t="s">
        <v>433</v>
      </c>
    </row>
    <row r="14" spans="1:9">
      <c r="A14" s="36">
        <v>2848</v>
      </c>
      <c r="B14" s="33" t="s">
        <v>416</v>
      </c>
      <c r="C14" s="36">
        <v>15178</v>
      </c>
      <c r="D14" s="36" t="s">
        <v>23</v>
      </c>
      <c r="E14" s="36">
        <v>1</v>
      </c>
      <c r="F14" s="37"/>
      <c r="G14" s="37"/>
      <c r="H14" s="36" t="s">
        <v>84</v>
      </c>
      <c r="I14" s="36" t="s">
        <v>540</v>
      </c>
    </row>
    <row r="15" spans="1:9">
      <c r="A15" s="34">
        <v>2873</v>
      </c>
      <c r="B15" s="32" t="s">
        <v>375</v>
      </c>
      <c r="C15" s="34">
        <v>15229</v>
      </c>
      <c r="D15" s="34" t="s">
        <v>18</v>
      </c>
      <c r="E15" s="34">
        <v>24</v>
      </c>
      <c r="F15" s="35"/>
      <c r="G15" s="35"/>
      <c r="H15" s="34" t="s">
        <v>56</v>
      </c>
      <c r="I15" s="34" t="s">
        <v>540</v>
      </c>
    </row>
    <row r="16" spans="1:9">
      <c r="A16" s="36">
        <v>2885</v>
      </c>
      <c r="B16" s="33" t="s">
        <v>424</v>
      </c>
      <c r="C16" s="36">
        <v>15257</v>
      </c>
      <c r="D16" s="36" t="s">
        <v>18</v>
      </c>
      <c r="E16" s="36">
        <v>8</v>
      </c>
      <c r="F16" s="37"/>
      <c r="G16" s="37"/>
      <c r="H16" s="36" t="s">
        <v>277</v>
      </c>
      <c r="I16" s="36" t="s">
        <v>540</v>
      </c>
    </row>
    <row r="17" spans="1:9">
      <c r="A17" s="34">
        <v>2887</v>
      </c>
      <c r="B17" s="32" t="s">
        <v>264</v>
      </c>
      <c r="C17" s="34">
        <v>15259</v>
      </c>
      <c r="D17" s="34" t="s">
        <v>18</v>
      </c>
      <c r="E17" s="34">
        <v>3</v>
      </c>
      <c r="F17" s="35"/>
      <c r="G17" s="35"/>
      <c r="H17" s="34" t="s">
        <v>56</v>
      </c>
      <c r="I17" s="34" t="s">
        <v>540</v>
      </c>
    </row>
    <row r="18" spans="1:9">
      <c r="A18" s="36">
        <v>2888</v>
      </c>
      <c r="B18" s="33" t="s">
        <v>264</v>
      </c>
      <c r="C18" s="36">
        <v>15260</v>
      </c>
      <c r="D18" s="36" t="s">
        <v>18</v>
      </c>
      <c r="E18" s="36">
        <v>5</v>
      </c>
      <c r="F18" s="37"/>
      <c r="G18" s="37"/>
      <c r="H18" s="36" t="s">
        <v>59</v>
      </c>
      <c r="I18" s="36" t="s">
        <v>540</v>
      </c>
    </row>
    <row r="19" spans="1:9">
      <c r="A19" s="34">
        <v>2913</v>
      </c>
      <c r="B19" s="32" t="s">
        <v>552</v>
      </c>
      <c r="C19" s="34">
        <v>15333</v>
      </c>
      <c r="D19" s="34" t="s">
        <v>18</v>
      </c>
      <c r="E19" s="34">
        <v>9</v>
      </c>
      <c r="F19" s="35"/>
      <c r="G19" s="35"/>
      <c r="H19" s="34" t="s">
        <v>73</v>
      </c>
      <c r="I19" s="34" t="s">
        <v>540</v>
      </c>
    </row>
    <row r="20" spans="1:9">
      <c r="A20" s="36">
        <v>2914</v>
      </c>
      <c r="B20" s="33" t="s">
        <v>553</v>
      </c>
      <c r="C20" s="36">
        <v>15356</v>
      </c>
      <c r="D20" s="36" t="s">
        <v>18</v>
      </c>
      <c r="E20" s="36">
        <v>8</v>
      </c>
      <c r="F20" s="37"/>
      <c r="G20" s="37"/>
      <c r="H20" s="36" t="s">
        <v>14</v>
      </c>
      <c r="I20" s="36" t="s">
        <v>540</v>
      </c>
    </row>
    <row r="21" spans="1:9">
      <c r="A21" s="34">
        <v>2915</v>
      </c>
      <c r="B21" s="32" t="s">
        <v>553</v>
      </c>
      <c r="C21" s="34">
        <v>15357</v>
      </c>
      <c r="D21" s="34" t="s">
        <v>18</v>
      </c>
      <c r="E21" s="34">
        <v>10</v>
      </c>
      <c r="F21" s="35"/>
      <c r="G21" s="35"/>
      <c r="H21" s="34" t="s">
        <v>14</v>
      </c>
      <c r="I21" s="34" t="s">
        <v>540</v>
      </c>
    </row>
    <row r="22" spans="1:9">
      <c r="A22" s="36">
        <v>2916</v>
      </c>
      <c r="B22" s="33" t="s">
        <v>553</v>
      </c>
      <c r="C22" s="36">
        <v>15358</v>
      </c>
      <c r="D22" s="36" t="s">
        <v>18</v>
      </c>
      <c r="E22" s="36">
        <v>12</v>
      </c>
      <c r="F22" s="37"/>
      <c r="G22" s="37"/>
      <c r="H22" s="36" t="s">
        <v>14</v>
      </c>
      <c r="I22" s="36" t="s">
        <v>540</v>
      </c>
    </row>
    <row r="23" spans="1:9">
      <c r="A23" s="34">
        <v>2917</v>
      </c>
      <c r="B23" s="32" t="s">
        <v>554</v>
      </c>
      <c r="C23" s="34">
        <v>15395</v>
      </c>
      <c r="D23" s="34" t="s">
        <v>23</v>
      </c>
      <c r="E23" s="34">
        <v>4</v>
      </c>
      <c r="F23" s="35"/>
      <c r="G23" s="35"/>
      <c r="H23" s="34" t="s">
        <v>84</v>
      </c>
      <c r="I23" s="34" t="s">
        <v>540</v>
      </c>
    </row>
    <row r="24" spans="1:9">
      <c r="A24" s="36">
        <v>2918</v>
      </c>
      <c r="B24" s="33" t="s">
        <v>555</v>
      </c>
      <c r="C24" s="36">
        <v>15397</v>
      </c>
      <c r="D24" s="36" t="s">
        <v>18</v>
      </c>
      <c r="E24" s="36">
        <v>25</v>
      </c>
      <c r="F24" s="37"/>
      <c r="G24" s="37"/>
      <c r="H24" s="36" t="s">
        <v>56</v>
      </c>
      <c r="I24" s="36" t="s">
        <v>540</v>
      </c>
    </row>
    <row r="25" spans="1:9">
      <c r="A25" s="34">
        <v>2919</v>
      </c>
      <c r="B25" s="32" t="s">
        <v>555</v>
      </c>
      <c r="C25" s="34">
        <v>15398</v>
      </c>
      <c r="D25" s="34" t="s">
        <v>18</v>
      </c>
      <c r="E25" s="34">
        <v>8</v>
      </c>
      <c r="F25" s="35"/>
      <c r="G25" s="35"/>
      <c r="H25" s="34" t="s">
        <v>56</v>
      </c>
      <c r="I25" s="34" t="s">
        <v>540</v>
      </c>
    </row>
    <row r="26" spans="1:9">
      <c r="A26" s="36">
        <v>2920</v>
      </c>
      <c r="B26" s="33" t="s">
        <v>555</v>
      </c>
      <c r="C26" s="36">
        <v>15400</v>
      </c>
      <c r="D26" s="36" t="s">
        <v>18</v>
      </c>
      <c r="E26" s="36">
        <v>24</v>
      </c>
      <c r="F26" s="37"/>
      <c r="G26" s="37"/>
      <c r="H26" s="36" t="s">
        <v>56</v>
      </c>
      <c r="I26" s="36" t="s">
        <v>540</v>
      </c>
    </row>
    <row r="27" spans="1:9">
      <c r="A27" s="34">
        <v>2921</v>
      </c>
      <c r="B27" s="32" t="s">
        <v>556</v>
      </c>
      <c r="C27" s="34">
        <v>15406</v>
      </c>
      <c r="D27" s="34" t="s">
        <v>18</v>
      </c>
      <c r="E27" s="34">
        <v>46</v>
      </c>
      <c r="F27" s="35"/>
      <c r="G27" s="35"/>
      <c r="H27" s="34" t="s">
        <v>31</v>
      </c>
      <c r="I27" s="34" t="s">
        <v>540</v>
      </c>
    </row>
    <row r="28" spans="1:9">
      <c r="A28" s="36">
        <v>2922</v>
      </c>
      <c r="B28" s="33" t="s">
        <v>556</v>
      </c>
      <c r="C28" s="36">
        <v>15407</v>
      </c>
      <c r="D28" s="36" t="s">
        <v>18</v>
      </c>
      <c r="E28" s="36">
        <v>14</v>
      </c>
      <c r="F28" s="37"/>
      <c r="G28" s="37"/>
      <c r="H28" s="36" t="s">
        <v>31</v>
      </c>
      <c r="I28" s="36" t="s">
        <v>540</v>
      </c>
    </row>
    <row r="29" spans="1:9">
      <c r="A29" s="34">
        <v>2923</v>
      </c>
      <c r="B29" s="32" t="s">
        <v>557</v>
      </c>
      <c r="C29" s="34">
        <v>15411</v>
      </c>
      <c r="D29" s="34" t="s">
        <v>18</v>
      </c>
      <c r="E29" s="34">
        <v>3</v>
      </c>
      <c r="F29" s="35"/>
      <c r="G29" s="35"/>
      <c r="H29" s="34" t="s">
        <v>14</v>
      </c>
      <c r="I29" s="34" t="s">
        <v>540</v>
      </c>
    </row>
    <row r="30" spans="1:9">
      <c r="A30" s="36">
        <v>2924</v>
      </c>
      <c r="B30" s="33" t="s">
        <v>558</v>
      </c>
      <c r="C30" s="36">
        <v>15520</v>
      </c>
      <c r="D30" s="36" t="s">
        <v>18</v>
      </c>
      <c r="E30" s="36">
        <v>45</v>
      </c>
      <c r="F30" s="37"/>
      <c r="G30" s="37"/>
      <c r="H30" s="36" t="s">
        <v>59</v>
      </c>
      <c r="I30" s="36" t="s">
        <v>540</v>
      </c>
    </row>
    <row r="31" spans="1:9">
      <c r="A31" s="34">
        <v>2925</v>
      </c>
      <c r="B31" s="32" t="s">
        <v>558</v>
      </c>
      <c r="C31" s="34">
        <v>15521</v>
      </c>
      <c r="D31" s="34" t="s">
        <v>18</v>
      </c>
      <c r="E31" s="34">
        <v>40</v>
      </c>
      <c r="F31" s="35"/>
      <c r="G31" s="35"/>
      <c r="H31" s="34" t="s">
        <v>70</v>
      </c>
      <c r="I31" s="34" t="s">
        <v>540</v>
      </c>
    </row>
    <row r="32" spans="1:9">
      <c r="A32" s="36">
        <v>2926</v>
      </c>
      <c r="B32" s="33" t="s">
        <v>554</v>
      </c>
      <c r="C32" s="36">
        <v>15538</v>
      </c>
      <c r="D32" s="36" t="s">
        <v>23</v>
      </c>
      <c r="E32" s="36">
        <v>2</v>
      </c>
      <c r="F32" s="37"/>
      <c r="G32" s="37"/>
      <c r="H32" s="36" t="s">
        <v>84</v>
      </c>
      <c r="I32" s="36" t="s">
        <v>540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BQ95"/>
  <sheetViews>
    <sheetView workbookViewId="0">
      <selection activeCell="C2" sqref="C2"/>
    </sheetView>
  </sheetViews>
  <sheetFormatPr baseColWidth="10" defaultColWidth="9.296875" defaultRowHeight="21"/>
  <cols>
    <col min="1" max="1" width="27.3984375" style="64" customWidth="1"/>
    <col min="2" max="2" width="17" style="64" customWidth="1"/>
    <col min="3" max="3" width="13.3984375" style="64" customWidth="1"/>
    <col min="4" max="4" width="10.69921875" style="64" customWidth="1"/>
    <col min="5" max="5" width="11.296875" style="64" customWidth="1"/>
    <col min="6" max="7" width="18.3984375" style="64" customWidth="1"/>
    <col min="8" max="8" width="7.59765625" style="64" customWidth="1"/>
    <col min="9" max="9" width="22" style="64" customWidth="1"/>
    <col min="10" max="10" width="11.296875" style="64" customWidth="1"/>
    <col min="11" max="11" width="13.296875" style="64" customWidth="1"/>
    <col min="12" max="12" width="10.69921875" style="64" customWidth="1"/>
    <col min="13" max="13" width="12.3984375" style="64" customWidth="1"/>
    <col min="14" max="14" width="17" style="64" customWidth="1"/>
    <col min="15" max="15" width="10.3984375" style="64" customWidth="1"/>
    <col min="16" max="16" width="6.69921875" style="64" customWidth="1"/>
    <col min="17" max="67" width="11.3984375" style="42" customWidth="1"/>
    <col min="68" max="68" width="11.3984375" style="47" customWidth="1"/>
    <col min="69" max="69" width="9.296875" style="48"/>
    <col min="70" max="16384" width="9.296875" style="64"/>
  </cols>
  <sheetData>
    <row r="1" spans="1:16">
      <c r="A1" s="40"/>
      <c r="B1" s="40"/>
      <c r="C1" s="40"/>
      <c r="D1" s="40"/>
      <c r="E1" s="40"/>
      <c r="F1" s="40"/>
      <c r="G1" s="40"/>
      <c r="H1" s="40"/>
      <c r="I1" s="40"/>
      <c r="J1" s="40"/>
      <c r="K1" s="40"/>
      <c r="L1" s="40"/>
      <c r="M1" s="40"/>
      <c r="N1" s="40"/>
      <c r="O1" s="40"/>
      <c r="P1" s="41"/>
    </row>
    <row r="2" spans="1:16">
      <c r="A2" s="40"/>
      <c r="B2" s="40"/>
      <c r="C2" s="10" t="s">
        <v>2208</v>
      </c>
      <c r="D2" s="40"/>
      <c r="E2" s="40"/>
      <c r="F2" s="40"/>
      <c r="G2" s="40"/>
      <c r="H2" s="40"/>
      <c r="I2" s="40"/>
      <c r="J2" s="40"/>
      <c r="K2" s="40"/>
      <c r="L2" s="40"/>
      <c r="M2" s="40"/>
      <c r="N2" s="40"/>
      <c r="O2" s="40"/>
      <c r="P2" s="41"/>
    </row>
    <row r="3" spans="1:16">
      <c r="A3" s="40"/>
      <c r="B3" s="40"/>
      <c r="C3" s="40"/>
      <c r="D3" s="40"/>
      <c r="E3" s="40"/>
      <c r="F3" s="40"/>
      <c r="G3" s="40"/>
      <c r="H3" s="40"/>
      <c r="I3" s="40"/>
      <c r="J3" s="40"/>
      <c r="K3" s="40"/>
      <c r="L3" s="40"/>
      <c r="M3" s="40"/>
      <c r="N3" s="40"/>
      <c r="O3" s="40"/>
      <c r="P3" s="41"/>
    </row>
    <row r="4" spans="1:16">
      <c r="A4" s="40"/>
      <c r="B4" s="40"/>
      <c r="C4" s="40"/>
      <c r="D4" s="40"/>
      <c r="E4" s="40"/>
      <c r="F4" s="40"/>
      <c r="G4" s="40"/>
      <c r="H4" s="40"/>
      <c r="I4" s="40"/>
      <c r="J4" s="40"/>
      <c r="K4" s="40"/>
      <c r="L4" s="40"/>
      <c r="M4" s="40"/>
      <c r="N4" s="40"/>
      <c r="O4" s="40"/>
      <c r="P4" s="41"/>
    </row>
    <row r="5" spans="1:16">
      <c r="A5" s="43" t="s">
        <v>559</v>
      </c>
      <c r="B5" s="43"/>
      <c r="C5" s="44"/>
      <c r="D5" s="44"/>
      <c r="E5" s="44"/>
      <c r="F5" s="44"/>
      <c r="G5" s="44"/>
      <c r="H5" s="44"/>
      <c r="I5" s="44"/>
      <c r="J5" s="44"/>
      <c r="K5" s="44"/>
      <c r="L5" s="44"/>
      <c r="M5" s="40"/>
      <c r="N5" s="40"/>
      <c r="O5" s="40"/>
      <c r="P5" s="41"/>
    </row>
    <row r="6" spans="1:16">
      <c r="A6" s="44" t="s">
        <v>560</v>
      </c>
      <c r="B6" s="44"/>
      <c r="C6" s="40"/>
      <c r="D6" s="40"/>
      <c r="E6" s="40"/>
      <c r="F6" s="40"/>
      <c r="G6" s="40"/>
      <c r="H6" s="40"/>
      <c r="I6" s="40"/>
      <c r="J6" s="40"/>
      <c r="K6" s="40"/>
      <c r="L6" s="40"/>
      <c r="M6" s="40"/>
      <c r="N6" s="40"/>
      <c r="O6" s="40"/>
      <c r="P6" s="41"/>
    </row>
    <row r="7" spans="1:16">
      <c r="A7" s="40"/>
      <c r="B7" s="40"/>
      <c r="C7" s="40"/>
      <c r="D7" s="40"/>
      <c r="E7" s="40"/>
      <c r="F7" s="40"/>
      <c r="G7" s="40"/>
      <c r="H7" s="40"/>
      <c r="I7" s="40"/>
      <c r="J7" s="40"/>
      <c r="K7" s="40"/>
      <c r="L7" s="40"/>
      <c r="M7" s="40"/>
      <c r="N7" s="40"/>
      <c r="O7" s="40"/>
      <c r="P7" s="41"/>
    </row>
    <row r="8" spans="1:16">
      <c r="A8" s="45" t="s">
        <v>561</v>
      </c>
      <c r="B8" s="45"/>
      <c r="C8" s="45"/>
      <c r="D8" s="45"/>
      <c r="E8" s="45"/>
      <c r="F8" s="45"/>
      <c r="G8" s="45"/>
      <c r="H8" s="45"/>
      <c r="I8" s="45"/>
      <c r="J8" s="45"/>
      <c r="K8" s="45"/>
      <c r="L8" s="45"/>
      <c r="M8" s="45"/>
      <c r="N8" s="45"/>
      <c r="O8" s="45"/>
      <c r="P8" s="45"/>
    </row>
    <row r="9" spans="1:16">
      <c r="A9" s="45" t="s">
        <v>563</v>
      </c>
      <c r="B9" s="45"/>
      <c r="C9" s="45"/>
      <c r="D9" s="45"/>
      <c r="E9" s="45"/>
      <c r="F9" s="45"/>
      <c r="G9" s="45"/>
      <c r="H9" s="45"/>
      <c r="I9" s="45"/>
      <c r="J9" s="45"/>
      <c r="K9" s="45"/>
      <c r="L9" s="45"/>
      <c r="M9" s="45"/>
      <c r="N9" s="45"/>
      <c r="O9" s="45"/>
      <c r="P9" s="45"/>
    </row>
    <row r="10" spans="1:16" s="42" customFormat="1">
      <c r="A10" s="43"/>
      <c r="B10" s="43"/>
      <c r="C10" s="43"/>
      <c r="D10" s="43"/>
      <c r="E10" s="43"/>
      <c r="F10" s="43"/>
      <c r="G10" s="43"/>
      <c r="H10" s="43"/>
      <c r="I10" s="43"/>
      <c r="J10" s="43"/>
      <c r="K10" s="43"/>
      <c r="L10" s="40"/>
      <c r="M10" s="40"/>
      <c r="N10" s="40"/>
      <c r="O10" s="40"/>
      <c r="P10" s="41"/>
    </row>
    <row r="11" spans="1:16" ht="14.7" customHeight="1">
      <c r="A11" s="564" t="s">
        <v>565</v>
      </c>
      <c r="B11" s="564"/>
      <c r="C11" s="564"/>
      <c r="D11" s="564"/>
      <c r="E11" s="564"/>
      <c r="F11" s="564"/>
      <c r="G11" s="564"/>
      <c r="H11" s="564"/>
      <c r="I11" s="564"/>
      <c r="J11" s="564"/>
      <c r="K11" s="564"/>
      <c r="L11" s="564"/>
      <c r="M11" s="564"/>
      <c r="N11" s="564"/>
      <c r="O11" s="564"/>
      <c r="P11" s="564"/>
    </row>
    <row r="12" spans="1:16" ht="11.7" customHeight="1">
      <c r="A12" s="564"/>
      <c r="B12" s="564"/>
      <c r="C12" s="564"/>
      <c r="D12" s="564"/>
      <c r="E12" s="564"/>
      <c r="F12" s="564"/>
      <c r="G12" s="564"/>
      <c r="H12" s="564"/>
      <c r="I12" s="564"/>
      <c r="J12" s="564"/>
      <c r="K12" s="564"/>
      <c r="L12" s="564"/>
      <c r="M12" s="564"/>
      <c r="N12" s="564"/>
      <c r="O12" s="564"/>
      <c r="P12" s="564"/>
    </row>
    <row r="13" spans="1:16" s="42" customFormat="1">
      <c r="A13" s="43"/>
      <c r="B13" s="43"/>
      <c r="C13" s="43"/>
      <c r="D13" s="43"/>
      <c r="E13" s="43"/>
      <c r="F13" s="43"/>
      <c r="G13" s="43"/>
      <c r="H13" s="43"/>
      <c r="I13" s="43"/>
      <c r="J13" s="43"/>
      <c r="K13" s="43"/>
      <c r="L13" s="40"/>
      <c r="M13" s="40"/>
      <c r="N13" s="40"/>
      <c r="O13" s="40"/>
      <c r="P13" s="41"/>
    </row>
    <row r="14" spans="1:16" s="42" customFormat="1">
      <c r="A14" s="43" t="s">
        <v>566</v>
      </c>
      <c r="B14" s="43"/>
      <c r="C14" s="43"/>
      <c r="D14" s="43"/>
      <c r="E14" s="43"/>
      <c r="F14" s="43"/>
      <c r="G14" s="43"/>
      <c r="H14" s="43"/>
      <c r="I14" s="43"/>
      <c r="J14" s="43"/>
      <c r="K14" s="43"/>
      <c r="L14" s="40"/>
      <c r="M14" s="40"/>
      <c r="N14" s="40"/>
      <c r="O14" s="40"/>
      <c r="P14" s="41"/>
    </row>
    <row r="15" spans="1:16" s="42" customFormat="1">
      <c r="A15" s="43"/>
      <c r="B15" s="43"/>
      <c r="C15" s="43"/>
      <c r="D15" s="43"/>
      <c r="E15" s="43"/>
      <c r="F15" s="43"/>
      <c r="G15" s="43"/>
      <c r="H15" s="43"/>
      <c r="I15" s="43"/>
      <c r="J15" s="43"/>
      <c r="K15" s="43"/>
      <c r="L15" s="40"/>
      <c r="M15" s="40"/>
      <c r="N15" s="40"/>
      <c r="O15" s="40"/>
      <c r="P15" s="41"/>
    </row>
    <row r="16" spans="1:16" s="42" customFormat="1">
      <c r="A16" s="552"/>
      <c r="B16" s="553"/>
      <c r="C16" s="553"/>
      <c r="D16" s="553"/>
      <c r="E16" s="554"/>
      <c r="F16" s="565" t="s">
        <v>567</v>
      </c>
      <c r="G16" s="566"/>
      <c r="H16" s="567"/>
      <c r="I16" s="558" t="s">
        <v>568</v>
      </c>
      <c r="J16" s="558"/>
      <c r="K16" s="558"/>
      <c r="L16" s="558"/>
      <c r="M16" s="558"/>
      <c r="N16" s="559"/>
      <c r="O16" s="560"/>
      <c r="P16" s="560"/>
    </row>
    <row r="17" spans="1:68">
      <c r="A17" s="555"/>
      <c r="B17" s="556"/>
      <c r="C17" s="556"/>
      <c r="D17" s="556"/>
      <c r="E17" s="557"/>
      <c r="F17" s="568"/>
      <c r="G17" s="569"/>
      <c r="H17" s="570"/>
      <c r="I17" s="558" t="s">
        <v>569</v>
      </c>
      <c r="J17" s="558"/>
      <c r="K17" s="563" t="s">
        <v>570</v>
      </c>
      <c r="L17" s="563"/>
      <c r="M17" s="46" t="s">
        <v>571</v>
      </c>
      <c r="N17" s="561"/>
      <c r="O17" s="562"/>
      <c r="P17" s="562"/>
    </row>
    <row r="18" spans="1:68" s="51" customFormat="1" ht="45" customHeight="1">
      <c r="A18" s="49" t="s">
        <v>572</v>
      </c>
      <c r="B18" s="49" t="s">
        <v>573</v>
      </c>
      <c r="C18" s="49" t="s">
        <v>574</v>
      </c>
      <c r="D18" s="49" t="s">
        <v>575</v>
      </c>
      <c r="E18" s="49" t="s">
        <v>576</v>
      </c>
      <c r="F18" s="49" t="s">
        <v>577</v>
      </c>
      <c r="G18" s="49" t="s">
        <v>578</v>
      </c>
      <c r="H18" s="49" t="s">
        <v>579</v>
      </c>
      <c r="I18" s="49" t="s">
        <v>580</v>
      </c>
      <c r="J18" s="49" t="s">
        <v>581</v>
      </c>
      <c r="K18" s="49" t="s">
        <v>582</v>
      </c>
      <c r="L18" s="49" t="s">
        <v>583</v>
      </c>
      <c r="M18" s="49" t="s">
        <v>584</v>
      </c>
      <c r="N18" s="49" t="s">
        <v>585</v>
      </c>
      <c r="O18" s="49" t="s">
        <v>586</v>
      </c>
      <c r="P18" s="50" t="s">
        <v>587</v>
      </c>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row>
    <row r="19" spans="1:68">
      <c r="A19" s="52"/>
      <c r="B19" s="52"/>
      <c r="C19" s="52"/>
      <c r="D19" s="52"/>
      <c r="E19" s="52"/>
      <c r="F19" s="52"/>
      <c r="G19" s="52"/>
      <c r="H19" s="52"/>
      <c r="I19" s="52"/>
      <c r="J19" s="52"/>
      <c r="K19" s="52"/>
      <c r="L19" s="52"/>
      <c r="M19" s="52"/>
      <c r="N19" s="53"/>
      <c r="O19" s="53"/>
      <c r="P19" s="54"/>
    </row>
    <row r="20" spans="1:68">
      <c r="A20" s="55"/>
      <c r="B20" s="55"/>
      <c r="C20" s="55"/>
      <c r="D20" s="55"/>
      <c r="E20" s="55"/>
      <c r="F20" s="55"/>
      <c r="G20" s="55"/>
      <c r="H20" s="55"/>
      <c r="I20" s="56"/>
      <c r="J20" s="56"/>
      <c r="K20" s="56"/>
      <c r="L20" s="56"/>
      <c r="M20" s="56"/>
      <c r="N20" s="57"/>
      <c r="O20" s="55"/>
      <c r="P20" s="58"/>
    </row>
    <row r="21" spans="1:68">
      <c r="A21" s="550"/>
      <c r="B21" s="550"/>
      <c r="C21" s="550"/>
      <c r="D21" s="550"/>
      <c r="E21" s="550"/>
      <c r="F21" s="550"/>
      <c r="G21" s="550"/>
      <c r="H21" s="550"/>
      <c r="I21" s="550"/>
      <c r="J21" s="550"/>
      <c r="K21" s="550"/>
      <c r="L21" s="40"/>
      <c r="M21" s="40"/>
      <c r="N21" s="40"/>
      <c r="O21" s="40"/>
      <c r="P21" s="40"/>
    </row>
    <row r="22" spans="1:68">
      <c r="A22" s="43" t="s">
        <v>588</v>
      </c>
      <c r="B22" s="59"/>
      <c r="C22" s="59"/>
      <c r="D22" s="59"/>
      <c r="E22" s="59"/>
      <c r="F22" s="59"/>
      <c r="G22" s="59"/>
      <c r="H22" s="59"/>
      <c r="I22" s="59"/>
      <c r="J22" s="59"/>
      <c r="K22" s="59"/>
      <c r="L22" s="59"/>
      <c r="M22" s="59"/>
      <c r="N22" s="59"/>
      <c r="O22" s="59"/>
      <c r="P22" s="59"/>
    </row>
    <row r="23" spans="1:68">
      <c r="A23" s="59"/>
      <c r="B23" s="59"/>
      <c r="C23" s="59"/>
      <c r="D23" s="59"/>
      <c r="E23" s="59"/>
      <c r="F23" s="59"/>
      <c r="G23" s="59"/>
      <c r="H23" s="59"/>
      <c r="I23" s="59"/>
      <c r="J23" s="59"/>
      <c r="K23" s="59"/>
      <c r="L23" s="59"/>
      <c r="M23" s="59"/>
      <c r="N23" s="40"/>
      <c r="O23" s="40"/>
      <c r="P23" s="40"/>
      <c r="BM23" s="60"/>
      <c r="BN23" s="41"/>
      <c r="BO23" s="41"/>
      <c r="BP23" s="41"/>
    </row>
    <row r="24" spans="1:68" s="42" customFormat="1">
      <c r="A24" s="552"/>
      <c r="B24" s="553"/>
      <c r="C24" s="554"/>
      <c r="D24" s="558" t="s">
        <v>568</v>
      </c>
      <c r="E24" s="558"/>
      <c r="F24" s="558"/>
      <c r="G24" s="558"/>
      <c r="H24" s="558"/>
      <c r="I24" s="559"/>
      <c r="J24" s="560"/>
      <c r="K24" s="560"/>
    </row>
    <row r="25" spans="1:68">
      <c r="A25" s="555"/>
      <c r="B25" s="556"/>
      <c r="C25" s="557"/>
      <c r="D25" s="558" t="s">
        <v>569</v>
      </c>
      <c r="E25" s="558"/>
      <c r="F25" s="563" t="s">
        <v>570</v>
      </c>
      <c r="G25" s="563"/>
      <c r="H25" s="46" t="s">
        <v>571</v>
      </c>
      <c r="I25" s="561"/>
      <c r="J25" s="562"/>
      <c r="K25" s="562"/>
      <c r="L25" s="40"/>
      <c r="M25" s="40"/>
      <c r="N25" s="40"/>
      <c r="O25" s="40"/>
      <c r="P25" s="40"/>
      <c r="BK25" s="60"/>
      <c r="BL25" s="41"/>
      <c r="BM25" s="41"/>
      <c r="BN25" s="41"/>
      <c r="BO25" s="41"/>
      <c r="BP25" s="41"/>
    </row>
    <row r="26" spans="1:68" s="51" customFormat="1" ht="30" customHeight="1">
      <c r="A26" s="49" t="s">
        <v>572</v>
      </c>
      <c r="B26" s="49" t="s">
        <v>589</v>
      </c>
      <c r="C26" s="49" t="s">
        <v>590</v>
      </c>
      <c r="D26" s="49" t="s">
        <v>580</v>
      </c>
      <c r="E26" s="49" t="s">
        <v>581</v>
      </c>
      <c r="F26" s="49" t="s">
        <v>582</v>
      </c>
      <c r="G26" s="49" t="s">
        <v>583</v>
      </c>
      <c r="H26" s="49" t="s">
        <v>584</v>
      </c>
      <c r="I26" s="49" t="s">
        <v>591</v>
      </c>
      <c r="J26" s="49" t="s">
        <v>586</v>
      </c>
      <c r="K26" s="50" t="s">
        <v>587</v>
      </c>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row>
    <row r="27" spans="1:68">
      <c r="A27" s="52"/>
      <c r="B27" s="52"/>
      <c r="C27" s="52"/>
      <c r="D27" s="52"/>
      <c r="E27" s="52"/>
      <c r="F27" s="52"/>
      <c r="G27" s="52"/>
      <c r="H27" s="52"/>
      <c r="I27" s="53"/>
      <c r="J27" s="53"/>
      <c r="K27" s="54"/>
      <c r="L27" s="40"/>
      <c r="M27" s="40"/>
      <c r="N27" s="40"/>
      <c r="O27" s="40"/>
      <c r="P27" s="40"/>
      <c r="BK27" s="60"/>
      <c r="BL27" s="41"/>
      <c r="BM27" s="41"/>
      <c r="BN27" s="41"/>
      <c r="BO27" s="41"/>
      <c r="BP27" s="41"/>
    </row>
    <row r="28" spans="1:68">
      <c r="A28" s="55"/>
      <c r="B28" s="55"/>
      <c r="C28" s="55"/>
      <c r="D28" s="56"/>
      <c r="E28" s="56"/>
      <c r="F28" s="56"/>
      <c r="G28" s="56"/>
      <c r="H28" s="56"/>
      <c r="I28" s="57"/>
      <c r="J28" s="55"/>
      <c r="K28" s="58"/>
      <c r="L28" s="40"/>
      <c r="M28" s="40"/>
      <c r="N28" s="40"/>
      <c r="O28" s="40"/>
      <c r="P28" s="40"/>
      <c r="BK28" s="60"/>
      <c r="BL28" s="41"/>
      <c r="BM28" s="41"/>
      <c r="BN28" s="41"/>
      <c r="BO28" s="41"/>
      <c r="BP28" s="41"/>
    </row>
    <row r="29" spans="1:68">
      <c r="A29" s="550"/>
      <c r="B29" s="550"/>
      <c r="C29" s="550"/>
      <c r="D29" s="550"/>
      <c r="E29" s="550"/>
      <c r="F29" s="550"/>
      <c r="G29" s="550"/>
      <c r="H29" s="550"/>
      <c r="I29" s="550"/>
      <c r="J29" s="550"/>
      <c r="K29" s="550"/>
      <c r="L29" s="40"/>
      <c r="M29" s="40"/>
      <c r="N29" s="40"/>
      <c r="O29" s="40"/>
      <c r="P29" s="40"/>
    </row>
    <row r="30" spans="1:68">
      <c r="A30" s="551" t="s">
        <v>592</v>
      </c>
      <c r="B30" s="551"/>
      <c r="C30" s="551"/>
      <c r="D30" s="551"/>
      <c r="E30" s="551"/>
      <c r="F30" s="551"/>
      <c r="G30" s="551"/>
      <c r="H30" s="551"/>
      <c r="I30" s="551"/>
      <c r="J30" s="551"/>
      <c r="K30" s="551"/>
      <c r="L30" s="40"/>
      <c r="M30" s="40"/>
      <c r="N30" s="40"/>
      <c r="O30" s="40"/>
      <c r="P30" s="40"/>
    </row>
    <row r="31" spans="1:68">
      <c r="A31" s="550" t="s">
        <v>593</v>
      </c>
      <c r="B31" s="550"/>
      <c r="C31" s="550"/>
      <c r="D31" s="550"/>
      <c r="E31" s="550"/>
      <c r="F31" s="550"/>
      <c r="G31" s="550"/>
      <c r="H31" s="550"/>
      <c r="I31" s="550"/>
      <c r="J31" s="550"/>
      <c r="K31" s="550"/>
      <c r="L31" s="40"/>
      <c r="M31" s="40"/>
      <c r="N31" s="40"/>
      <c r="O31" s="40"/>
      <c r="P31" s="40"/>
    </row>
    <row r="32" spans="1:68">
      <c r="A32" s="550"/>
      <c r="B32" s="550"/>
      <c r="C32" s="550"/>
      <c r="D32" s="550"/>
      <c r="E32" s="550"/>
      <c r="F32" s="550"/>
      <c r="G32" s="550"/>
      <c r="H32" s="550"/>
      <c r="I32" s="550"/>
      <c r="J32" s="550"/>
      <c r="K32" s="550"/>
      <c r="L32" s="40"/>
      <c r="M32" s="40"/>
      <c r="N32" s="40"/>
      <c r="O32" s="40"/>
      <c r="P32" s="40"/>
    </row>
    <row r="33" spans="1:16">
      <c r="A33" s="548" t="s">
        <v>594</v>
      </c>
      <c r="B33" s="548"/>
      <c r="C33" s="548"/>
      <c r="D33" s="548"/>
      <c r="E33" s="548"/>
      <c r="F33" s="548"/>
      <c r="G33" s="548"/>
      <c r="H33" s="548"/>
      <c r="I33" s="548"/>
      <c r="J33" s="548"/>
      <c r="K33" s="548"/>
      <c r="L33" s="40"/>
      <c r="M33" s="40"/>
      <c r="N33" s="40"/>
      <c r="O33" s="40"/>
      <c r="P33" s="40"/>
    </row>
    <row r="34" spans="1:16">
      <c r="A34" s="550"/>
      <c r="B34" s="550"/>
      <c r="C34" s="550"/>
      <c r="D34" s="550"/>
      <c r="E34" s="550"/>
      <c r="F34" s="550"/>
      <c r="G34" s="550"/>
      <c r="H34" s="550"/>
      <c r="I34" s="550"/>
      <c r="J34" s="550"/>
      <c r="K34" s="550"/>
      <c r="L34" s="40"/>
      <c r="M34" s="40"/>
      <c r="N34" s="40"/>
      <c r="O34" s="40"/>
      <c r="P34" s="40"/>
    </row>
    <row r="35" spans="1:16">
      <c r="A35" s="548" t="s">
        <v>595</v>
      </c>
      <c r="B35" s="548"/>
      <c r="C35" s="548"/>
      <c r="D35" s="548"/>
      <c r="E35" s="548"/>
      <c r="F35" s="548"/>
      <c r="G35" s="548"/>
      <c r="H35" s="548"/>
      <c r="I35" s="548"/>
      <c r="J35" s="548"/>
      <c r="K35" s="548"/>
      <c r="L35" s="40"/>
      <c r="M35" s="40"/>
      <c r="N35" s="40"/>
      <c r="O35" s="40"/>
      <c r="P35" s="40"/>
    </row>
    <row r="36" spans="1:16">
      <c r="A36" s="549" t="s">
        <v>596</v>
      </c>
      <c r="B36" s="549"/>
      <c r="C36" s="549"/>
      <c r="D36" s="549"/>
      <c r="E36" s="549"/>
      <c r="F36" s="549"/>
      <c r="G36" s="549"/>
      <c r="H36" s="549"/>
      <c r="I36" s="549"/>
      <c r="J36" s="549"/>
      <c r="K36" s="549"/>
      <c r="L36" s="40"/>
      <c r="M36" s="40"/>
      <c r="N36" s="40"/>
      <c r="O36" s="40"/>
      <c r="P36" s="40"/>
    </row>
    <row r="37" spans="1:16">
      <c r="A37" s="549" t="s">
        <v>597</v>
      </c>
      <c r="B37" s="549"/>
      <c r="C37" s="549"/>
      <c r="D37" s="549"/>
      <c r="E37" s="549"/>
      <c r="F37" s="549"/>
      <c r="G37" s="549"/>
      <c r="H37" s="549"/>
      <c r="I37" s="549"/>
      <c r="J37" s="549"/>
      <c r="K37" s="549"/>
      <c r="L37" s="40"/>
      <c r="M37" s="40"/>
      <c r="N37" s="40"/>
      <c r="O37" s="40"/>
      <c r="P37" s="40"/>
    </row>
    <row r="38" spans="1:16">
      <c r="A38" s="40"/>
      <c r="B38" s="40"/>
      <c r="C38" s="40"/>
      <c r="D38" s="40"/>
      <c r="E38" s="40"/>
      <c r="F38" s="40"/>
      <c r="G38" s="40"/>
      <c r="H38" s="40"/>
      <c r="I38" s="40"/>
      <c r="J38" s="40"/>
      <c r="K38" s="40"/>
      <c r="L38" s="40"/>
      <c r="M38" s="40"/>
      <c r="N38" s="40"/>
      <c r="O38" s="40"/>
      <c r="P38" s="40"/>
    </row>
    <row r="39" spans="1:16">
      <c r="A39" s="61" t="s">
        <v>598</v>
      </c>
      <c r="B39" s="40"/>
      <c r="C39" s="40"/>
      <c r="D39" s="40"/>
      <c r="E39" s="40"/>
      <c r="F39" s="40"/>
      <c r="G39" s="40"/>
      <c r="H39" s="40"/>
      <c r="I39" s="40"/>
      <c r="J39" s="40"/>
      <c r="K39" s="40"/>
      <c r="L39" s="40"/>
      <c r="M39" s="40"/>
      <c r="N39" s="40"/>
      <c r="O39" s="40"/>
      <c r="P39" s="40"/>
    </row>
    <row r="40" spans="1:16">
      <c r="A40" s="62"/>
      <c r="B40" s="40"/>
      <c r="C40" s="40"/>
      <c r="D40" s="40"/>
      <c r="E40" s="40"/>
      <c r="F40" s="40"/>
      <c r="G40" s="40"/>
      <c r="H40" s="40"/>
      <c r="I40" s="40"/>
      <c r="J40" s="40"/>
      <c r="K40" s="40"/>
      <c r="L40" s="40"/>
      <c r="M40" s="40"/>
      <c r="N40" s="40"/>
      <c r="O40" s="40"/>
      <c r="P40" s="40"/>
    </row>
    <row r="41" spans="1:16">
      <c r="A41" s="63" t="s">
        <v>599</v>
      </c>
      <c r="B41" s="40"/>
      <c r="C41" s="40"/>
      <c r="D41" s="40"/>
      <c r="E41" s="40"/>
      <c r="F41" s="40"/>
      <c r="G41" s="40"/>
      <c r="H41" s="40"/>
      <c r="I41" s="40"/>
      <c r="J41" s="40"/>
      <c r="K41" s="40"/>
      <c r="L41" s="40"/>
      <c r="M41" s="40"/>
      <c r="N41" s="40"/>
      <c r="O41" s="40"/>
      <c r="P41" s="40"/>
    </row>
    <row r="42" spans="1:16">
      <c r="A42" s="63" t="s">
        <v>600</v>
      </c>
      <c r="B42" s="40"/>
      <c r="C42" s="40"/>
      <c r="D42" s="40"/>
      <c r="E42" s="40"/>
      <c r="F42" s="40"/>
      <c r="G42" s="40"/>
      <c r="H42" s="40"/>
      <c r="I42" s="40"/>
      <c r="J42" s="40"/>
      <c r="K42" s="40"/>
      <c r="L42" s="40"/>
      <c r="M42" s="40"/>
      <c r="N42" s="40"/>
      <c r="O42" s="40"/>
      <c r="P42" s="40"/>
    </row>
    <row r="43" spans="1:16">
      <c r="A43" s="63" t="s">
        <v>601</v>
      </c>
      <c r="B43" s="40"/>
      <c r="C43" s="40"/>
      <c r="D43" s="40"/>
      <c r="E43" s="40"/>
      <c r="F43" s="40"/>
      <c r="G43" s="40"/>
      <c r="H43" s="40"/>
      <c r="I43" s="40"/>
      <c r="J43" s="40"/>
      <c r="K43" s="40"/>
      <c r="L43" s="40"/>
      <c r="M43" s="40"/>
      <c r="N43" s="40"/>
      <c r="O43" s="40"/>
      <c r="P43" s="40"/>
    </row>
    <row r="44" spans="1:16">
      <c r="A44" s="63" t="s">
        <v>602</v>
      </c>
      <c r="B44" s="40"/>
      <c r="C44" s="40"/>
      <c r="D44" s="40"/>
      <c r="E44" s="40"/>
      <c r="F44" s="40"/>
      <c r="G44" s="40"/>
      <c r="H44" s="40"/>
      <c r="I44" s="40"/>
      <c r="J44" s="40"/>
      <c r="K44" s="40"/>
      <c r="L44" s="40"/>
      <c r="M44" s="40"/>
      <c r="N44" s="40"/>
      <c r="O44" s="40"/>
      <c r="P44" s="40"/>
    </row>
    <row r="45" spans="1:16">
      <c r="A45" s="63" t="s">
        <v>603</v>
      </c>
      <c r="B45" s="40"/>
      <c r="C45" s="40"/>
      <c r="D45" s="40"/>
      <c r="E45" s="40"/>
      <c r="F45" s="40"/>
      <c r="G45" s="40"/>
      <c r="H45" s="40"/>
      <c r="I45" s="40"/>
      <c r="J45" s="40"/>
      <c r="K45" s="40"/>
      <c r="L45" s="40"/>
      <c r="M45" s="40"/>
      <c r="N45" s="40"/>
      <c r="O45" s="40"/>
      <c r="P45" s="40"/>
    </row>
    <row r="46" spans="1:16">
      <c r="A46" s="63" t="s">
        <v>604</v>
      </c>
      <c r="B46" s="40"/>
      <c r="C46" s="40"/>
      <c r="D46" s="40"/>
      <c r="E46" s="40"/>
      <c r="F46" s="40"/>
      <c r="G46" s="40"/>
      <c r="H46" s="40"/>
      <c r="I46" s="40"/>
      <c r="J46" s="40"/>
      <c r="K46" s="40"/>
      <c r="L46" s="40"/>
      <c r="M46" s="40"/>
      <c r="N46" s="40"/>
      <c r="O46" s="40"/>
      <c r="P46" s="40"/>
    </row>
    <row r="47" spans="1:16">
      <c r="A47" s="63" t="s">
        <v>605</v>
      </c>
      <c r="B47" s="40"/>
      <c r="C47" s="40"/>
      <c r="D47" s="40"/>
      <c r="E47" s="40"/>
      <c r="F47" s="40"/>
      <c r="G47" s="40"/>
      <c r="H47" s="40"/>
      <c r="I47" s="40"/>
      <c r="J47" s="40"/>
      <c r="K47" s="40"/>
      <c r="L47" s="40"/>
      <c r="M47" s="40"/>
      <c r="N47" s="40"/>
      <c r="O47" s="40"/>
      <c r="P47" s="40"/>
    </row>
    <row r="48" spans="1:16" s="51" customFormat="1" ht="14.4">
      <c r="A48" s="40"/>
      <c r="B48" s="40"/>
      <c r="C48" s="40"/>
      <c r="D48" s="40"/>
      <c r="E48" s="40"/>
      <c r="F48" s="40"/>
      <c r="G48" s="40"/>
      <c r="H48" s="40"/>
      <c r="I48" s="40"/>
      <c r="J48" s="40"/>
      <c r="K48" s="40"/>
      <c r="L48" s="40"/>
      <c r="M48" s="40"/>
      <c r="N48" s="40"/>
      <c r="O48" s="40"/>
      <c r="P48" s="40"/>
    </row>
    <row r="49" spans="1:16" s="51" customFormat="1" ht="14.4">
      <c r="A49" s="40"/>
      <c r="B49" s="40"/>
      <c r="C49" s="40"/>
      <c r="D49" s="40"/>
      <c r="E49" s="40"/>
      <c r="F49" s="40"/>
      <c r="G49" s="40"/>
      <c r="H49" s="40"/>
      <c r="I49" s="40"/>
      <c r="J49" s="40"/>
      <c r="K49" s="40"/>
      <c r="L49" s="40"/>
      <c r="M49" s="40"/>
      <c r="N49" s="40"/>
      <c r="O49" s="40"/>
      <c r="P49" s="40"/>
    </row>
    <row r="50" spans="1:16" s="51" customFormat="1" ht="14.4">
      <c r="A50" s="40"/>
      <c r="B50" s="40"/>
      <c r="C50" s="40"/>
      <c r="D50" s="40"/>
      <c r="E50" s="40"/>
      <c r="F50" s="40"/>
      <c r="G50" s="40"/>
      <c r="H50" s="40"/>
      <c r="I50" s="40"/>
      <c r="J50" s="40"/>
      <c r="K50" s="40"/>
      <c r="L50" s="40"/>
      <c r="M50" s="40"/>
      <c r="N50" s="40"/>
      <c r="O50" s="40"/>
      <c r="P50" s="40"/>
    </row>
    <row r="51" spans="1:16" s="51" customFormat="1" ht="14.4">
      <c r="A51" s="40"/>
      <c r="B51" s="40"/>
      <c r="C51" s="40"/>
      <c r="D51" s="40"/>
      <c r="E51" s="40"/>
      <c r="F51" s="40"/>
      <c r="G51" s="40"/>
      <c r="H51" s="40"/>
      <c r="I51" s="40"/>
      <c r="J51" s="40"/>
      <c r="K51" s="40"/>
      <c r="L51" s="40"/>
      <c r="M51" s="40"/>
      <c r="N51" s="40"/>
      <c r="O51" s="40"/>
      <c r="P51" s="40"/>
    </row>
    <row r="52" spans="1:16" s="51" customFormat="1" ht="14.4">
      <c r="A52" s="40"/>
      <c r="B52" s="40"/>
      <c r="C52" s="40"/>
      <c r="D52" s="40"/>
      <c r="E52" s="40"/>
      <c r="F52" s="40"/>
      <c r="G52" s="40"/>
      <c r="H52" s="40"/>
      <c r="I52" s="40"/>
      <c r="J52" s="40"/>
      <c r="K52" s="40"/>
      <c r="L52" s="40"/>
      <c r="M52" s="40"/>
      <c r="N52" s="40"/>
      <c r="O52" s="40"/>
      <c r="P52" s="40"/>
    </row>
    <row r="53" spans="1:16" s="51" customFormat="1" ht="14.4">
      <c r="A53" s="40"/>
      <c r="B53" s="40"/>
      <c r="C53" s="40"/>
      <c r="D53" s="40"/>
      <c r="E53" s="40"/>
      <c r="F53" s="40"/>
      <c r="G53" s="40"/>
      <c r="H53" s="40"/>
      <c r="I53" s="40"/>
      <c r="J53" s="40"/>
      <c r="K53" s="40"/>
      <c r="L53" s="40"/>
      <c r="M53" s="40"/>
      <c r="N53" s="40"/>
      <c r="O53" s="40"/>
      <c r="P53" s="40"/>
    </row>
    <row r="54" spans="1:16" s="51" customFormat="1" ht="14.4">
      <c r="A54" s="40"/>
      <c r="B54" s="40"/>
      <c r="C54" s="40"/>
      <c r="D54" s="40"/>
      <c r="E54" s="40"/>
      <c r="F54" s="40"/>
      <c r="G54" s="40"/>
      <c r="H54" s="40"/>
      <c r="I54" s="40"/>
      <c r="J54" s="40"/>
      <c r="K54" s="40"/>
      <c r="L54" s="40"/>
      <c r="M54" s="40"/>
      <c r="N54" s="40"/>
      <c r="O54" s="40"/>
      <c r="P54" s="40"/>
    </row>
    <row r="55" spans="1:16" s="51" customFormat="1" ht="14.4">
      <c r="A55" s="40"/>
      <c r="B55" s="40"/>
      <c r="C55" s="40"/>
      <c r="D55" s="40"/>
      <c r="E55" s="40"/>
      <c r="F55" s="40"/>
      <c r="G55" s="40"/>
      <c r="H55" s="40"/>
      <c r="I55" s="40"/>
      <c r="J55" s="40"/>
      <c r="K55" s="40"/>
      <c r="L55" s="40"/>
      <c r="M55" s="40"/>
      <c r="N55" s="40"/>
      <c r="O55" s="40"/>
      <c r="P55" s="40"/>
    </row>
    <row r="56" spans="1:16" s="51" customFormat="1" ht="14.4">
      <c r="A56" s="40"/>
      <c r="B56" s="40"/>
      <c r="C56" s="40"/>
      <c r="D56" s="40"/>
      <c r="E56" s="40"/>
      <c r="F56" s="40"/>
      <c r="G56" s="40"/>
      <c r="H56" s="40"/>
      <c r="I56" s="40"/>
      <c r="J56" s="40"/>
      <c r="K56" s="40"/>
      <c r="L56" s="40"/>
      <c r="M56" s="40"/>
      <c r="N56" s="40"/>
      <c r="O56" s="40"/>
      <c r="P56" s="40"/>
    </row>
    <row r="57" spans="1:16" s="51" customFormat="1" ht="14.4">
      <c r="A57" s="40"/>
      <c r="B57" s="40"/>
      <c r="C57" s="40"/>
      <c r="D57" s="40"/>
      <c r="E57" s="40"/>
      <c r="F57" s="40"/>
      <c r="G57" s="40"/>
      <c r="H57" s="40"/>
      <c r="I57" s="40"/>
      <c r="J57" s="40"/>
      <c r="K57" s="40"/>
      <c r="L57" s="40"/>
      <c r="M57" s="40"/>
      <c r="N57" s="40"/>
      <c r="O57" s="40"/>
      <c r="P57" s="40"/>
    </row>
    <row r="58" spans="1:16" s="51" customFormat="1" ht="14.4">
      <c r="A58" s="40"/>
      <c r="B58" s="40"/>
      <c r="C58" s="40"/>
      <c r="D58" s="40"/>
      <c r="E58" s="40"/>
      <c r="F58" s="40"/>
      <c r="G58" s="40"/>
      <c r="H58" s="40"/>
      <c r="I58" s="40"/>
      <c r="J58" s="40"/>
      <c r="K58" s="40"/>
      <c r="L58" s="40"/>
      <c r="M58" s="40"/>
      <c r="N58" s="40"/>
      <c r="O58" s="40"/>
      <c r="P58" s="40"/>
    </row>
    <row r="59" spans="1:16" s="51" customFormat="1" ht="14.4">
      <c r="A59" s="40"/>
      <c r="B59" s="40"/>
      <c r="C59" s="40"/>
      <c r="D59" s="40"/>
      <c r="E59" s="40"/>
      <c r="F59" s="40"/>
      <c r="G59" s="40"/>
      <c r="H59" s="40"/>
      <c r="I59" s="40"/>
      <c r="J59" s="40"/>
      <c r="K59" s="40"/>
      <c r="L59" s="40"/>
      <c r="M59" s="40"/>
      <c r="N59" s="40"/>
      <c r="O59" s="40"/>
      <c r="P59" s="40"/>
    </row>
    <row r="60" spans="1:16" s="51" customFormat="1" ht="14.4">
      <c r="A60" s="40"/>
      <c r="B60" s="40"/>
      <c r="C60" s="40"/>
      <c r="D60" s="40"/>
      <c r="E60" s="40"/>
      <c r="F60" s="40"/>
      <c r="G60" s="40"/>
      <c r="H60" s="40"/>
      <c r="I60" s="40"/>
      <c r="J60" s="40"/>
      <c r="K60" s="40"/>
      <c r="L60" s="40"/>
      <c r="M60" s="40"/>
      <c r="N60" s="40"/>
      <c r="O60" s="40"/>
      <c r="P60" s="40"/>
    </row>
    <row r="61" spans="1:16" s="51" customFormat="1" ht="14.4">
      <c r="A61" s="40"/>
      <c r="B61" s="40"/>
      <c r="C61" s="40"/>
      <c r="D61" s="40"/>
      <c r="E61" s="40"/>
      <c r="F61" s="40"/>
      <c r="G61" s="40"/>
      <c r="H61" s="40"/>
      <c r="I61" s="40"/>
      <c r="J61" s="40"/>
      <c r="K61" s="40"/>
      <c r="L61" s="40"/>
      <c r="M61" s="40"/>
      <c r="N61" s="40"/>
      <c r="O61" s="40"/>
      <c r="P61" s="40"/>
    </row>
    <row r="62" spans="1:16" s="51" customFormat="1" ht="14.4">
      <c r="A62" s="40"/>
      <c r="B62" s="40"/>
      <c r="C62" s="40"/>
      <c r="D62" s="40"/>
      <c r="E62" s="40"/>
      <c r="F62" s="40"/>
      <c r="G62" s="40"/>
      <c r="H62" s="40"/>
      <c r="I62" s="40"/>
      <c r="J62" s="40"/>
      <c r="K62" s="40"/>
      <c r="L62" s="40"/>
      <c r="M62" s="40"/>
      <c r="N62" s="40"/>
      <c r="O62" s="40"/>
      <c r="P62" s="40"/>
    </row>
    <row r="63" spans="1:16" s="51" customFormat="1" ht="14.4">
      <c r="A63" s="40"/>
      <c r="B63" s="40"/>
      <c r="C63" s="40"/>
      <c r="D63" s="40"/>
      <c r="E63" s="40"/>
      <c r="F63" s="40"/>
      <c r="G63" s="40"/>
      <c r="H63" s="40"/>
      <c r="I63" s="40"/>
      <c r="J63" s="40"/>
      <c r="K63" s="40"/>
      <c r="L63" s="40"/>
      <c r="M63" s="40"/>
      <c r="N63" s="40"/>
      <c r="O63" s="40"/>
      <c r="P63" s="40"/>
    </row>
    <row r="64" spans="1:16" s="51" customFormat="1" ht="14.4">
      <c r="A64" s="40"/>
      <c r="B64" s="40"/>
      <c r="C64" s="40"/>
      <c r="D64" s="40"/>
      <c r="E64" s="40"/>
      <c r="F64" s="40"/>
      <c r="G64" s="40"/>
      <c r="H64" s="40"/>
      <c r="I64" s="40"/>
      <c r="J64" s="40"/>
      <c r="K64" s="40"/>
      <c r="L64" s="40"/>
      <c r="M64" s="40"/>
      <c r="N64" s="40"/>
      <c r="O64" s="40"/>
      <c r="P64" s="40"/>
    </row>
    <row r="65" spans="1:16" s="51" customFormat="1" ht="14.4">
      <c r="A65" s="40"/>
      <c r="B65" s="40"/>
      <c r="C65" s="40"/>
      <c r="D65" s="40"/>
      <c r="E65" s="40"/>
      <c r="F65" s="40"/>
      <c r="G65" s="40"/>
      <c r="H65" s="40"/>
      <c r="I65" s="40"/>
      <c r="J65" s="40"/>
      <c r="K65" s="40"/>
      <c r="L65" s="40"/>
      <c r="M65" s="40"/>
      <c r="N65" s="40"/>
      <c r="O65" s="40"/>
      <c r="P65" s="40"/>
    </row>
    <row r="66" spans="1:16" s="51" customFormat="1" ht="14.4">
      <c r="A66" s="40"/>
      <c r="B66" s="40"/>
      <c r="C66" s="40"/>
      <c r="D66" s="40"/>
      <c r="E66" s="40"/>
      <c r="F66" s="40"/>
      <c r="G66" s="40"/>
      <c r="H66" s="40"/>
      <c r="I66" s="40"/>
      <c r="J66" s="40"/>
      <c r="K66" s="40"/>
      <c r="L66" s="40"/>
      <c r="M66" s="40"/>
      <c r="N66" s="40"/>
      <c r="O66" s="40"/>
      <c r="P66" s="40"/>
    </row>
    <row r="67" spans="1:16" s="51" customFormat="1" ht="14.4">
      <c r="A67" s="40"/>
      <c r="B67" s="40"/>
      <c r="C67" s="40"/>
      <c r="D67" s="40"/>
      <c r="E67" s="40"/>
      <c r="F67" s="40"/>
      <c r="G67" s="40"/>
      <c r="H67" s="40"/>
      <c r="I67" s="40"/>
      <c r="J67" s="40"/>
      <c r="K67" s="40"/>
      <c r="L67" s="40"/>
      <c r="M67" s="40"/>
      <c r="N67" s="40"/>
      <c r="O67" s="40"/>
      <c r="P67" s="40"/>
    </row>
    <row r="68" spans="1:16" s="51" customFormat="1" ht="14.4">
      <c r="A68" s="40"/>
      <c r="B68" s="40"/>
      <c r="C68" s="40"/>
      <c r="D68" s="40"/>
      <c r="E68" s="40"/>
      <c r="F68" s="40"/>
      <c r="G68" s="40"/>
      <c r="H68" s="40"/>
      <c r="I68" s="40"/>
      <c r="J68" s="40"/>
      <c r="K68" s="40"/>
      <c r="L68" s="40"/>
      <c r="M68" s="40"/>
      <c r="N68" s="40"/>
      <c r="O68" s="40"/>
      <c r="P68" s="40"/>
    </row>
    <row r="69" spans="1:16" s="51" customFormat="1" ht="14.4">
      <c r="A69" s="40"/>
      <c r="B69" s="40"/>
      <c r="C69" s="40"/>
      <c r="D69" s="40"/>
      <c r="E69" s="40"/>
      <c r="F69" s="40"/>
      <c r="G69" s="40"/>
      <c r="H69" s="40"/>
      <c r="I69" s="40"/>
      <c r="J69" s="40"/>
      <c r="K69" s="40"/>
      <c r="L69" s="40"/>
      <c r="M69" s="40"/>
      <c r="N69" s="40"/>
      <c r="O69" s="40"/>
      <c r="P69" s="40"/>
    </row>
    <row r="70" spans="1:16" s="51" customFormat="1" ht="14.4">
      <c r="A70" s="40"/>
      <c r="B70" s="40"/>
      <c r="C70" s="40"/>
      <c r="D70" s="40"/>
      <c r="E70" s="40"/>
      <c r="F70" s="40"/>
      <c r="G70" s="40"/>
      <c r="H70" s="40"/>
      <c r="I70" s="40"/>
      <c r="J70" s="40"/>
      <c r="K70" s="40"/>
      <c r="L70" s="40"/>
      <c r="M70" s="40"/>
      <c r="N70" s="40"/>
      <c r="O70" s="40"/>
      <c r="P70" s="40"/>
    </row>
    <row r="71" spans="1:16" s="51" customFormat="1" ht="14.4">
      <c r="A71" s="40"/>
      <c r="B71" s="40"/>
      <c r="C71" s="40"/>
      <c r="D71" s="40"/>
      <c r="E71" s="40"/>
      <c r="F71" s="40"/>
      <c r="G71" s="40"/>
      <c r="H71" s="40"/>
      <c r="I71" s="40"/>
      <c r="J71" s="40"/>
      <c r="K71" s="40"/>
      <c r="L71" s="40"/>
      <c r="M71" s="40"/>
      <c r="N71" s="40"/>
      <c r="O71" s="40"/>
      <c r="P71" s="40"/>
    </row>
    <row r="72" spans="1:16" s="51" customFormat="1" ht="14.4">
      <c r="A72" s="40"/>
      <c r="B72" s="40"/>
      <c r="C72" s="40"/>
      <c r="D72" s="40"/>
      <c r="E72" s="40"/>
      <c r="F72" s="40"/>
      <c r="G72" s="40"/>
      <c r="H72" s="40"/>
      <c r="I72" s="40"/>
      <c r="J72" s="40"/>
      <c r="K72" s="40"/>
      <c r="L72" s="40"/>
      <c r="M72" s="40"/>
      <c r="N72" s="40"/>
      <c r="O72" s="40"/>
      <c r="P72" s="40"/>
    </row>
    <row r="73" spans="1:16" s="51" customFormat="1" ht="14.4">
      <c r="A73" s="40"/>
      <c r="B73" s="40"/>
      <c r="C73" s="40"/>
      <c r="D73" s="40"/>
      <c r="E73" s="40"/>
      <c r="F73" s="40"/>
      <c r="G73" s="40"/>
      <c r="H73" s="40"/>
      <c r="I73" s="40"/>
      <c r="J73" s="40"/>
      <c r="K73" s="40"/>
      <c r="L73" s="40"/>
      <c r="M73" s="40"/>
      <c r="N73" s="40"/>
      <c r="O73" s="40"/>
      <c r="P73" s="40"/>
    </row>
    <row r="74" spans="1:16" s="51" customFormat="1" ht="14.4">
      <c r="A74" s="40"/>
      <c r="B74" s="40"/>
      <c r="C74" s="40"/>
      <c r="D74" s="40"/>
      <c r="E74" s="40"/>
      <c r="F74" s="40"/>
      <c r="G74" s="40"/>
      <c r="H74" s="40"/>
      <c r="I74" s="40"/>
      <c r="J74" s="40"/>
      <c r="K74" s="40"/>
      <c r="L74" s="40"/>
      <c r="M74" s="40"/>
      <c r="N74" s="40"/>
      <c r="O74" s="40"/>
      <c r="P74" s="40"/>
    </row>
    <row r="75" spans="1:16" s="51" customFormat="1" ht="14.4">
      <c r="A75" s="40"/>
      <c r="B75" s="40"/>
      <c r="C75" s="40"/>
      <c r="D75" s="40"/>
      <c r="E75" s="40"/>
      <c r="F75" s="40"/>
      <c r="G75" s="40"/>
      <c r="H75" s="40"/>
      <c r="I75" s="40"/>
      <c r="J75" s="40"/>
      <c r="K75" s="40"/>
      <c r="L75" s="40"/>
      <c r="M75" s="40"/>
      <c r="N75" s="40"/>
      <c r="O75" s="40"/>
      <c r="P75" s="40"/>
    </row>
    <row r="76" spans="1:16" s="51" customFormat="1" ht="14.4">
      <c r="A76" s="40"/>
      <c r="B76" s="40"/>
      <c r="C76" s="40"/>
      <c r="D76" s="40"/>
      <c r="E76" s="40"/>
      <c r="F76" s="40"/>
      <c r="G76" s="40"/>
      <c r="H76" s="40"/>
      <c r="I76" s="40"/>
      <c r="J76" s="40"/>
      <c r="K76" s="40"/>
      <c r="L76" s="40"/>
      <c r="M76" s="40"/>
      <c r="N76" s="40"/>
      <c r="O76" s="40"/>
      <c r="P76" s="40"/>
    </row>
    <row r="77" spans="1:16" s="51" customFormat="1" ht="14.4">
      <c r="A77" s="40"/>
      <c r="B77" s="40"/>
      <c r="C77" s="40"/>
      <c r="D77" s="40"/>
      <c r="E77" s="40"/>
      <c r="F77" s="40"/>
      <c r="G77" s="40"/>
      <c r="H77" s="40"/>
      <c r="I77" s="40"/>
      <c r="J77" s="40"/>
      <c r="K77" s="40"/>
      <c r="L77" s="40"/>
      <c r="M77" s="40"/>
      <c r="N77" s="40"/>
      <c r="O77" s="40"/>
      <c r="P77" s="40"/>
    </row>
    <row r="78" spans="1:16" s="51" customFormat="1" ht="14.4">
      <c r="A78" s="40"/>
      <c r="B78" s="40"/>
      <c r="C78" s="40"/>
      <c r="D78" s="40"/>
      <c r="E78" s="40"/>
      <c r="F78" s="40"/>
      <c r="G78" s="40"/>
      <c r="H78" s="40"/>
      <c r="I78" s="40"/>
      <c r="J78" s="40"/>
      <c r="K78" s="40"/>
      <c r="L78" s="40"/>
      <c r="M78" s="40"/>
      <c r="N78" s="40"/>
      <c r="O78" s="40"/>
      <c r="P78" s="40"/>
    </row>
    <row r="79" spans="1:16" s="51" customFormat="1" ht="14.4">
      <c r="A79" s="40"/>
      <c r="B79" s="40"/>
      <c r="C79" s="40"/>
      <c r="D79" s="40"/>
      <c r="E79" s="40"/>
      <c r="F79" s="40"/>
      <c r="G79" s="40"/>
      <c r="H79" s="40"/>
      <c r="I79" s="40"/>
      <c r="J79" s="40"/>
      <c r="K79" s="40"/>
      <c r="L79" s="40"/>
      <c r="M79" s="40"/>
      <c r="N79" s="40"/>
      <c r="O79" s="40"/>
      <c r="P79" s="40"/>
    </row>
    <row r="80" spans="1:16" s="51" customFormat="1" ht="14.4">
      <c r="A80" s="40"/>
      <c r="B80" s="40"/>
      <c r="C80" s="40"/>
      <c r="D80" s="40"/>
      <c r="E80" s="40"/>
      <c r="F80" s="40"/>
      <c r="G80" s="40"/>
      <c r="H80" s="40"/>
      <c r="I80" s="40"/>
      <c r="J80" s="40"/>
      <c r="K80" s="40"/>
      <c r="L80" s="40"/>
      <c r="M80" s="40"/>
      <c r="N80" s="40"/>
      <c r="O80" s="40"/>
      <c r="P80" s="40"/>
    </row>
    <row r="81" spans="1:16" s="51" customFormat="1" ht="14.4">
      <c r="A81" s="40"/>
      <c r="B81" s="40"/>
      <c r="C81" s="40"/>
      <c r="D81" s="40"/>
      <c r="E81" s="40"/>
      <c r="F81" s="40"/>
      <c r="G81" s="40"/>
      <c r="H81" s="40"/>
      <c r="I81" s="40"/>
      <c r="J81" s="40"/>
      <c r="K81" s="40"/>
      <c r="L81" s="40"/>
      <c r="M81" s="40"/>
      <c r="N81" s="40"/>
      <c r="O81" s="40"/>
      <c r="P81" s="40"/>
    </row>
    <row r="82" spans="1:16" s="51" customFormat="1" ht="14.4">
      <c r="A82" s="40"/>
      <c r="B82" s="40"/>
      <c r="C82" s="40"/>
      <c r="D82" s="40"/>
      <c r="E82" s="40"/>
      <c r="F82" s="40"/>
      <c r="G82" s="40"/>
      <c r="H82" s="40"/>
      <c r="I82" s="40"/>
      <c r="J82" s="40"/>
      <c r="K82" s="40"/>
      <c r="L82" s="40"/>
      <c r="M82" s="40"/>
      <c r="N82" s="40"/>
      <c r="O82" s="40"/>
      <c r="P82" s="40"/>
    </row>
    <row r="83" spans="1:16" s="51" customFormat="1" ht="14.4">
      <c r="A83" s="40"/>
      <c r="B83" s="40"/>
      <c r="C83" s="40"/>
      <c r="D83" s="40"/>
      <c r="E83" s="40"/>
      <c r="F83" s="40"/>
      <c r="G83" s="40"/>
      <c r="H83" s="40"/>
      <c r="I83" s="40"/>
      <c r="J83" s="40"/>
      <c r="K83" s="40"/>
      <c r="L83" s="40"/>
      <c r="M83" s="40"/>
      <c r="N83" s="40"/>
      <c r="O83" s="40"/>
      <c r="P83" s="40"/>
    </row>
    <row r="84" spans="1:16" s="51" customFormat="1" ht="14.4">
      <c r="A84" s="40"/>
      <c r="B84" s="40"/>
      <c r="C84" s="40"/>
      <c r="D84" s="40"/>
      <c r="E84" s="40"/>
      <c r="F84" s="40"/>
      <c r="G84" s="40"/>
      <c r="H84" s="40"/>
      <c r="I84" s="40"/>
      <c r="J84" s="40"/>
      <c r="K84" s="40"/>
      <c r="L84" s="40"/>
      <c r="M84" s="40"/>
      <c r="N84" s="40"/>
      <c r="O84" s="40"/>
      <c r="P84" s="40"/>
    </row>
    <row r="85" spans="1:16" s="51" customFormat="1" ht="14.4">
      <c r="A85" s="40"/>
      <c r="B85" s="40"/>
      <c r="C85" s="40"/>
      <c r="D85" s="40"/>
      <c r="E85" s="40"/>
      <c r="F85" s="40"/>
      <c r="G85" s="40"/>
      <c r="H85" s="40"/>
      <c r="I85" s="40"/>
      <c r="J85" s="40"/>
      <c r="K85" s="40"/>
      <c r="L85" s="40"/>
      <c r="M85" s="40"/>
      <c r="N85" s="40"/>
      <c r="O85" s="40"/>
      <c r="P85" s="40"/>
    </row>
    <row r="86" spans="1:16" s="51" customFormat="1" ht="14.4">
      <c r="A86" s="40"/>
      <c r="B86" s="40"/>
      <c r="C86" s="40"/>
      <c r="D86" s="40"/>
      <c r="E86" s="40"/>
      <c r="F86" s="40"/>
      <c r="G86" s="40"/>
      <c r="H86" s="40"/>
      <c r="I86" s="40"/>
      <c r="J86" s="40"/>
      <c r="K86" s="40"/>
      <c r="L86" s="40"/>
      <c r="M86" s="40"/>
      <c r="N86" s="40"/>
      <c r="O86" s="40"/>
      <c r="P86" s="40"/>
    </row>
    <row r="87" spans="1:16" s="51" customFormat="1" ht="14.4">
      <c r="A87" s="40"/>
      <c r="B87" s="40"/>
      <c r="C87" s="40"/>
      <c r="D87" s="40"/>
      <c r="E87" s="40"/>
      <c r="F87" s="40"/>
      <c r="G87" s="40"/>
      <c r="H87" s="40"/>
      <c r="I87" s="40"/>
      <c r="J87" s="40"/>
      <c r="K87" s="40"/>
      <c r="L87" s="40"/>
      <c r="M87" s="40"/>
      <c r="N87" s="40"/>
      <c r="O87" s="40"/>
      <c r="P87" s="40"/>
    </row>
    <row r="88" spans="1:16" s="51" customFormat="1" ht="14.4">
      <c r="A88" s="40"/>
      <c r="B88" s="40"/>
      <c r="C88" s="40"/>
      <c r="D88" s="40"/>
      <c r="E88" s="40"/>
      <c r="F88" s="40"/>
      <c r="G88" s="40"/>
      <c r="H88" s="40"/>
      <c r="I88" s="40"/>
      <c r="J88" s="40"/>
      <c r="K88" s="40"/>
      <c r="L88" s="40"/>
      <c r="M88" s="40"/>
      <c r="N88" s="40"/>
      <c r="O88" s="40"/>
      <c r="P88" s="40"/>
    </row>
    <row r="89" spans="1:16" s="51" customFormat="1" ht="14.4">
      <c r="A89" s="40"/>
      <c r="B89" s="40"/>
      <c r="C89" s="40"/>
      <c r="D89" s="40"/>
      <c r="E89" s="40"/>
      <c r="F89" s="40"/>
      <c r="G89" s="40"/>
      <c r="H89" s="40"/>
      <c r="I89" s="40"/>
      <c r="J89" s="40"/>
      <c r="K89" s="40"/>
      <c r="L89" s="40"/>
      <c r="M89" s="40"/>
      <c r="N89" s="40"/>
      <c r="O89" s="40"/>
      <c r="P89" s="40"/>
    </row>
    <row r="90" spans="1:16" s="51" customFormat="1" ht="14.4">
      <c r="A90" s="40"/>
      <c r="B90" s="40"/>
      <c r="C90" s="40"/>
      <c r="D90" s="40"/>
      <c r="E90" s="40"/>
      <c r="F90" s="40"/>
      <c r="G90" s="40"/>
      <c r="H90" s="40"/>
      <c r="I90" s="40"/>
      <c r="J90" s="40"/>
      <c r="K90" s="40"/>
      <c r="L90" s="40"/>
      <c r="M90" s="40"/>
      <c r="N90" s="40"/>
      <c r="O90" s="40"/>
      <c r="P90" s="40"/>
    </row>
    <row r="91" spans="1:16" s="51" customFormat="1" ht="14.4">
      <c r="A91" s="40"/>
      <c r="B91" s="40"/>
      <c r="C91" s="40"/>
      <c r="D91" s="40"/>
      <c r="E91" s="40"/>
      <c r="F91" s="40"/>
      <c r="G91" s="40"/>
      <c r="H91" s="40"/>
      <c r="I91" s="40"/>
      <c r="J91" s="40"/>
      <c r="K91" s="40"/>
      <c r="L91" s="40"/>
      <c r="M91" s="40"/>
      <c r="N91" s="40"/>
      <c r="O91" s="40"/>
      <c r="P91" s="40"/>
    </row>
    <row r="92" spans="1:16" s="51" customFormat="1" ht="14.4">
      <c r="A92" s="40"/>
      <c r="B92" s="40"/>
      <c r="C92" s="40"/>
      <c r="D92" s="40"/>
      <c r="E92" s="40"/>
      <c r="F92" s="40"/>
      <c r="G92" s="40"/>
      <c r="H92" s="40"/>
      <c r="I92" s="40"/>
      <c r="J92" s="40"/>
      <c r="K92" s="40"/>
      <c r="L92" s="40"/>
      <c r="M92" s="40"/>
      <c r="N92" s="40"/>
      <c r="O92" s="40"/>
      <c r="P92" s="40"/>
    </row>
    <row r="93" spans="1:16" s="51" customFormat="1" ht="14.4">
      <c r="A93" s="40"/>
      <c r="B93" s="40"/>
      <c r="C93" s="40"/>
      <c r="D93" s="40"/>
      <c r="E93" s="40"/>
      <c r="F93" s="40"/>
      <c r="G93" s="40"/>
      <c r="H93" s="40"/>
      <c r="I93" s="40"/>
      <c r="J93" s="40"/>
      <c r="K93" s="40"/>
      <c r="L93" s="40"/>
      <c r="M93" s="40"/>
      <c r="N93" s="40"/>
      <c r="O93" s="40"/>
      <c r="P93" s="40"/>
    </row>
    <row r="94" spans="1:16" s="51" customFormat="1" ht="14.4">
      <c r="A94" s="40"/>
      <c r="B94" s="40"/>
      <c r="C94" s="40"/>
      <c r="D94" s="40"/>
      <c r="E94" s="40"/>
      <c r="F94" s="40"/>
      <c r="G94" s="40"/>
      <c r="H94" s="40"/>
      <c r="I94" s="40"/>
      <c r="J94" s="40"/>
      <c r="K94" s="40"/>
      <c r="L94" s="40"/>
      <c r="M94" s="40"/>
      <c r="N94" s="40"/>
      <c r="O94" s="40"/>
      <c r="P94" s="40"/>
    </row>
    <row r="95" spans="1:16" s="51" customFormat="1" ht="14.4">
      <c r="A95" s="40"/>
      <c r="B95" s="40"/>
      <c r="C95" s="40"/>
      <c r="D95" s="40"/>
      <c r="E95" s="40"/>
      <c r="F95" s="40"/>
      <c r="G95" s="40"/>
      <c r="H95" s="40"/>
      <c r="I95" s="40"/>
      <c r="J95" s="40"/>
      <c r="K95" s="40"/>
      <c r="L95" s="40"/>
      <c r="M95" s="40"/>
      <c r="N95" s="40"/>
      <c r="O95" s="40"/>
      <c r="P95" s="40"/>
    </row>
  </sheetData>
  <sheetProtection formatCells="0" formatColumns="0" formatRows="0" insertColumns="0" insertRows="0" insertHyperlinks="0" deleteColumns="0" deleteRows="0" sort="0" autoFilter="0" pivotTables="0"/>
  <mergeCells count="22">
    <mergeCell ref="A11:P12"/>
    <mergeCell ref="A16:E17"/>
    <mergeCell ref="F16:H17"/>
    <mergeCell ref="I16:M16"/>
    <mergeCell ref="N16:P17"/>
    <mergeCell ref="I17:J17"/>
    <mergeCell ref="K17:L17"/>
    <mergeCell ref="A21:K21"/>
    <mergeCell ref="A24:C25"/>
    <mergeCell ref="D24:H24"/>
    <mergeCell ref="I24:K25"/>
    <mergeCell ref="D25:E25"/>
    <mergeCell ref="F25:G25"/>
    <mergeCell ref="A35:K35"/>
    <mergeCell ref="A36:K36"/>
    <mergeCell ref="A37:K37"/>
    <mergeCell ref="A29:K29"/>
    <mergeCell ref="A30:K30"/>
    <mergeCell ref="A31:K31"/>
    <mergeCell ref="A32:K32"/>
    <mergeCell ref="A33:K33"/>
    <mergeCell ref="A34:K3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2:L156"/>
  <sheetViews>
    <sheetView zoomScale="90" zoomScaleNormal="90" workbookViewId="0">
      <selection activeCell="A2" sqref="A2"/>
    </sheetView>
  </sheetViews>
  <sheetFormatPr baseColWidth="10" defaultRowHeight="13.8"/>
  <cols>
    <col min="2" max="2" width="48.3984375" bestFit="1" customWidth="1"/>
    <col min="4" max="4" width="17.69921875" bestFit="1" customWidth="1"/>
    <col min="5" max="5" width="42.3984375" bestFit="1" customWidth="1"/>
    <col min="6" max="6" width="10.69921875" style="67"/>
    <col min="7" max="7" width="17.59765625" bestFit="1" customWidth="1"/>
    <col min="9" max="9" width="23.69921875" customWidth="1"/>
    <col min="10" max="10" width="16.296875" customWidth="1"/>
    <col min="11" max="11" width="16.69921875" style="67" customWidth="1"/>
  </cols>
  <sheetData>
    <row r="2" spans="1:11" ht="18.600000000000001">
      <c r="A2" s="65" t="s">
        <v>2209</v>
      </c>
      <c r="E2" s="66" t="s">
        <v>606</v>
      </c>
      <c r="F2" s="66">
        <v>72</v>
      </c>
    </row>
    <row r="3" spans="1:11">
      <c r="E3" s="66" t="s">
        <v>607</v>
      </c>
      <c r="F3" s="66">
        <f>F2-F4</f>
        <v>61</v>
      </c>
    </row>
    <row r="4" spans="1:11">
      <c r="E4" s="68" t="s">
        <v>608</v>
      </c>
      <c r="F4" s="68">
        <v>11</v>
      </c>
    </row>
    <row r="6" spans="1:11" ht="14.4" thickBot="1">
      <c r="A6" s="545" t="s">
        <v>609</v>
      </c>
      <c r="B6" s="545" t="s">
        <v>610</v>
      </c>
      <c r="C6" s="545" t="s">
        <v>611</v>
      </c>
      <c r="D6" s="546" t="s">
        <v>612</v>
      </c>
      <c r="E6" s="545" t="s">
        <v>613</v>
      </c>
      <c r="F6" s="545"/>
      <c r="G6" s="545"/>
      <c r="H6" s="545"/>
      <c r="I6" s="545"/>
      <c r="J6" s="545"/>
      <c r="K6" s="545"/>
    </row>
    <row r="7" spans="1:11">
      <c r="A7" s="546"/>
      <c r="B7" s="546"/>
      <c r="C7" s="546"/>
      <c r="D7" s="547"/>
      <c r="E7" s="70" t="s">
        <v>614</v>
      </c>
      <c r="F7" s="70" t="s">
        <v>615</v>
      </c>
      <c r="G7" s="70" t="s">
        <v>616</v>
      </c>
      <c r="H7" s="70" t="s">
        <v>615</v>
      </c>
      <c r="I7" s="70" t="s">
        <v>617</v>
      </c>
      <c r="J7" s="70" t="s">
        <v>575</v>
      </c>
      <c r="K7" s="70" t="s">
        <v>615</v>
      </c>
    </row>
    <row r="8" spans="1:11" s="75" customFormat="1">
      <c r="A8" s="576">
        <v>1</v>
      </c>
      <c r="B8" s="578" t="s">
        <v>97</v>
      </c>
      <c r="C8" s="576" t="s">
        <v>618</v>
      </c>
      <c r="D8" s="576" t="s">
        <v>619</v>
      </c>
      <c r="E8" s="73" t="s">
        <v>620</v>
      </c>
      <c r="F8" s="74">
        <v>20</v>
      </c>
      <c r="G8" s="576"/>
      <c r="H8" s="576"/>
      <c r="I8" s="576" t="s">
        <v>621</v>
      </c>
      <c r="J8" s="576" t="s">
        <v>622</v>
      </c>
      <c r="K8" s="576">
        <v>75</v>
      </c>
    </row>
    <row r="9" spans="1:11" s="75" customFormat="1">
      <c r="A9" s="577"/>
      <c r="B9" s="579"/>
      <c r="C9" s="577"/>
      <c r="D9" s="577"/>
      <c r="E9" s="73" t="s">
        <v>623</v>
      </c>
      <c r="F9" s="74">
        <v>5</v>
      </c>
      <c r="G9" s="577"/>
      <c r="H9" s="577"/>
      <c r="I9" s="577"/>
      <c r="J9" s="577"/>
      <c r="K9" s="577"/>
    </row>
    <row r="10" spans="1:11" s="75" customFormat="1" ht="48">
      <c r="A10" s="76">
        <v>2</v>
      </c>
      <c r="B10" s="77" t="s">
        <v>624</v>
      </c>
      <c r="C10" s="76" t="s">
        <v>625</v>
      </c>
      <c r="D10" s="76" t="s">
        <v>619</v>
      </c>
      <c r="E10" s="77" t="s">
        <v>626</v>
      </c>
      <c r="F10" s="76">
        <v>20</v>
      </c>
      <c r="G10" s="76"/>
      <c r="H10" s="76"/>
      <c r="I10" s="78" t="s">
        <v>627</v>
      </c>
      <c r="J10" s="76" t="s">
        <v>628</v>
      </c>
      <c r="K10" s="76">
        <v>80</v>
      </c>
    </row>
    <row r="11" spans="1:11">
      <c r="A11" s="74">
        <v>3</v>
      </c>
      <c r="B11" s="73" t="s">
        <v>629</v>
      </c>
      <c r="C11" s="74" t="s">
        <v>630</v>
      </c>
      <c r="D11" s="74"/>
      <c r="E11" s="73" t="s">
        <v>631</v>
      </c>
      <c r="F11" s="74">
        <v>28</v>
      </c>
      <c r="G11" s="74"/>
      <c r="H11" s="74"/>
      <c r="I11" s="74" t="s">
        <v>632</v>
      </c>
      <c r="J11" s="74" t="s">
        <v>633</v>
      </c>
      <c r="K11" s="74">
        <v>72</v>
      </c>
    </row>
    <row r="12" spans="1:11">
      <c r="A12" s="571">
        <v>4</v>
      </c>
      <c r="B12" s="574" t="s">
        <v>634</v>
      </c>
      <c r="C12" s="571" t="s">
        <v>635</v>
      </c>
      <c r="D12" s="571" t="s">
        <v>636</v>
      </c>
      <c r="E12" s="574" t="s">
        <v>637</v>
      </c>
      <c r="F12" s="571">
        <v>5</v>
      </c>
      <c r="G12" s="571"/>
      <c r="H12" s="571"/>
      <c r="I12" s="76" t="s">
        <v>638</v>
      </c>
      <c r="J12" s="76" t="s">
        <v>639</v>
      </c>
      <c r="K12" s="76">
        <v>80</v>
      </c>
    </row>
    <row r="13" spans="1:11">
      <c r="A13" s="572"/>
      <c r="B13" s="583"/>
      <c r="C13" s="572"/>
      <c r="D13" s="572"/>
      <c r="E13" s="583"/>
      <c r="F13" s="572"/>
      <c r="G13" s="572"/>
      <c r="H13" s="572"/>
      <c r="I13" s="76" t="s">
        <v>640</v>
      </c>
      <c r="J13" s="76" t="s">
        <v>639</v>
      </c>
      <c r="K13" s="76">
        <v>5</v>
      </c>
    </row>
    <row r="14" spans="1:11">
      <c r="A14" s="572"/>
      <c r="B14" s="583"/>
      <c r="C14" s="572"/>
      <c r="D14" s="572"/>
      <c r="E14" s="583"/>
      <c r="F14" s="572"/>
      <c r="G14" s="572"/>
      <c r="H14" s="572"/>
      <c r="I14" s="76" t="s">
        <v>641</v>
      </c>
      <c r="J14" s="76" t="s">
        <v>639</v>
      </c>
      <c r="K14" s="76">
        <v>5</v>
      </c>
    </row>
    <row r="15" spans="1:11">
      <c r="A15" s="573"/>
      <c r="B15" s="575"/>
      <c r="C15" s="573"/>
      <c r="D15" s="573"/>
      <c r="E15" s="575"/>
      <c r="F15" s="573"/>
      <c r="G15" s="573"/>
      <c r="H15" s="573"/>
      <c r="I15" s="76" t="s">
        <v>642</v>
      </c>
      <c r="J15" s="76" t="s">
        <v>639</v>
      </c>
      <c r="K15" s="76">
        <v>5</v>
      </c>
    </row>
    <row r="16" spans="1:11" ht="16.5" customHeight="1">
      <c r="A16" s="576">
        <v>5</v>
      </c>
      <c r="B16" s="578" t="s">
        <v>643</v>
      </c>
      <c r="C16" s="576" t="s">
        <v>644</v>
      </c>
      <c r="D16" s="588" t="s">
        <v>645</v>
      </c>
      <c r="E16" s="73" t="s">
        <v>646</v>
      </c>
      <c r="F16" s="74">
        <v>44</v>
      </c>
      <c r="G16" s="576"/>
      <c r="H16" s="576"/>
      <c r="I16" s="576" t="s">
        <v>647</v>
      </c>
      <c r="J16" s="576" t="s">
        <v>633</v>
      </c>
      <c r="K16" s="576">
        <v>51</v>
      </c>
    </row>
    <row r="17" spans="1:12">
      <c r="A17" s="577"/>
      <c r="B17" s="579"/>
      <c r="C17" s="577"/>
      <c r="D17" s="589"/>
      <c r="E17" s="73" t="s">
        <v>637</v>
      </c>
      <c r="F17" s="74">
        <v>5</v>
      </c>
      <c r="G17" s="577"/>
      <c r="H17" s="577"/>
      <c r="I17" s="577"/>
      <c r="J17" s="577"/>
      <c r="K17" s="577"/>
    </row>
    <row r="18" spans="1:12">
      <c r="A18" s="76">
        <v>6</v>
      </c>
      <c r="B18" s="77" t="s">
        <v>648</v>
      </c>
      <c r="C18" s="76" t="s">
        <v>649</v>
      </c>
      <c r="D18" s="76" t="s">
        <v>650</v>
      </c>
      <c r="E18" s="77" t="s">
        <v>651</v>
      </c>
      <c r="F18" s="76">
        <v>20</v>
      </c>
      <c r="G18" s="76"/>
      <c r="H18" s="76"/>
      <c r="I18" s="76" t="s">
        <v>652</v>
      </c>
      <c r="J18" s="76" t="s">
        <v>653</v>
      </c>
      <c r="K18" s="76">
        <v>80</v>
      </c>
    </row>
    <row r="19" spans="1:12">
      <c r="A19" s="74">
        <v>7</v>
      </c>
      <c r="B19" s="73" t="s">
        <v>654</v>
      </c>
      <c r="C19" s="74" t="s">
        <v>655</v>
      </c>
      <c r="D19" s="74" t="s">
        <v>3614</v>
      </c>
      <c r="E19" s="73" t="s">
        <v>651</v>
      </c>
      <c r="F19" s="74">
        <v>5</v>
      </c>
      <c r="G19" s="74" t="s">
        <v>3615</v>
      </c>
      <c r="H19" s="74">
        <v>95</v>
      </c>
      <c r="I19" s="74" t="s">
        <v>619</v>
      </c>
      <c r="J19" s="74" t="s">
        <v>619</v>
      </c>
      <c r="K19" s="74" t="s">
        <v>619</v>
      </c>
      <c r="L19" s="82"/>
    </row>
    <row r="20" spans="1:12">
      <c r="A20" s="571">
        <v>8</v>
      </c>
      <c r="B20" s="574" t="s">
        <v>656</v>
      </c>
      <c r="C20" s="571" t="s">
        <v>657</v>
      </c>
      <c r="D20" s="571" t="s">
        <v>658</v>
      </c>
      <c r="E20" s="574" t="s">
        <v>659</v>
      </c>
      <c r="F20" s="571">
        <v>10</v>
      </c>
      <c r="G20" s="571"/>
      <c r="H20" s="571"/>
      <c r="I20" s="76" t="s">
        <v>660</v>
      </c>
      <c r="J20" s="76" t="s">
        <v>619</v>
      </c>
      <c r="K20" s="76">
        <v>45</v>
      </c>
    </row>
    <row r="21" spans="1:12">
      <c r="A21" s="573"/>
      <c r="B21" s="575"/>
      <c r="C21" s="573"/>
      <c r="D21" s="573"/>
      <c r="E21" s="575"/>
      <c r="F21" s="573"/>
      <c r="G21" s="573"/>
      <c r="H21" s="573"/>
      <c r="I21" s="76" t="s">
        <v>661</v>
      </c>
      <c r="J21" s="76" t="s">
        <v>619</v>
      </c>
      <c r="K21" s="76">
        <v>45</v>
      </c>
    </row>
    <row r="22" spans="1:12">
      <c r="A22" s="74">
        <v>9</v>
      </c>
      <c r="B22" s="73" t="s">
        <v>662</v>
      </c>
      <c r="C22" s="74" t="s">
        <v>663</v>
      </c>
      <c r="D22" s="74" t="s">
        <v>664</v>
      </c>
      <c r="E22" s="73" t="s">
        <v>665</v>
      </c>
      <c r="F22" s="74">
        <v>100</v>
      </c>
      <c r="G22" s="74"/>
      <c r="H22" s="74"/>
      <c r="I22" s="74"/>
      <c r="J22" s="74"/>
      <c r="K22" s="74"/>
    </row>
    <row r="23" spans="1:12">
      <c r="A23" s="76">
        <v>10</v>
      </c>
      <c r="B23" s="77" t="s">
        <v>666</v>
      </c>
      <c r="C23" s="76" t="s">
        <v>667</v>
      </c>
      <c r="D23" s="76" t="s">
        <v>658</v>
      </c>
      <c r="E23" s="77" t="s">
        <v>651</v>
      </c>
      <c r="F23" s="76">
        <v>5</v>
      </c>
      <c r="G23" s="76"/>
      <c r="H23" s="76"/>
      <c r="I23" s="76" t="s">
        <v>668</v>
      </c>
      <c r="J23" s="76" t="s">
        <v>669</v>
      </c>
      <c r="K23" s="76">
        <v>95</v>
      </c>
    </row>
    <row r="24" spans="1:12">
      <c r="A24" s="576">
        <v>11</v>
      </c>
      <c r="B24" s="578" t="s">
        <v>670</v>
      </c>
      <c r="C24" s="576" t="s">
        <v>671</v>
      </c>
      <c r="D24" s="576" t="s">
        <v>658</v>
      </c>
      <c r="E24" s="73" t="s">
        <v>646</v>
      </c>
      <c r="F24" s="74">
        <v>30</v>
      </c>
      <c r="G24" s="576"/>
      <c r="H24" s="576"/>
      <c r="I24" s="576" t="s">
        <v>672</v>
      </c>
      <c r="J24" s="576"/>
      <c r="K24" s="576">
        <v>65</v>
      </c>
    </row>
    <row r="25" spans="1:12">
      <c r="A25" s="577"/>
      <c r="B25" s="579"/>
      <c r="C25" s="577"/>
      <c r="D25" s="577"/>
      <c r="E25" s="73" t="s">
        <v>673</v>
      </c>
      <c r="F25" s="74">
        <v>5</v>
      </c>
      <c r="G25" s="577"/>
      <c r="H25" s="577"/>
      <c r="I25" s="577"/>
      <c r="J25" s="577"/>
      <c r="K25" s="577"/>
    </row>
    <row r="26" spans="1:12">
      <c r="A26" s="571">
        <v>12</v>
      </c>
      <c r="B26" s="574" t="s">
        <v>674</v>
      </c>
      <c r="C26" s="571" t="s">
        <v>675</v>
      </c>
      <c r="D26" s="571" t="s">
        <v>619</v>
      </c>
      <c r="E26" s="574" t="s">
        <v>676</v>
      </c>
      <c r="F26" s="571">
        <v>5</v>
      </c>
      <c r="G26" s="571" t="s">
        <v>677</v>
      </c>
      <c r="H26" s="571">
        <v>4.75</v>
      </c>
      <c r="I26" s="76" t="s">
        <v>678</v>
      </c>
      <c r="J26" s="76" t="s">
        <v>679</v>
      </c>
      <c r="K26" s="76">
        <v>75</v>
      </c>
    </row>
    <row r="27" spans="1:12">
      <c r="A27" s="573"/>
      <c r="B27" s="575"/>
      <c r="C27" s="573"/>
      <c r="D27" s="573"/>
      <c r="E27" s="575"/>
      <c r="F27" s="573"/>
      <c r="G27" s="573"/>
      <c r="H27" s="573"/>
      <c r="I27" s="76" t="s">
        <v>680</v>
      </c>
      <c r="J27" s="76" t="s">
        <v>681</v>
      </c>
      <c r="K27" s="76">
        <v>15.25</v>
      </c>
    </row>
    <row r="28" spans="1:12">
      <c r="A28" s="576">
        <v>13</v>
      </c>
      <c r="B28" s="578" t="s">
        <v>682</v>
      </c>
      <c r="C28" s="576" t="s">
        <v>683</v>
      </c>
      <c r="D28" s="576" t="s">
        <v>684</v>
      </c>
      <c r="E28" s="578"/>
      <c r="F28" s="576"/>
      <c r="G28" s="576"/>
      <c r="H28" s="576"/>
      <c r="I28" s="74" t="s">
        <v>685</v>
      </c>
      <c r="J28" s="74" t="s">
        <v>686</v>
      </c>
      <c r="K28" s="74">
        <v>99.99</v>
      </c>
    </row>
    <row r="29" spans="1:12">
      <c r="A29" s="577"/>
      <c r="B29" s="579"/>
      <c r="C29" s="577"/>
      <c r="D29" s="577"/>
      <c r="E29" s="579"/>
      <c r="F29" s="577"/>
      <c r="G29" s="577"/>
      <c r="H29" s="577"/>
      <c r="I29" s="74" t="s">
        <v>687</v>
      </c>
      <c r="J29" s="74" t="s">
        <v>686</v>
      </c>
      <c r="K29" s="74">
        <v>0.01</v>
      </c>
    </row>
    <row r="30" spans="1:12">
      <c r="A30" s="76">
        <v>14</v>
      </c>
      <c r="B30" s="77" t="s">
        <v>96</v>
      </c>
      <c r="C30" s="76" t="s">
        <v>688</v>
      </c>
      <c r="D30" s="76" t="s">
        <v>689</v>
      </c>
      <c r="E30" s="77" t="s">
        <v>646</v>
      </c>
      <c r="F30" s="76">
        <v>45</v>
      </c>
      <c r="G30" s="76"/>
      <c r="H30" s="76"/>
      <c r="I30" s="76" t="s">
        <v>690</v>
      </c>
      <c r="J30" s="76" t="s">
        <v>679</v>
      </c>
      <c r="K30" s="76">
        <v>55</v>
      </c>
    </row>
    <row r="31" spans="1:12">
      <c r="A31" s="576">
        <v>15</v>
      </c>
      <c r="B31" s="578" t="s">
        <v>691</v>
      </c>
      <c r="C31" s="576" t="s">
        <v>692</v>
      </c>
      <c r="D31" s="576" t="s">
        <v>693</v>
      </c>
      <c r="E31" s="578"/>
      <c r="F31" s="576"/>
      <c r="G31" s="576"/>
      <c r="H31" s="576"/>
      <c r="I31" s="73" t="s">
        <v>694</v>
      </c>
      <c r="J31" s="74" t="s">
        <v>695</v>
      </c>
      <c r="K31" s="74">
        <v>0.5</v>
      </c>
    </row>
    <row r="32" spans="1:12">
      <c r="A32" s="584"/>
      <c r="B32" s="585"/>
      <c r="C32" s="584"/>
      <c r="D32" s="584"/>
      <c r="E32" s="585"/>
      <c r="F32" s="584"/>
      <c r="G32" s="584"/>
      <c r="H32" s="584"/>
      <c r="I32" s="73" t="s">
        <v>696</v>
      </c>
      <c r="J32" s="74" t="s">
        <v>697</v>
      </c>
      <c r="K32" s="74">
        <v>8</v>
      </c>
    </row>
    <row r="33" spans="1:11">
      <c r="A33" s="584"/>
      <c r="B33" s="585"/>
      <c r="C33" s="584"/>
      <c r="D33" s="584"/>
      <c r="E33" s="585"/>
      <c r="F33" s="584"/>
      <c r="G33" s="584"/>
      <c r="H33" s="584"/>
      <c r="I33" s="73" t="s">
        <v>698</v>
      </c>
      <c r="J33" s="74" t="s">
        <v>695</v>
      </c>
      <c r="K33" s="74">
        <v>22.5</v>
      </c>
    </row>
    <row r="34" spans="1:11">
      <c r="A34" s="577"/>
      <c r="B34" s="579"/>
      <c r="C34" s="577"/>
      <c r="D34" s="577"/>
      <c r="E34" s="579"/>
      <c r="F34" s="577"/>
      <c r="G34" s="577"/>
      <c r="H34" s="577"/>
      <c r="I34" s="73" t="s">
        <v>699</v>
      </c>
      <c r="J34" s="74" t="s">
        <v>695</v>
      </c>
      <c r="K34" s="74">
        <v>69</v>
      </c>
    </row>
    <row r="35" spans="1:11">
      <c r="A35" s="571">
        <v>16</v>
      </c>
      <c r="B35" s="574" t="s">
        <v>700</v>
      </c>
      <c r="C35" s="571" t="s">
        <v>701</v>
      </c>
      <c r="D35" s="586" t="s">
        <v>702</v>
      </c>
      <c r="E35" s="574" t="s">
        <v>665</v>
      </c>
      <c r="F35" s="571">
        <v>5</v>
      </c>
      <c r="G35" s="571"/>
      <c r="H35" s="571"/>
      <c r="I35" s="76" t="s">
        <v>703</v>
      </c>
      <c r="J35" s="76" t="s">
        <v>704</v>
      </c>
      <c r="K35" s="76">
        <v>94.99</v>
      </c>
    </row>
    <row r="36" spans="1:11">
      <c r="A36" s="573"/>
      <c r="B36" s="575"/>
      <c r="C36" s="573"/>
      <c r="D36" s="587"/>
      <c r="E36" s="575"/>
      <c r="F36" s="573"/>
      <c r="G36" s="573"/>
      <c r="H36" s="573"/>
      <c r="I36" s="76" t="s">
        <v>705</v>
      </c>
      <c r="J36" s="76" t="s">
        <v>706</v>
      </c>
      <c r="K36" s="76">
        <v>0.01</v>
      </c>
    </row>
    <row r="37" spans="1:11">
      <c r="A37" s="74">
        <v>17</v>
      </c>
      <c r="B37" s="73" t="s">
        <v>102</v>
      </c>
      <c r="C37" s="74" t="s">
        <v>707</v>
      </c>
      <c r="D37" s="74" t="s">
        <v>708</v>
      </c>
      <c r="E37" s="73" t="s">
        <v>646</v>
      </c>
      <c r="F37" s="74">
        <v>25</v>
      </c>
      <c r="G37" s="74"/>
      <c r="H37" s="74"/>
      <c r="I37" s="74" t="s">
        <v>709</v>
      </c>
      <c r="J37" s="74" t="s">
        <v>669</v>
      </c>
      <c r="K37" s="74">
        <v>75</v>
      </c>
    </row>
    <row r="38" spans="1:11">
      <c r="A38" s="76">
        <v>19</v>
      </c>
      <c r="B38" s="77" t="s">
        <v>229</v>
      </c>
      <c r="C38" s="76" t="s">
        <v>710</v>
      </c>
      <c r="D38" s="76" t="s">
        <v>711</v>
      </c>
      <c r="E38" s="77"/>
      <c r="F38" s="76"/>
      <c r="G38" s="76"/>
      <c r="H38" s="76"/>
      <c r="I38" s="76" t="s">
        <v>712</v>
      </c>
      <c r="J38" s="76" t="s">
        <v>633</v>
      </c>
      <c r="K38" s="76">
        <v>100</v>
      </c>
    </row>
    <row r="39" spans="1:11">
      <c r="A39" s="74">
        <v>20</v>
      </c>
      <c r="B39" s="73" t="s">
        <v>713</v>
      </c>
      <c r="C39" s="74" t="s">
        <v>714</v>
      </c>
      <c r="D39" s="74" t="s">
        <v>715</v>
      </c>
      <c r="E39" s="73"/>
      <c r="F39" s="74"/>
      <c r="G39" s="74"/>
      <c r="H39" s="74"/>
      <c r="I39" s="73" t="s">
        <v>716</v>
      </c>
      <c r="J39" s="74" t="s">
        <v>633</v>
      </c>
      <c r="K39" s="74">
        <v>100</v>
      </c>
    </row>
    <row r="40" spans="1:11">
      <c r="A40" s="83">
        <v>21</v>
      </c>
      <c r="B40" s="80" t="s">
        <v>717</v>
      </c>
      <c r="C40" s="83" t="s">
        <v>718</v>
      </c>
      <c r="D40" s="79" t="s">
        <v>719</v>
      </c>
      <c r="E40" s="77" t="s">
        <v>646</v>
      </c>
      <c r="F40" s="76">
        <v>28</v>
      </c>
      <c r="G40" s="83"/>
      <c r="H40" s="83"/>
      <c r="I40" s="83" t="s">
        <v>720</v>
      </c>
      <c r="J40" s="83" t="s">
        <v>633</v>
      </c>
      <c r="K40" s="79">
        <v>72</v>
      </c>
    </row>
    <row r="41" spans="1:11">
      <c r="A41" s="576">
        <v>22</v>
      </c>
      <c r="B41" s="578" t="s">
        <v>721</v>
      </c>
      <c r="C41" s="576" t="s">
        <v>722</v>
      </c>
      <c r="D41" s="576" t="s">
        <v>658</v>
      </c>
      <c r="E41" s="578"/>
      <c r="F41" s="576"/>
      <c r="G41" s="576"/>
      <c r="H41" s="576"/>
      <c r="I41" s="73" t="s">
        <v>723</v>
      </c>
      <c r="J41" s="74"/>
      <c r="K41" s="74">
        <v>60</v>
      </c>
    </row>
    <row r="42" spans="1:11">
      <c r="A42" s="584"/>
      <c r="B42" s="585"/>
      <c r="C42" s="584"/>
      <c r="D42" s="584"/>
      <c r="E42" s="585"/>
      <c r="F42" s="584"/>
      <c r="G42" s="584"/>
      <c r="H42" s="584"/>
      <c r="I42" s="73" t="s">
        <v>724</v>
      </c>
      <c r="J42" s="74"/>
      <c r="K42" s="74">
        <v>35</v>
      </c>
    </row>
    <row r="43" spans="1:11">
      <c r="A43" s="577"/>
      <c r="B43" s="579"/>
      <c r="C43" s="577"/>
      <c r="D43" s="577"/>
      <c r="E43" s="579"/>
      <c r="F43" s="577"/>
      <c r="G43" s="577"/>
      <c r="H43" s="577"/>
      <c r="I43" s="73" t="s">
        <v>725</v>
      </c>
      <c r="J43" s="74"/>
      <c r="K43" s="74">
        <v>5</v>
      </c>
    </row>
    <row r="44" spans="1:11">
      <c r="A44" s="571">
        <v>23</v>
      </c>
      <c r="B44" s="574" t="s">
        <v>161</v>
      </c>
      <c r="C44" s="571" t="s">
        <v>726</v>
      </c>
      <c r="D44" s="571" t="s">
        <v>711</v>
      </c>
      <c r="E44" s="574"/>
      <c r="F44" s="571"/>
      <c r="G44" s="571"/>
      <c r="H44" s="571"/>
      <c r="I44" s="76" t="s">
        <v>727</v>
      </c>
      <c r="J44" s="76" t="s">
        <v>633</v>
      </c>
      <c r="K44" s="76">
        <v>72</v>
      </c>
    </row>
    <row r="45" spans="1:11">
      <c r="A45" s="573"/>
      <c r="B45" s="575"/>
      <c r="C45" s="573"/>
      <c r="D45" s="573"/>
      <c r="E45" s="575"/>
      <c r="F45" s="573"/>
      <c r="G45" s="573"/>
      <c r="H45" s="573"/>
      <c r="I45" s="76" t="s">
        <v>728</v>
      </c>
      <c r="J45" s="76" t="s">
        <v>633</v>
      </c>
      <c r="K45" s="76">
        <v>28</v>
      </c>
    </row>
    <row r="46" spans="1:11">
      <c r="A46" s="576">
        <v>24</v>
      </c>
      <c r="B46" s="578" t="s">
        <v>729</v>
      </c>
      <c r="C46" s="576" t="s">
        <v>730</v>
      </c>
      <c r="D46" s="576" t="s">
        <v>731</v>
      </c>
      <c r="E46" s="578" t="s">
        <v>732</v>
      </c>
      <c r="F46" s="576">
        <v>23</v>
      </c>
      <c r="G46" s="576"/>
      <c r="H46" s="576"/>
      <c r="I46" s="74" t="s">
        <v>733</v>
      </c>
      <c r="J46" s="74" t="s">
        <v>734</v>
      </c>
      <c r="K46" s="74">
        <v>72.150000000000006</v>
      </c>
    </row>
    <row r="47" spans="1:11">
      <c r="A47" s="577"/>
      <c r="B47" s="579"/>
      <c r="C47" s="577"/>
      <c r="D47" s="577"/>
      <c r="E47" s="579"/>
      <c r="F47" s="577"/>
      <c r="G47" s="577"/>
      <c r="H47" s="577"/>
      <c r="I47" s="74" t="s">
        <v>735</v>
      </c>
      <c r="J47" s="74" t="s">
        <v>734</v>
      </c>
      <c r="K47" s="74">
        <v>4.8499999999999996</v>
      </c>
    </row>
    <row r="48" spans="1:11">
      <c r="A48" s="76">
        <v>25</v>
      </c>
      <c r="B48" s="77" t="s">
        <v>128</v>
      </c>
      <c r="C48" s="76" t="s">
        <v>736</v>
      </c>
      <c r="D48" s="76" t="s">
        <v>737</v>
      </c>
      <c r="E48" s="77" t="s">
        <v>738</v>
      </c>
      <c r="F48" s="76">
        <v>27.5</v>
      </c>
      <c r="G48" s="76"/>
      <c r="H48" s="76"/>
      <c r="I48" s="76" t="s">
        <v>739</v>
      </c>
      <c r="J48" s="76" t="s">
        <v>633</v>
      </c>
      <c r="K48" s="76">
        <v>72.5</v>
      </c>
    </row>
    <row r="49" spans="1:11">
      <c r="A49" s="74">
        <v>26</v>
      </c>
      <c r="B49" s="73" t="s">
        <v>740</v>
      </c>
      <c r="C49" s="74" t="s">
        <v>741</v>
      </c>
      <c r="D49" s="74" t="s">
        <v>742</v>
      </c>
      <c r="E49" s="73" t="s">
        <v>626</v>
      </c>
      <c r="F49" s="74">
        <v>100</v>
      </c>
      <c r="G49" s="74"/>
      <c r="H49" s="74"/>
      <c r="I49" s="74"/>
      <c r="J49" s="74"/>
      <c r="K49" s="74"/>
    </row>
    <row r="50" spans="1:11">
      <c r="A50" s="571">
        <v>27</v>
      </c>
      <c r="B50" s="574" t="s">
        <v>115</v>
      </c>
      <c r="C50" s="571" t="s">
        <v>743</v>
      </c>
      <c r="D50" s="571" t="s">
        <v>619</v>
      </c>
      <c r="E50" s="574"/>
      <c r="F50" s="571"/>
      <c r="G50" s="571"/>
      <c r="H50" s="571"/>
      <c r="I50" s="76" t="s">
        <v>744</v>
      </c>
      <c r="J50" s="76" t="s">
        <v>745</v>
      </c>
      <c r="K50" s="76">
        <v>50</v>
      </c>
    </row>
    <row r="51" spans="1:11">
      <c r="A51" s="573"/>
      <c r="B51" s="575"/>
      <c r="C51" s="573"/>
      <c r="D51" s="573"/>
      <c r="E51" s="575"/>
      <c r="F51" s="573"/>
      <c r="G51" s="573"/>
      <c r="H51" s="573"/>
      <c r="I51" s="76" t="s">
        <v>746</v>
      </c>
      <c r="J51" s="76" t="s">
        <v>745</v>
      </c>
      <c r="K51" s="76">
        <v>50</v>
      </c>
    </row>
    <row r="52" spans="1:11">
      <c r="A52" s="576">
        <v>28</v>
      </c>
      <c r="B52" s="578" t="s">
        <v>747</v>
      </c>
      <c r="C52" s="576" t="s">
        <v>748</v>
      </c>
      <c r="D52" s="576" t="s">
        <v>658</v>
      </c>
      <c r="E52" s="578"/>
      <c r="F52" s="576"/>
      <c r="G52" s="576"/>
      <c r="H52" s="576"/>
      <c r="I52" s="74" t="s">
        <v>749</v>
      </c>
      <c r="J52" s="74"/>
      <c r="K52" s="74">
        <v>62.5</v>
      </c>
    </row>
    <row r="53" spans="1:11">
      <c r="A53" s="584"/>
      <c r="B53" s="585"/>
      <c r="C53" s="584"/>
      <c r="D53" s="584"/>
      <c r="E53" s="585"/>
      <c r="F53" s="584"/>
      <c r="G53" s="584"/>
      <c r="H53" s="584"/>
      <c r="I53" s="74" t="s">
        <v>750</v>
      </c>
      <c r="J53" s="74"/>
      <c r="K53" s="74">
        <v>32.5</v>
      </c>
    </row>
    <row r="54" spans="1:11">
      <c r="A54" s="577"/>
      <c r="B54" s="579"/>
      <c r="C54" s="577"/>
      <c r="D54" s="577"/>
      <c r="E54" s="579"/>
      <c r="F54" s="577"/>
      <c r="G54" s="577"/>
      <c r="H54" s="577"/>
      <c r="I54" s="74" t="s">
        <v>751</v>
      </c>
      <c r="J54" s="74"/>
      <c r="K54" s="74">
        <v>5</v>
      </c>
    </row>
    <row r="55" spans="1:11">
      <c r="A55" s="571">
        <v>29</v>
      </c>
      <c r="B55" s="574" t="s">
        <v>752</v>
      </c>
      <c r="C55" s="571" t="s">
        <v>753</v>
      </c>
      <c r="D55" s="571" t="s">
        <v>754</v>
      </c>
      <c r="E55" s="77" t="s">
        <v>755</v>
      </c>
      <c r="F55" s="76">
        <v>20</v>
      </c>
      <c r="G55" s="571"/>
      <c r="H55" s="571"/>
      <c r="I55" s="84" t="s">
        <v>756</v>
      </c>
      <c r="J55" s="76" t="s">
        <v>695</v>
      </c>
      <c r="K55" s="76">
        <v>41.72</v>
      </c>
    </row>
    <row r="56" spans="1:11">
      <c r="A56" s="572"/>
      <c r="B56" s="583"/>
      <c r="C56" s="572"/>
      <c r="D56" s="572"/>
      <c r="E56" s="77" t="s">
        <v>757</v>
      </c>
      <c r="F56" s="76">
        <v>12</v>
      </c>
      <c r="G56" s="572"/>
      <c r="H56" s="572"/>
      <c r="I56" s="84" t="s">
        <v>758</v>
      </c>
      <c r="J56" s="76" t="s">
        <v>695</v>
      </c>
      <c r="K56" s="76">
        <v>25.28</v>
      </c>
    </row>
    <row r="57" spans="1:11">
      <c r="A57" s="573"/>
      <c r="B57" s="575"/>
      <c r="C57" s="573"/>
      <c r="D57" s="573"/>
      <c r="E57" s="77"/>
      <c r="F57" s="76"/>
      <c r="G57" s="573"/>
      <c r="H57" s="573"/>
      <c r="I57" s="84" t="s">
        <v>759</v>
      </c>
      <c r="J57" s="76" t="s">
        <v>695</v>
      </c>
      <c r="K57" s="76">
        <v>1</v>
      </c>
    </row>
    <row r="58" spans="1:11">
      <c r="A58" s="74">
        <v>31</v>
      </c>
      <c r="B58" s="73" t="s">
        <v>760</v>
      </c>
      <c r="C58" s="74" t="s">
        <v>761</v>
      </c>
      <c r="D58" s="74" t="s">
        <v>762</v>
      </c>
      <c r="E58" s="73" t="s">
        <v>619</v>
      </c>
      <c r="F58" s="74"/>
      <c r="G58" s="74"/>
      <c r="H58" s="74"/>
      <c r="I58" s="74"/>
      <c r="J58" s="74"/>
      <c r="K58" s="74"/>
    </row>
    <row r="59" spans="1:11">
      <c r="A59" s="76">
        <v>32</v>
      </c>
      <c r="B59" s="77" t="s">
        <v>763</v>
      </c>
      <c r="C59" s="76" t="s">
        <v>764</v>
      </c>
      <c r="D59" s="76" t="s">
        <v>619</v>
      </c>
      <c r="E59" s="77" t="s">
        <v>651</v>
      </c>
      <c r="F59" s="76">
        <v>5</v>
      </c>
      <c r="G59" s="76" t="s">
        <v>765</v>
      </c>
      <c r="H59" s="76">
        <v>60</v>
      </c>
      <c r="I59" s="76" t="s">
        <v>766</v>
      </c>
      <c r="J59" s="76"/>
      <c r="K59" s="76">
        <v>35</v>
      </c>
    </row>
    <row r="60" spans="1:11">
      <c r="A60" s="576">
        <v>33</v>
      </c>
      <c r="B60" s="578" t="s">
        <v>767</v>
      </c>
      <c r="C60" s="576" t="s">
        <v>768</v>
      </c>
      <c r="D60" s="576" t="s">
        <v>769</v>
      </c>
      <c r="E60" s="578" t="s">
        <v>770</v>
      </c>
      <c r="F60" s="576">
        <v>5</v>
      </c>
      <c r="G60" s="576"/>
      <c r="H60" s="576"/>
      <c r="I60" s="74" t="s">
        <v>771</v>
      </c>
      <c r="J60" s="74" t="s">
        <v>772</v>
      </c>
      <c r="K60" s="74">
        <v>0.1</v>
      </c>
    </row>
    <row r="61" spans="1:11">
      <c r="A61" s="577"/>
      <c r="B61" s="579"/>
      <c r="C61" s="577"/>
      <c r="D61" s="577"/>
      <c r="E61" s="579"/>
      <c r="F61" s="577"/>
      <c r="G61" s="577"/>
      <c r="H61" s="577"/>
      <c r="I61" s="74" t="s">
        <v>773</v>
      </c>
      <c r="J61" s="74" t="s">
        <v>772</v>
      </c>
      <c r="K61" s="74">
        <v>94.99</v>
      </c>
    </row>
    <row r="62" spans="1:11">
      <c r="A62" s="76">
        <v>34</v>
      </c>
      <c r="B62" s="77" t="s">
        <v>774</v>
      </c>
      <c r="C62" s="76" t="s">
        <v>775</v>
      </c>
      <c r="D62" s="76" t="s">
        <v>776</v>
      </c>
      <c r="E62" s="77" t="s">
        <v>777</v>
      </c>
      <c r="F62" s="76">
        <v>100</v>
      </c>
      <c r="G62" s="76"/>
      <c r="H62" s="76"/>
      <c r="I62" s="76"/>
      <c r="J62" s="76"/>
      <c r="K62" s="76"/>
    </row>
    <row r="63" spans="1:11">
      <c r="A63" s="74">
        <v>36</v>
      </c>
      <c r="B63" s="73" t="s">
        <v>778</v>
      </c>
      <c r="C63" s="74" t="s">
        <v>779</v>
      </c>
      <c r="D63" s="74" t="s">
        <v>780</v>
      </c>
      <c r="E63" s="73"/>
      <c r="F63" s="74"/>
      <c r="G63" s="74" t="s">
        <v>781</v>
      </c>
      <c r="H63" s="74">
        <v>19.8</v>
      </c>
      <c r="I63" s="74" t="s">
        <v>782</v>
      </c>
      <c r="J63" s="74" t="s">
        <v>633</v>
      </c>
      <c r="K63" s="74">
        <v>80.2</v>
      </c>
    </row>
    <row r="64" spans="1:11">
      <c r="A64" s="76">
        <v>37</v>
      </c>
      <c r="B64" s="77" t="s">
        <v>783</v>
      </c>
      <c r="C64" s="76" t="s">
        <v>784</v>
      </c>
      <c r="D64" s="76" t="s">
        <v>785</v>
      </c>
      <c r="E64" s="77" t="s">
        <v>619</v>
      </c>
      <c r="F64" s="76" t="s">
        <v>619</v>
      </c>
      <c r="G64" s="76" t="s">
        <v>619</v>
      </c>
      <c r="H64" s="76" t="s">
        <v>619</v>
      </c>
      <c r="I64" s="76" t="s">
        <v>619</v>
      </c>
      <c r="J64" s="76" t="s">
        <v>619</v>
      </c>
      <c r="K64" s="76" t="s">
        <v>619</v>
      </c>
    </row>
    <row r="65" spans="1:11">
      <c r="A65" s="74">
        <v>38</v>
      </c>
      <c r="B65" s="73" t="s">
        <v>786</v>
      </c>
      <c r="C65" s="74" t="s">
        <v>787</v>
      </c>
      <c r="D65" s="74" t="s">
        <v>788</v>
      </c>
      <c r="E65" s="73" t="s">
        <v>619</v>
      </c>
      <c r="F65" s="74" t="s">
        <v>619</v>
      </c>
      <c r="G65" s="74" t="s">
        <v>619</v>
      </c>
      <c r="H65" s="74" t="s">
        <v>619</v>
      </c>
      <c r="I65" s="74" t="s">
        <v>619</v>
      </c>
      <c r="J65" s="74" t="s">
        <v>619</v>
      </c>
      <c r="K65" s="74" t="s">
        <v>619</v>
      </c>
    </row>
    <row r="66" spans="1:11">
      <c r="A66" s="76">
        <v>39</v>
      </c>
      <c r="B66" s="77" t="s">
        <v>549</v>
      </c>
      <c r="C66" s="76" t="s">
        <v>789</v>
      </c>
      <c r="D66" s="76" t="s">
        <v>619</v>
      </c>
      <c r="E66" s="77" t="s">
        <v>619</v>
      </c>
      <c r="F66" s="76" t="s">
        <v>619</v>
      </c>
      <c r="G66" s="76" t="s">
        <v>619</v>
      </c>
      <c r="H66" s="76" t="s">
        <v>619</v>
      </c>
      <c r="I66" s="76" t="s">
        <v>619</v>
      </c>
      <c r="J66" s="76" t="s">
        <v>619</v>
      </c>
      <c r="K66" s="76"/>
    </row>
    <row r="67" spans="1:11">
      <c r="A67" s="74">
        <v>41</v>
      </c>
      <c r="B67" s="73" t="s">
        <v>227</v>
      </c>
      <c r="C67" s="74" t="s">
        <v>790</v>
      </c>
      <c r="D67" s="74" t="s">
        <v>791</v>
      </c>
      <c r="E67" s="73" t="s">
        <v>619</v>
      </c>
      <c r="F67" s="74" t="s">
        <v>619</v>
      </c>
      <c r="G67" s="74" t="s">
        <v>619</v>
      </c>
      <c r="H67" s="74" t="s">
        <v>619</v>
      </c>
      <c r="I67" s="74" t="s">
        <v>619</v>
      </c>
      <c r="J67" s="74" t="s">
        <v>619</v>
      </c>
      <c r="K67" s="74"/>
    </row>
    <row r="68" spans="1:11">
      <c r="A68" s="571">
        <v>42</v>
      </c>
      <c r="B68" s="574" t="s">
        <v>792</v>
      </c>
      <c r="C68" s="571" t="s">
        <v>793</v>
      </c>
      <c r="D68" s="571" t="s">
        <v>794</v>
      </c>
      <c r="E68" s="574"/>
      <c r="F68" s="571"/>
      <c r="G68" s="571"/>
      <c r="H68" s="571"/>
      <c r="I68" s="76" t="s">
        <v>795</v>
      </c>
      <c r="J68" s="76" t="s">
        <v>796</v>
      </c>
      <c r="K68" s="76">
        <v>80</v>
      </c>
    </row>
    <row r="69" spans="1:11">
      <c r="A69" s="572"/>
      <c r="B69" s="583"/>
      <c r="C69" s="572"/>
      <c r="D69" s="572"/>
      <c r="E69" s="583"/>
      <c r="F69" s="572"/>
      <c r="G69" s="572"/>
      <c r="H69" s="572"/>
      <c r="I69" s="76" t="s">
        <v>797</v>
      </c>
      <c r="J69" s="76" t="s">
        <v>798</v>
      </c>
      <c r="K69" s="76">
        <v>9</v>
      </c>
    </row>
    <row r="70" spans="1:11">
      <c r="A70" s="572"/>
      <c r="B70" s="583"/>
      <c r="C70" s="572"/>
      <c r="D70" s="572"/>
      <c r="E70" s="583"/>
      <c r="F70" s="572"/>
      <c r="G70" s="572"/>
      <c r="H70" s="572"/>
      <c r="I70" s="76" t="s">
        <v>799</v>
      </c>
      <c r="J70" s="76" t="s">
        <v>798</v>
      </c>
      <c r="K70" s="76">
        <v>9</v>
      </c>
    </row>
    <row r="71" spans="1:11">
      <c r="A71" s="573"/>
      <c r="B71" s="575"/>
      <c r="C71" s="573"/>
      <c r="D71" s="573"/>
      <c r="E71" s="575"/>
      <c r="F71" s="573"/>
      <c r="G71" s="573"/>
      <c r="H71" s="573"/>
      <c r="I71" s="76" t="s">
        <v>800</v>
      </c>
      <c r="J71" s="76" t="s">
        <v>798</v>
      </c>
      <c r="K71" s="76">
        <v>2</v>
      </c>
    </row>
    <row r="72" spans="1:11">
      <c r="A72" s="74">
        <v>45</v>
      </c>
      <c r="B72" s="73" t="s">
        <v>801</v>
      </c>
      <c r="C72" s="74" t="s">
        <v>802</v>
      </c>
      <c r="D72" s="74" t="s">
        <v>803</v>
      </c>
      <c r="E72" s="73" t="s">
        <v>619</v>
      </c>
      <c r="F72" s="74" t="s">
        <v>619</v>
      </c>
      <c r="G72" s="74" t="s">
        <v>619</v>
      </c>
      <c r="H72" s="74" t="s">
        <v>619</v>
      </c>
      <c r="I72" s="74" t="s">
        <v>619</v>
      </c>
      <c r="J72" s="74" t="s">
        <v>619</v>
      </c>
      <c r="K72" s="74"/>
    </row>
    <row r="73" spans="1:11">
      <c r="A73" s="76">
        <v>46</v>
      </c>
      <c r="B73" s="77" t="s">
        <v>176</v>
      </c>
      <c r="C73" s="76" t="s">
        <v>804</v>
      </c>
      <c r="D73" s="76" t="s">
        <v>805</v>
      </c>
      <c r="E73" s="77" t="s">
        <v>619</v>
      </c>
      <c r="F73" s="76" t="s">
        <v>619</v>
      </c>
      <c r="G73" s="76" t="s">
        <v>619</v>
      </c>
      <c r="H73" s="76" t="s">
        <v>619</v>
      </c>
      <c r="I73" s="76" t="s">
        <v>619</v>
      </c>
      <c r="J73" s="76" t="s">
        <v>619</v>
      </c>
      <c r="K73" s="76"/>
    </row>
    <row r="74" spans="1:11">
      <c r="A74" s="576">
        <v>47</v>
      </c>
      <c r="B74" s="578" t="s">
        <v>806</v>
      </c>
      <c r="C74" s="576" t="s">
        <v>807</v>
      </c>
      <c r="D74" s="576" t="s">
        <v>808</v>
      </c>
      <c r="E74" s="578"/>
      <c r="F74" s="576"/>
      <c r="G74" s="576"/>
      <c r="H74" s="576"/>
      <c r="I74" s="74" t="s">
        <v>809</v>
      </c>
      <c r="J74" s="74" t="s">
        <v>633</v>
      </c>
      <c r="K74" s="74">
        <v>89</v>
      </c>
    </row>
    <row r="75" spans="1:11">
      <c r="A75" s="584"/>
      <c r="B75" s="585"/>
      <c r="C75" s="584"/>
      <c r="D75" s="584"/>
      <c r="E75" s="585"/>
      <c r="F75" s="584"/>
      <c r="G75" s="584"/>
      <c r="H75" s="584"/>
      <c r="I75" s="74" t="s">
        <v>810</v>
      </c>
      <c r="J75" s="74" t="s">
        <v>633</v>
      </c>
      <c r="K75" s="74">
        <v>1</v>
      </c>
    </row>
    <row r="76" spans="1:11">
      <c r="A76" s="577"/>
      <c r="B76" s="579"/>
      <c r="C76" s="577"/>
      <c r="D76" s="577"/>
      <c r="E76" s="579"/>
      <c r="F76" s="577"/>
      <c r="G76" s="577"/>
      <c r="H76" s="577"/>
      <c r="I76" s="74" t="s">
        <v>811</v>
      </c>
      <c r="J76" s="74"/>
      <c r="K76" s="74">
        <v>10</v>
      </c>
    </row>
    <row r="77" spans="1:11">
      <c r="A77" s="76">
        <v>48</v>
      </c>
      <c r="B77" s="77" t="s">
        <v>812</v>
      </c>
      <c r="C77" s="76" t="s">
        <v>813</v>
      </c>
      <c r="D77" s="76" t="s">
        <v>814</v>
      </c>
      <c r="E77" s="77" t="s">
        <v>651</v>
      </c>
      <c r="F77" s="76">
        <v>50</v>
      </c>
      <c r="G77" s="76"/>
      <c r="H77" s="76"/>
      <c r="I77" s="76" t="s">
        <v>815</v>
      </c>
      <c r="J77" s="76" t="s">
        <v>633</v>
      </c>
      <c r="K77" s="76">
        <v>50</v>
      </c>
    </row>
    <row r="78" spans="1:11">
      <c r="A78" s="74">
        <v>51</v>
      </c>
      <c r="B78" s="73" t="s">
        <v>816</v>
      </c>
      <c r="C78" s="74" t="s">
        <v>817</v>
      </c>
      <c r="D78" s="74" t="s">
        <v>803</v>
      </c>
      <c r="E78" s="73" t="s">
        <v>619</v>
      </c>
      <c r="F78" s="74" t="s">
        <v>619</v>
      </c>
      <c r="G78" s="74" t="s">
        <v>619</v>
      </c>
      <c r="H78" s="74" t="s">
        <v>619</v>
      </c>
      <c r="I78" s="74" t="s">
        <v>619</v>
      </c>
      <c r="J78" s="74" t="s">
        <v>619</v>
      </c>
      <c r="K78" s="74"/>
    </row>
    <row r="79" spans="1:11">
      <c r="A79" s="76">
        <v>52</v>
      </c>
      <c r="B79" s="77" t="s">
        <v>818</v>
      </c>
      <c r="C79" s="76" t="s">
        <v>819</v>
      </c>
      <c r="D79" s="76" t="s">
        <v>820</v>
      </c>
      <c r="E79" s="77"/>
      <c r="F79" s="76"/>
      <c r="G79" s="76" t="s">
        <v>821</v>
      </c>
      <c r="H79" s="76">
        <v>10</v>
      </c>
      <c r="I79" s="76" t="s">
        <v>822</v>
      </c>
      <c r="J79" s="76" t="s">
        <v>823</v>
      </c>
      <c r="K79" s="76">
        <v>90</v>
      </c>
    </row>
    <row r="80" spans="1:11">
      <c r="A80" s="74">
        <v>53</v>
      </c>
      <c r="B80" s="73" t="s">
        <v>175</v>
      </c>
      <c r="C80" s="74" t="s">
        <v>824</v>
      </c>
      <c r="D80" s="74" t="s">
        <v>825</v>
      </c>
      <c r="E80" s="73"/>
      <c r="F80" s="74"/>
      <c r="G80" s="74"/>
      <c r="H80" s="74"/>
      <c r="I80" s="74" t="s">
        <v>826</v>
      </c>
      <c r="J80" s="74"/>
      <c r="K80" s="74">
        <v>100</v>
      </c>
    </row>
    <row r="81" spans="1:11">
      <c r="A81" s="76">
        <v>54</v>
      </c>
      <c r="B81" s="77" t="s">
        <v>564</v>
      </c>
      <c r="C81" s="76" t="s">
        <v>562</v>
      </c>
      <c r="D81" s="76" t="s">
        <v>619</v>
      </c>
      <c r="E81" s="77" t="s">
        <v>619</v>
      </c>
      <c r="F81" s="76" t="s">
        <v>619</v>
      </c>
      <c r="G81" s="76" t="s">
        <v>619</v>
      </c>
      <c r="H81" s="76" t="s">
        <v>619</v>
      </c>
      <c r="I81" s="76" t="s">
        <v>619</v>
      </c>
      <c r="J81" s="76" t="s">
        <v>619</v>
      </c>
      <c r="K81" s="76" t="s">
        <v>619</v>
      </c>
    </row>
    <row r="82" spans="1:11">
      <c r="A82" s="576">
        <v>55</v>
      </c>
      <c r="B82" s="578" t="s">
        <v>827</v>
      </c>
      <c r="C82" s="576" t="s">
        <v>828</v>
      </c>
      <c r="D82" s="576" t="s">
        <v>829</v>
      </c>
      <c r="E82" s="578"/>
      <c r="F82" s="576"/>
      <c r="G82" s="576"/>
      <c r="H82" s="576"/>
      <c r="I82" s="74" t="s">
        <v>830</v>
      </c>
      <c r="J82" s="74" t="s">
        <v>679</v>
      </c>
      <c r="K82" s="74">
        <v>90</v>
      </c>
    </row>
    <row r="83" spans="1:11">
      <c r="A83" s="577"/>
      <c r="B83" s="579"/>
      <c r="C83" s="577"/>
      <c r="D83" s="577"/>
      <c r="E83" s="579"/>
      <c r="F83" s="577"/>
      <c r="G83" s="577"/>
      <c r="H83" s="577"/>
      <c r="I83" s="74" t="s">
        <v>831</v>
      </c>
      <c r="J83" s="74" t="s">
        <v>679</v>
      </c>
      <c r="K83" s="74">
        <v>10</v>
      </c>
    </row>
    <row r="84" spans="1:11">
      <c r="A84" s="571">
        <v>56</v>
      </c>
      <c r="B84" s="574" t="s">
        <v>177</v>
      </c>
      <c r="C84" s="571" t="s">
        <v>832</v>
      </c>
      <c r="D84" s="571" t="s">
        <v>833</v>
      </c>
      <c r="E84" s="574"/>
      <c r="F84" s="571"/>
      <c r="G84" s="571"/>
      <c r="H84" s="571"/>
      <c r="I84" s="76" t="s">
        <v>744</v>
      </c>
      <c r="J84" s="76" t="s">
        <v>834</v>
      </c>
      <c r="K84" s="76">
        <v>40</v>
      </c>
    </row>
    <row r="85" spans="1:11">
      <c r="A85" s="572"/>
      <c r="B85" s="583"/>
      <c r="C85" s="572"/>
      <c r="D85" s="572"/>
      <c r="E85" s="583"/>
      <c r="F85" s="572"/>
      <c r="G85" s="572"/>
      <c r="H85" s="572"/>
      <c r="I85" s="76" t="s">
        <v>746</v>
      </c>
      <c r="J85" s="76" t="s">
        <v>834</v>
      </c>
      <c r="K85" s="76">
        <v>40</v>
      </c>
    </row>
    <row r="86" spans="1:11">
      <c r="A86" s="573"/>
      <c r="B86" s="575"/>
      <c r="C86" s="573"/>
      <c r="D86" s="573"/>
      <c r="E86" s="575"/>
      <c r="F86" s="573"/>
      <c r="G86" s="573"/>
      <c r="H86" s="573"/>
      <c r="I86" s="76" t="s">
        <v>835</v>
      </c>
      <c r="J86" s="76" t="s">
        <v>836</v>
      </c>
      <c r="K86" s="76">
        <v>20</v>
      </c>
    </row>
    <row r="87" spans="1:11">
      <c r="A87" s="74">
        <v>57</v>
      </c>
      <c r="B87" s="73" t="s">
        <v>182</v>
      </c>
      <c r="C87" s="74" t="s">
        <v>837</v>
      </c>
      <c r="D87" s="74" t="s">
        <v>658</v>
      </c>
      <c r="E87" s="73" t="s">
        <v>646</v>
      </c>
      <c r="F87" s="74">
        <v>68</v>
      </c>
      <c r="G87" s="74"/>
      <c r="H87" s="74"/>
      <c r="I87" s="74" t="s">
        <v>838</v>
      </c>
      <c r="J87" s="74" t="s">
        <v>839</v>
      </c>
      <c r="K87" s="74">
        <v>32</v>
      </c>
    </row>
    <row r="88" spans="1:11">
      <c r="A88" s="76">
        <v>58</v>
      </c>
      <c r="B88" s="77" t="s">
        <v>173</v>
      </c>
      <c r="C88" s="76" t="s">
        <v>840</v>
      </c>
      <c r="D88" s="76" t="s">
        <v>780</v>
      </c>
      <c r="E88" s="77"/>
      <c r="F88" s="76"/>
      <c r="G88" s="76"/>
      <c r="H88" s="76"/>
      <c r="I88" s="77" t="s">
        <v>841</v>
      </c>
      <c r="J88" s="76" t="s">
        <v>633</v>
      </c>
      <c r="K88" s="76">
        <v>100</v>
      </c>
    </row>
    <row r="89" spans="1:11">
      <c r="A89" s="74">
        <v>60</v>
      </c>
      <c r="B89" s="73" t="s">
        <v>842</v>
      </c>
      <c r="C89" s="74" t="s">
        <v>843</v>
      </c>
      <c r="D89" s="74" t="s">
        <v>844</v>
      </c>
      <c r="E89" s="73"/>
      <c r="F89" s="74"/>
      <c r="G89" s="74"/>
      <c r="H89" s="74"/>
      <c r="I89" s="74" t="s">
        <v>845</v>
      </c>
      <c r="J89" s="74" t="s">
        <v>846</v>
      </c>
      <c r="K89" s="74">
        <v>100</v>
      </c>
    </row>
    <row r="90" spans="1:11">
      <c r="A90" s="571">
        <v>61</v>
      </c>
      <c r="B90" s="574" t="s">
        <v>459</v>
      </c>
      <c r="C90" s="571" t="s">
        <v>847</v>
      </c>
      <c r="D90" s="571" t="s">
        <v>848</v>
      </c>
      <c r="E90" s="574"/>
      <c r="F90" s="571"/>
      <c r="G90" s="77" t="s">
        <v>849</v>
      </c>
      <c r="H90" s="76">
        <v>50</v>
      </c>
      <c r="I90" s="571"/>
      <c r="J90" s="571"/>
      <c r="K90" s="571"/>
    </row>
    <row r="91" spans="1:11">
      <c r="A91" s="573"/>
      <c r="B91" s="575"/>
      <c r="C91" s="573"/>
      <c r="D91" s="573"/>
      <c r="E91" s="575"/>
      <c r="F91" s="573"/>
      <c r="G91" s="77" t="s">
        <v>850</v>
      </c>
      <c r="H91" s="76">
        <v>50</v>
      </c>
      <c r="I91" s="573"/>
      <c r="J91" s="573"/>
      <c r="K91" s="573"/>
    </row>
    <row r="92" spans="1:11">
      <c r="A92" s="74">
        <v>63</v>
      </c>
      <c r="B92" s="73" t="s">
        <v>851</v>
      </c>
      <c r="C92" s="74" t="s">
        <v>852</v>
      </c>
      <c r="D92" s="74" t="s">
        <v>636</v>
      </c>
      <c r="E92" s="73" t="s">
        <v>651</v>
      </c>
      <c r="F92" s="74">
        <v>100</v>
      </c>
      <c r="G92" s="74"/>
      <c r="H92" s="74"/>
      <c r="I92" s="74"/>
      <c r="J92" s="74"/>
      <c r="K92" s="74"/>
    </row>
    <row r="93" spans="1:11">
      <c r="A93" s="571">
        <v>66</v>
      </c>
      <c r="B93" s="574" t="s">
        <v>28</v>
      </c>
      <c r="C93" s="571" t="s">
        <v>853</v>
      </c>
      <c r="D93" s="571" t="s">
        <v>658</v>
      </c>
      <c r="E93" s="574"/>
      <c r="F93" s="571"/>
      <c r="G93" s="571"/>
      <c r="H93" s="571"/>
      <c r="I93" s="76" t="s">
        <v>854</v>
      </c>
      <c r="J93" s="76" t="s">
        <v>796</v>
      </c>
      <c r="K93" s="76">
        <v>80</v>
      </c>
    </row>
    <row r="94" spans="1:11">
      <c r="A94" s="572"/>
      <c r="B94" s="583"/>
      <c r="C94" s="572"/>
      <c r="D94" s="572"/>
      <c r="E94" s="583"/>
      <c r="F94" s="572"/>
      <c r="G94" s="572"/>
      <c r="H94" s="572"/>
      <c r="I94" s="76" t="s">
        <v>855</v>
      </c>
      <c r="J94" s="76" t="s">
        <v>798</v>
      </c>
      <c r="K94" s="76">
        <v>9</v>
      </c>
    </row>
    <row r="95" spans="1:11">
      <c r="A95" s="572"/>
      <c r="B95" s="583"/>
      <c r="C95" s="572"/>
      <c r="D95" s="572"/>
      <c r="E95" s="583"/>
      <c r="F95" s="572"/>
      <c r="G95" s="572"/>
      <c r="H95" s="572"/>
      <c r="I95" s="76" t="s">
        <v>856</v>
      </c>
      <c r="J95" s="76" t="s">
        <v>798</v>
      </c>
      <c r="K95" s="76">
        <v>9</v>
      </c>
    </row>
    <row r="96" spans="1:11">
      <c r="A96" s="573"/>
      <c r="B96" s="575"/>
      <c r="C96" s="573"/>
      <c r="D96" s="573"/>
      <c r="E96" s="575"/>
      <c r="F96" s="573"/>
      <c r="G96" s="573"/>
      <c r="H96" s="573"/>
      <c r="I96" s="76" t="s">
        <v>857</v>
      </c>
      <c r="J96" s="76" t="s">
        <v>798</v>
      </c>
      <c r="K96" s="76">
        <v>2</v>
      </c>
    </row>
    <row r="97" spans="1:11">
      <c r="A97" s="74">
        <v>68</v>
      </c>
      <c r="B97" s="73" t="s">
        <v>858</v>
      </c>
      <c r="C97" s="74" t="s">
        <v>859</v>
      </c>
      <c r="D97" s="74" t="s">
        <v>619</v>
      </c>
      <c r="E97" s="73" t="s">
        <v>619</v>
      </c>
      <c r="F97" s="74" t="s">
        <v>619</v>
      </c>
      <c r="G97" s="74" t="s">
        <v>619</v>
      </c>
      <c r="H97" s="74" t="s">
        <v>619</v>
      </c>
      <c r="I97" s="74" t="s">
        <v>619</v>
      </c>
      <c r="J97" s="74" t="s">
        <v>619</v>
      </c>
      <c r="K97" s="74" t="s">
        <v>619</v>
      </c>
    </row>
    <row r="98" spans="1:11">
      <c r="A98" s="76">
        <v>70</v>
      </c>
      <c r="B98" s="77" t="s">
        <v>860</v>
      </c>
      <c r="C98" s="76" t="s">
        <v>861</v>
      </c>
      <c r="D98" s="76" t="s">
        <v>803</v>
      </c>
      <c r="E98" s="77" t="s">
        <v>738</v>
      </c>
      <c r="F98" s="76">
        <v>35</v>
      </c>
      <c r="G98" s="76" t="s">
        <v>862</v>
      </c>
      <c r="H98" s="76">
        <v>65</v>
      </c>
      <c r="I98" s="76"/>
      <c r="J98" s="76"/>
      <c r="K98" s="76"/>
    </row>
    <row r="99" spans="1:11">
      <c r="A99" s="576">
        <v>71</v>
      </c>
      <c r="B99" s="578" t="s">
        <v>863</v>
      </c>
      <c r="C99" s="576" t="s">
        <v>864</v>
      </c>
      <c r="D99" s="576" t="s">
        <v>865</v>
      </c>
      <c r="E99" s="73" t="s">
        <v>651</v>
      </c>
      <c r="F99" s="74">
        <v>90</v>
      </c>
      <c r="G99" s="74"/>
      <c r="H99" s="74"/>
      <c r="I99" s="74"/>
      <c r="J99" s="74"/>
      <c r="K99" s="74"/>
    </row>
    <row r="100" spans="1:11">
      <c r="A100" s="577"/>
      <c r="B100" s="579"/>
      <c r="C100" s="577"/>
      <c r="D100" s="577"/>
      <c r="E100" s="73" t="s">
        <v>866</v>
      </c>
      <c r="F100" s="74">
        <v>10</v>
      </c>
      <c r="G100" s="74"/>
      <c r="H100" s="74"/>
      <c r="I100" s="74"/>
      <c r="J100" s="74"/>
      <c r="K100" s="74"/>
    </row>
    <row r="101" spans="1:11">
      <c r="A101" s="76">
        <v>74</v>
      </c>
      <c r="B101" s="77" t="s">
        <v>867</v>
      </c>
      <c r="C101" s="76" t="s">
        <v>868</v>
      </c>
      <c r="D101" s="76" t="s">
        <v>869</v>
      </c>
      <c r="E101" s="77" t="s">
        <v>870</v>
      </c>
      <c r="F101" s="76">
        <v>25</v>
      </c>
      <c r="G101" s="76" t="s">
        <v>871</v>
      </c>
      <c r="H101" s="76">
        <v>15</v>
      </c>
      <c r="I101" s="76" t="s">
        <v>872</v>
      </c>
      <c r="J101" s="76" t="s">
        <v>873</v>
      </c>
      <c r="K101" s="76">
        <v>60</v>
      </c>
    </row>
    <row r="102" spans="1:11">
      <c r="A102" s="74">
        <v>75</v>
      </c>
      <c r="B102" s="73" t="s">
        <v>874</v>
      </c>
      <c r="C102" s="74" t="s">
        <v>875</v>
      </c>
      <c r="D102" s="74" t="s">
        <v>780</v>
      </c>
      <c r="E102" s="73" t="s">
        <v>659</v>
      </c>
      <c r="F102" s="74">
        <v>35</v>
      </c>
      <c r="G102" s="74" t="s">
        <v>876</v>
      </c>
      <c r="H102" s="74">
        <v>65</v>
      </c>
      <c r="I102" s="74"/>
      <c r="J102" s="74"/>
      <c r="K102" s="74"/>
    </row>
    <row r="103" spans="1:11">
      <c r="A103" s="571">
        <v>79</v>
      </c>
      <c r="B103" s="574" t="s">
        <v>877</v>
      </c>
      <c r="C103" s="571" t="s">
        <v>878</v>
      </c>
      <c r="D103" s="571" t="s">
        <v>803</v>
      </c>
      <c r="E103" s="574" t="s">
        <v>651</v>
      </c>
      <c r="F103" s="571">
        <v>10</v>
      </c>
      <c r="G103" s="571"/>
      <c r="H103" s="571"/>
      <c r="I103" s="76" t="s">
        <v>879</v>
      </c>
      <c r="J103" s="76"/>
      <c r="K103" s="76">
        <v>1</v>
      </c>
    </row>
    <row r="104" spans="1:11">
      <c r="A104" s="573"/>
      <c r="B104" s="575"/>
      <c r="C104" s="573"/>
      <c r="D104" s="573"/>
      <c r="E104" s="575"/>
      <c r="F104" s="573"/>
      <c r="G104" s="573"/>
      <c r="H104" s="573"/>
      <c r="I104" s="76" t="s">
        <v>880</v>
      </c>
      <c r="J104" s="76"/>
      <c r="K104" s="76">
        <v>89</v>
      </c>
    </row>
    <row r="105" spans="1:11">
      <c r="A105" s="576">
        <v>80</v>
      </c>
      <c r="B105" s="578" t="s">
        <v>881</v>
      </c>
      <c r="C105" s="576" t="s">
        <v>882</v>
      </c>
      <c r="D105" s="576" t="s">
        <v>869</v>
      </c>
      <c r="E105" s="578"/>
      <c r="F105" s="576"/>
      <c r="G105" s="74" t="s">
        <v>883</v>
      </c>
      <c r="H105" s="74">
        <v>66</v>
      </c>
      <c r="I105" s="74" t="s">
        <v>884</v>
      </c>
      <c r="J105" s="74" t="s">
        <v>679</v>
      </c>
      <c r="K105" s="74">
        <v>15</v>
      </c>
    </row>
    <row r="106" spans="1:11">
      <c r="A106" s="584"/>
      <c r="B106" s="585"/>
      <c r="C106" s="584"/>
      <c r="D106" s="584"/>
      <c r="E106" s="585"/>
      <c r="F106" s="584"/>
      <c r="G106" s="74" t="s">
        <v>885</v>
      </c>
      <c r="H106" s="74">
        <v>10</v>
      </c>
      <c r="I106" s="74" t="s">
        <v>886</v>
      </c>
      <c r="J106" s="74" t="s">
        <v>679</v>
      </c>
      <c r="K106" s="74">
        <v>2</v>
      </c>
    </row>
    <row r="107" spans="1:11">
      <c r="A107" s="584"/>
      <c r="B107" s="585"/>
      <c r="C107" s="584"/>
      <c r="D107" s="584"/>
      <c r="E107" s="585"/>
      <c r="F107" s="584"/>
      <c r="G107" s="74"/>
      <c r="H107" s="74"/>
      <c r="I107" s="74" t="s">
        <v>887</v>
      </c>
      <c r="J107" s="74" t="s">
        <v>679</v>
      </c>
      <c r="K107" s="74">
        <v>1</v>
      </c>
    </row>
    <row r="108" spans="1:11">
      <c r="A108" s="584"/>
      <c r="B108" s="585"/>
      <c r="C108" s="584"/>
      <c r="D108" s="584"/>
      <c r="E108" s="585"/>
      <c r="F108" s="584"/>
      <c r="G108" s="74"/>
      <c r="H108" s="74"/>
      <c r="I108" s="74" t="s">
        <v>888</v>
      </c>
      <c r="J108" s="74" t="s">
        <v>679</v>
      </c>
      <c r="K108" s="74">
        <v>1</v>
      </c>
    </row>
    <row r="109" spans="1:11">
      <c r="A109" s="584"/>
      <c r="B109" s="585"/>
      <c r="C109" s="584"/>
      <c r="D109" s="584"/>
      <c r="E109" s="585"/>
      <c r="F109" s="584"/>
      <c r="G109" s="74"/>
      <c r="H109" s="74"/>
      <c r="I109" s="74" t="s">
        <v>889</v>
      </c>
      <c r="J109" s="74" t="s">
        <v>679</v>
      </c>
      <c r="K109" s="74">
        <v>1</v>
      </c>
    </row>
    <row r="110" spans="1:11">
      <c r="A110" s="584"/>
      <c r="B110" s="585"/>
      <c r="C110" s="584"/>
      <c r="D110" s="584"/>
      <c r="E110" s="585"/>
      <c r="F110" s="584"/>
      <c r="G110" s="74"/>
      <c r="H110" s="74"/>
      <c r="I110" s="74" t="s">
        <v>890</v>
      </c>
      <c r="J110" s="74" t="s">
        <v>679</v>
      </c>
      <c r="K110" s="74">
        <v>1</v>
      </c>
    </row>
    <row r="111" spans="1:11">
      <c r="A111" s="584"/>
      <c r="B111" s="585"/>
      <c r="C111" s="584"/>
      <c r="D111" s="584"/>
      <c r="E111" s="585"/>
      <c r="F111" s="584"/>
      <c r="G111" s="74"/>
      <c r="H111" s="74"/>
      <c r="I111" s="74" t="s">
        <v>891</v>
      </c>
      <c r="J111" s="74" t="s">
        <v>679</v>
      </c>
      <c r="K111" s="74">
        <v>1</v>
      </c>
    </row>
    <row r="112" spans="1:11">
      <c r="A112" s="584"/>
      <c r="B112" s="585"/>
      <c r="C112" s="584"/>
      <c r="D112" s="584"/>
      <c r="E112" s="585"/>
      <c r="F112" s="584"/>
      <c r="G112" s="74"/>
      <c r="H112" s="74"/>
      <c r="I112" s="74" t="s">
        <v>892</v>
      </c>
      <c r="J112" s="74" t="s">
        <v>679</v>
      </c>
      <c r="K112" s="74">
        <v>1</v>
      </c>
    </row>
    <row r="113" spans="1:11">
      <c r="A113" s="577"/>
      <c r="B113" s="579"/>
      <c r="C113" s="577"/>
      <c r="D113" s="577"/>
      <c r="E113" s="579"/>
      <c r="F113" s="577"/>
      <c r="G113" s="74"/>
      <c r="H113" s="74"/>
      <c r="I113" s="74" t="s">
        <v>893</v>
      </c>
      <c r="J113" s="74" t="s">
        <v>679</v>
      </c>
      <c r="K113" s="74">
        <v>1</v>
      </c>
    </row>
    <row r="114" spans="1:11">
      <c r="A114" s="571">
        <v>85</v>
      </c>
      <c r="B114" s="574" t="s">
        <v>894</v>
      </c>
      <c r="C114" s="571" t="s">
        <v>895</v>
      </c>
      <c r="D114" s="571" t="s">
        <v>896</v>
      </c>
      <c r="E114" s="574"/>
      <c r="F114" s="571"/>
      <c r="G114" s="580" t="s">
        <v>897</v>
      </c>
      <c r="H114" s="571">
        <v>20</v>
      </c>
      <c r="I114" s="77" t="s">
        <v>898</v>
      </c>
      <c r="J114" s="76" t="s">
        <v>899</v>
      </c>
      <c r="K114" s="76">
        <v>40</v>
      </c>
    </row>
    <row r="115" spans="1:11">
      <c r="A115" s="572"/>
      <c r="B115" s="583"/>
      <c r="C115" s="572"/>
      <c r="D115" s="572"/>
      <c r="E115" s="583"/>
      <c r="F115" s="572"/>
      <c r="G115" s="581"/>
      <c r="H115" s="572"/>
      <c r="I115" s="77" t="s">
        <v>900</v>
      </c>
      <c r="J115" s="76" t="s">
        <v>836</v>
      </c>
      <c r="K115" s="76">
        <v>20</v>
      </c>
    </row>
    <row r="116" spans="1:11">
      <c r="A116" s="573"/>
      <c r="B116" s="575"/>
      <c r="C116" s="573"/>
      <c r="D116" s="573"/>
      <c r="E116" s="575"/>
      <c r="F116" s="573"/>
      <c r="G116" s="582"/>
      <c r="H116" s="573"/>
      <c r="I116" s="77" t="s">
        <v>901</v>
      </c>
      <c r="J116" s="76" t="s">
        <v>836</v>
      </c>
      <c r="K116" s="76">
        <v>20</v>
      </c>
    </row>
    <row r="117" spans="1:11">
      <c r="A117" s="576">
        <v>87</v>
      </c>
      <c r="B117" s="578" t="s">
        <v>197</v>
      </c>
      <c r="C117" s="576" t="s">
        <v>902</v>
      </c>
      <c r="D117" s="576" t="s">
        <v>903</v>
      </c>
      <c r="E117" s="578" t="s">
        <v>651</v>
      </c>
      <c r="F117" s="576">
        <v>10</v>
      </c>
      <c r="G117" s="576"/>
      <c r="H117" s="576"/>
      <c r="I117" s="74" t="s">
        <v>904</v>
      </c>
      <c r="J117" s="74" t="s">
        <v>905</v>
      </c>
      <c r="K117" s="74">
        <v>45</v>
      </c>
    </row>
    <row r="118" spans="1:11">
      <c r="A118" s="577"/>
      <c r="B118" s="579"/>
      <c r="C118" s="577"/>
      <c r="D118" s="577"/>
      <c r="E118" s="579"/>
      <c r="F118" s="577"/>
      <c r="G118" s="577"/>
      <c r="H118" s="577"/>
      <c r="I118" s="74" t="s">
        <v>906</v>
      </c>
      <c r="J118" s="74" t="s">
        <v>905</v>
      </c>
      <c r="K118" s="74">
        <v>45</v>
      </c>
    </row>
    <row r="119" spans="1:11">
      <c r="A119" s="571">
        <v>89</v>
      </c>
      <c r="B119" s="574" t="s">
        <v>198</v>
      </c>
      <c r="C119" s="571" t="s">
        <v>907</v>
      </c>
      <c r="D119" s="571" t="s">
        <v>908</v>
      </c>
      <c r="E119" s="574" t="s">
        <v>651</v>
      </c>
      <c r="F119" s="571">
        <v>10</v>
      </c>
      <c r="G119" s="571"/>
      <c r="H119" s="571"/>
      <c r="I119" s="76" t="s">
        <v>909</v>
      </c>
      <c r="J119" s="76" t="s">
        <v>910</v>
      </c>
      <c r="K119" s="76">
        <v>89</v>
      </c>
    </row>
    <row r="120" spans="1:11">
      <c r="A120" s="573"/>
      <c r="B120" s="575"/>
      <c r="C120" s="573"/>
      <c r="D120" s="573"/>
      <c r="E120" s="575"/>
      <c r="F120" s="573"/>
      <c r="G120" s="573"/>
      <c r="H120" s="573"/>
      <c r="I120" s="76" t="s">
        <v>880</v>
      </c>
      <c r="J120" s="76" t="s">
        <v>911</v>
      </c>
      <c r="K120" s="76">
        <v>1</v>
      </c>
    </row>
    <row r="121" spans="1:11">
      <c r="A121" s="74">
        <v>92</v>
      </c>
      <c r="B121" s="73" t="s">
        <v>912</v>
      </c>
      <c r="C121" s="74" t="s">
        <v>913</v>
      </c>
      <c r="D121" s="74" t="s">
        <v>619</v>
      </c>
      <c r="E121" s="73" t="s">
        <v>619</v>
      </c>
      <c r="F121" s="74" t="s">
        <v>619</v>
      </c>
      <c r="G121" s="74" t="s">
        <v>619</v>
      </c>
      <c r="H121" s="74" t="s">
        <v>619</v>
      </c>
      <c r="I121" s="74" t="s">
        <v>619</v>
      </c>
      <c r="J121" s="74" t="s">
        <v>619</v>
      </c>
      <c r="K121" s="74" t="s">
        <v>619</v>
      </c>
    </row>
    <row r="122" spans="1:11">
      <c r="A122" s="76">
        <v>95</v>
      </c>
      <c r="B122" s="77" t="s">
        <v>914</v>
      </c>
      <c r="C122" s="76" t="s">
        <v>915</v>
      </c>
      <c r="D122" s="76"/>
      <c r="E122" s="77"/>
      <c r="F122" s="76"/>
      <c r="G122" s="76"/>
      <c r="H122" s="76"/>
      <c r="I122" s="76" t="s">
        <v>916</v>
      </c>
      <c r="J122" s="76" t="s">
        <v>639</v>
      </c>
      <c r="K122" s="76">
        <v>100</v>
      </c>
    </row>
    <row r="123" spans="1:11">
      <c r="A123" s="576">
        <v>97</v>
      </c>
      <c r="B123" s="578" t="s">
        <v>917</v>
      </c>
      <c r="C123" s="576" t="s">
        <v>918</v>
      </c>
      <c r="D123" s="576" t="s">
        <v>711</v>
      </c>
      <c r="E123" s="578"/>
      <c r="F123" s="576"/>
      <c r="G123" s="576"/>
      <c r="H123" s="576"/>
      <c r="I123" s="74" t="s">
        <v>919</v>
      </c>
      <c r="J123" s="74" t="s">
        <v>920</v>
      </c>
      <c r="K123" s="74">
        <v>88.2</v>
      </c>
    </row>
    <row r="124" spans="1:11">
      <c r="A124" s="577"/>
      <c r="B124" s="579"/>
      <c r="C124" s="577"/>
      <c r="D124" s="577"/>
      <c r="E124" s="579"/>
      <c r="F124" s="577"/>
      <c r="G124" s="577"/>
      <c r="H124" s="577"/>
      <c r="I124" s="74" t="s">
        <v>921</v>
      </c>
      <c r="J124" s="74" t="s">
        <v>920</v>
      </c>
      <c r="K124" s="74">
        <v>1.8</v>
      </c>
    </row>
    <row r="125" spans="1:11">
      <c r="A125" s="571">
        <v>98</v>
      </c>
      <c r="B125" s="574" t="s">
        <v>922</v>
      </c>
      <c r="C125" s="571" t="s">
        <v>923</v>
      </c>
      <c r="D125" s="571" t="s">
        <v>711</v>
      </c>
      <c r="E125" s="574"/>
      <c r="F125" s="571"/>
      <c r="G125" s="76" t="s">
        <v>924</v>
      </c>
      <c r="H125" s="76">
        <v>80</v>
      </c>
      <c r="I125" s="76"/>
      <c r="J125" s="76"/>
      <c r="K125" s="76"/>
    </row>
    <row r="126" spans="1:11">
      <c r="A126" s="573"/>
      <c r="B126" s="575"/>
      <c r="C126" s="573"/>
      <c r="D126" s="573"/>
      <c r="E126" s="575"/>
      <c r="F126" s="573"/>
      <c r="G126" s="76" t="s">
        <v>925</v>
      </c>
      <c r="H126" s="76">
        <v>20</v>
      </c>
      <c r="I126" s="76"/>
      <c r="J126" s="76"/>
      <c r="K126" s="76"/>
    </row>
    <row r="127" spans="1:11">
      <c r="A127" s="74">
        <v>105</v>
      </c>
      <c r="B127" s="73" t="s">
        <v>82</v>
      </c>
      <c r="C127" s="74" t="s">
        <v>926</v>
      </c>
      <c r="D127" s="74" t="s">
        <v>927</v>
      </c>
      <c r="E127" s="73" t="s">
        <v>651</v>
      </c>
      <c r="F127" s="74">
        <v>100</v>
      </c>
      <c r="G127" s="74"/>
      <c r="H127" s="74"/>
      <c r="I127" s="74"/>
      <c r="J127" s="74"/>
      <c r="K127" s="74"/>
    </row>
    <row r="128" spans="1:11">
      <c r="A128" s="76">
        <v>106</v>
      </c>
      <c r="B128" s="77" t="s">
        <v>72</v>
      </c>
      <c r="C128" s="76" t="s">
        <v>928</v>
      </c>
      <c r="D128" s="76" t="s">
        <v>929</v>
      </c>
      <c r="E128" s="77" t="s">
        <v>651</v>
      </c>
      <c r="F128" s="76">
        <v>80</v>
      </c>
      <c r="G128" s="76"/>
      <c r="H128" s="76"/>
      <c r="I128" s="76" t="s">
        <v>930</v>
      </c>
      <c r="J128" s="76" t="s">
        <v>931</v>
      </c>
      <c r="K128" s="76">
        <v>20</v>
      </c>
    </row>
    <row r="129" spans="1:11">
      <c r="A129" s="74">
        <v>107</v>
      </c>
      <c r="B129" s="73" t="s">
        <v>92</v>
      </c>
      <c r="C129" s="74" t="s">
        <v>932</v>
      </c>
      <c r="D129" s="74" t="s">
        <v>933</v>
      </c>
      <c r="E129" s="73" t="s">
        <v>651</v>
      </c>
      <c r="F129" s="74">
        <v>100</v>
      </c>
      <c r="G129" s="74"/>
      <c r="H129" s="74"/>
      <c r="I129" s="74"/>
      <c r="J129" s="74"/>
      <c r="K129" s="74"/>
    </row>
    <row r="130" spans="1:11">
      <c r="A130" s="76">
        <v>49</v>
      </c>
      <c r="B130" s="76" t="s">
        <v>189</v>
      </c>
      <c r="C130" s="76" t="s">
        <v>934</v>
      </c>
      <c r="D130" s="76" t="s">
        <v>935</v>
      </c>
      <c r="E130" s="77" t="s">
        <v>619</v>
      </c>
      <c r="F130" s="76"/>
      <c r="G130" s="76" t="s">
        <v>619</v>
      </c>
      <c r="H130" s="76"/>
      <c r="I130" s="76" t="s">
        <v>619</v>
      </c>
      <c r="J130" s="76"/>
      <c r="K130" s="76"/>
    </row>
    <row r="131" spans="1:11">
      <c r="A131" s="576">
        <v>18</v>
      </c>
      <c r="B131" s="590" t="s">
        <v>3331</v>
      </c>
      <c r="C131" s="576" t="s">
        <v>2445</v>
      </c>
      <c r="D131" s="576" t="s">
        <v>3332</v>
      </c>
      <c r="E131" s="576" t="s">
        <v>651</v>
      </c>
      <c r="F131" s="576">
        <v>5</v>
      </c>
      <c r="G131" s="576"/>
      <c r="H131" s="576"/>
      <c r="I131" s="74" t="s">
        <v>3333</v>
      </c>
      <c r="J131" s="74" t="s">
        <v>3336</v>
      </c>
      <c r="K131" s="74">
        <v>84</v>
      </c>
    </row>
    <row r="132" spans="1:11">
      <c r="A132" s="584"/>
      <c r="B132" s="591"/>
      <c r="C132" s="584"/>
      <c r="D132" s="584"/>
      <c r="E132" s="584"/>
      <c r="F132" s="584"/>
      <c r="G132" s="584"/>
      <c r="H132" s="584"/>
      <c r="I132" s="74" t="s">
        <v>3334</v>
      </c>
      <c r="J132" s="74" t="s">
        <v>3337</v>
      </c>
      <c r="K132" s="74">
        <v>1</v>
      </c>
    </row>
    <row r="133" spans="1:11">
      <c r="A133" s="577"/>
      <c r="B133" s="592"/>
      <c r="C133" s="577"/>
      <c r="D133" s="577"/>
      <c r="E133" s="577"/>
      <c r="F133" s="577"/>
      <c r="G133" s="577"/>
      <c r="H133" s="577"/>
      <c r="I133" s="74" t="s">
        <v>3335</v>
      </c>
      <c r="J133" s="74" t="s">
        <v>669</v>
      </c>
      <c r="K133" s="74">
        <v>10</v>
      </c>
    </row>
    <row r="134" spans="1:11">
      <c r="A134" s="571"/>
      <c r="B134" s="571" t="s">
        <v>3659</v>
      </c>
      <c r="C134" s="571" t="s">
        <v>2447</v>
      </c>
      <c r="D134" s="571" t="s">
        <v>3660</v>
      </c>
      <c r="E134" s="571"/>
      <c r="F134" s="571"/>
      <c r="G134" s="571"/>
      <c r="H134" s="571"/>
      <c r="I134" s="77" t="s">
        <v>3661</v>
      </c>
      <c r="J134" s="76"/>
      <c r="K134" s="76">
        <v>10</v>
      </c>
    </row>
    <row r="135" spans="1:11">
      <c r="A135" s="573"/>
      <c r="B135" s="573"/>
      <c r="C135" s="573"/>
      <c r="D135" s="573"/>
      <c r="E135" s="573"/>
      <c r="F135" s="573"/>
      <c r="G135" s="573"/>
      <c r="H135" s="573"/>
      <c r="I135" s="77" t="s">
        <v>3662</v>
      </c>
      <c r="J135" s="76"/>
      <c r="K135" s="76">
        <v>90</v>
      </c>
    </row>
    <row r="136" spans="1:11">
      <c r="A136" s="576"/>
      <c r="B136" s="576" t="s">
        <v>3704</v>
      </c>
      <c r="C136" s="576" t="s">
        <v>3705</v>
      </c>
      <c r="D136" s="576"/>
      <c r="E136" s="576"/>
      <c r="F136" s="576"/>
      <c r="G136" s="73" t="s">
        <v>3706</v>
      </c>
      <c r="H136" s="74">
        <v>40</v>
      </c>
      <c r="I136" s="576"/>
      <c r="J136" s="576"/>
      <c r="K136" s="576"/>
    </row>
    <row r="137" spans="1:11">
      <c r="A137" s="584"/>
      <c r="B137" s="584"/>
      <c r="C137" s="584"/>
      <c r="D137" s="584"/>
      <c r="E137" s="584"/>
      <c r="F137" s="584"/>
      <c r="G137" s="73" t="s">
        <v>3707</v>
      </c>
      <c r="H137" s="74">
        <v>25</v>
      </c>
      <c r="I137" s="584"/>
      <c r="J137" s="584"/>
      <c r="K137" s="584"/>
    </row>
    <row r="138" spans="1:11">
      <c r="A138" s="584"/>
      <c r="B138" s="584"/>
      <c r="C138" s="584"/>
      <c r="D138" s="584"/>
      <c r="E138" s="584"/>
      <c r="F138" s="584"/>
      <c r="G138" s="73" t="s">
        <v>3708</v>
      </c>
      <c r="H138" s="74">
        <v>25</v>
      </c>
      <c r="I138" s="584"/>
      <c r="J138" s="584"/>
      <c r="K138" s="584"/>
    </row>
    <row r="139" spans="1:11">
      <c r="A139" s="577"/>
      <c r="B139" s="577"/>
      <c r="C139" s="577"/>
      <c r="D139" s="577"/>
      <c r="E139" s="577"/>
      <c r="F139" s="577"/>
      <c r="G139" s="73" t="s">
        <v>3709</v>
      </c>
      <c r="H139" s="74">
        <v>10</v>
      </c>
      <c r="I139" s="577"/>
      <c r="J139" s="577"/>
      <c r="K139" s="577"/>
    </row>
    <row r="140" spans="1:11">
      <c r="A140" s="571"/>
      <c r="B140" s="571" t="s">
        <v>3714</v>
      </c>
      <c r="C140" s="571" t="s">
        <v>3715</v>
      </c>
      <c r="D140" s="571" t="s">
        <v>803</v>
      </c>
      <c r="E140" s="571"/>
      <c r="F140" s="571"/>
      <c r="G140" s="76" t="s">
        <v>3718</v>
      </c>
      <c r="H140" s="76">
        <v>90</v>
      </c>
      <c r="I140" s="571"/>
      <c r="J140" s="571"/>
      <c r="K140" s="571"/>
    </row>
    <row r="141" spans="1:11">
      <c r="A141" s="573"/>
      <c r="B141" s="573"/>
      <c r="C141" s="573"/>
      <c r="D141" s="573"/>
      <c r="E141" s="573"/>
      <c r="F141" s="573"/>
      <c r="G141" s="76" t="s">
        <v>3719</v>
      </c>
      <c r="H141" s="76">
        <v>10</v>
      </c>
      <c r="I141" s="573"/>
      <c r="J141" s="573"/>
      <c r="K141" s="573"/>
    </row>
    <row r="142" spans="1:11">
      <c r="A142" s="74"/>
      <c r="B142" s="73" t="s">
        <v>1899</v>
      </c>
      <c r="C142" s="74" t="s">
        <v>2466</v>
      </c>
      <c r="D142" s="74" t="s">
        <v>3721</v>
      </c>
      <c r="E142" s="73"/>
      <c r="F142" s="74"/>
      <c r="G142" s="73" t="s">
        <v>3720</v>
      </c>
      <c r="H142" s="74">
        <v>100</v>
      </c>
      <c r="I142" s="74"/>
      <c r="J142" s="74"/>
      <c r="K142" s="74"/>
    </row>
    <row r="143" spans="1:11">
      <c r="A143" s="571"/>
      <c r="B143" s="571" t="s">
        <v>3722</v>
      </c>
      <c r="C143" s="571" t="s">
        <v>2474</v>
      </c>
      <c r="D143" s="571" t="s">
        <v>3730</v>
      </c>
      <c r="E143" s="571"/>
      <c r="F143" s="571"/>
      <c r="G143" s="76" t="s">
        <v>3724</v>
      </c>
      <c r="H143" s="76">
        <v>20</v>
      </c>
      <c r="I143" s="571" t="s">
        <v>3729</v>
      </c>
      <c r="J143" s="571" t="s">
        <v>931</v>
      </c>
      <c r="K143" s="571">
        <v>50</v>
      </c>
    </row>
    <row r="144" spans="1:11">
      <c r="A144" s="572"/>
      <c r="B144" s="572"/>
      <c r="C144" s="572"/>
      <c r="D144" s="572"/>
      <c r="E144" s="572"/>
      <c r="F144" s="572"/>
      <c r="G144" s="76" t="s">
        <v>3725</v>
      </c>
      <c r="H144" s="76">
        <v>15</v>
      </c>
      <c r="I144" s="572"/>
      <c r="J144" s="572"/>
      <c r="K144" s="572"/>
    </row>
    <row r="145" spans="1:11">
      <c r="A145" s="572"/>
      <c r="B145" s="572"/>
      <c r="C145" s="572"/>
      <c r="D145" s="572"/>
      <c r="E145" s="572"/>
      <c r="F145" s="572"/>
      <c r="G145" s="76" t="s">
        <v>3726</v>
      </c>
      <c r="H145" s="76">
        <v>5</v>
      </c>
      <c r="I145" s="572"/>
      <c r="J145" s="572"/>
      <c r="K145" s="572"/>
    </row>
    <row r="146" spans="1:11">
      <c r="A146" s="572"/>
      <c r="B146" s="572"/>
      <c r="C146" s="572"/>
      <c r="D146" s="572"/>
      <c r="E146" s="572"/>
      <c r="F146" s="572"/>
      <c r="G146" s="76" t="s">
        <v>3727</v>
      </c>
      <c r="H146" s="76">
        <v>5</v>
      </c>
      <c r="I146" s="572"/>
      <c r="J146" s="572"/>
      <c r="K146" s="572"/>
    </row>
    <row r="147" spans="1:11">
      <c r="A147" s="573"/>
      <c r="B147" s="573"/>
      <c r="C147" s="573"/>
      <c r="D147" s="573"/>
      <c r="E147" s="573"/>
      <c r="F147" s="573"/>
      <c r="G147" s="76" t="s">
        <v>3728</v>
      </c>
      <c r="H147" s="76">
        <v>5</v>
      </c>
      <c r="I147" s="573"/>
      <c r="J147" s="573"/>
      <c r="K147" s="573"/>
    </row>
    <row r="148" spans="1:11">
      <c r="A148" s="74"/>
      <c r="B148" s="73" t="s">
        <v>3731</v>
      </c>
      <c r="C148" s="74" t="s">
        <v>1080</v>
      </c>
      <c r="D148" s="74" t="s">
        <v>3732</v>
      </c>
      <c r="E148" s="73" t="s">
        <v>651</v>
      </c>
      <c r="F148" s="74">
        <v>100</v>
      </c>
      <c r="G148" s="73"/>
      <c r="H148" s="74"/>
      <c r="I148" s="74"/>
      <c r="J148" s="74"/>
      <c r="K148" s="74"/>
    </row>
    <row r="149" spans="1:11">
      <c r="A149" s="571"/>
      <c r="B149" s="571" t="s">
        <v>3736</v>
      </c>
      <c r="C149" s="571" t="s">
        <v>2484</v>
      </c>
      <c r="D149" s="571" t="s">
        <v>3737</v>
      </c>
      <c r="E149" s="571" t="s">
        <v>651</v>
      </c>
      <c r="F149" s="571">
        <v>10</v>
      </c>
      <c r="G149" s="77" t="s">
        <v>3741</v>
      </c>
      <c r="H149" s="76">
        <v>3.87</v>
      </c>
      <c r="I149" s="76" t="s">
        <v>3738</v>
      </c>
      <c r="J149" s="76" t="s">
        <v>3739</v>
      </c>
      <c r="K149" s="76">
        <v>84.68</v>
      </c>
    </row>
    <row r="150" spans="1:11">
      <c r="A150" s="572"/>
      <c r="B150" s="572"/>
      <c r="C150" s="572"/>
      <c r="D150" s="572"/>
      <c r="E150" s="572"/>
      <c r="F150" s="572"/>
      <c r="G150" s="77" t="s">
        <v>3742</v>
      </c>
      <c r="H150" s="76">
        <v>0.7</v>
      </c>
      <c r="I150" s="76" t="s">
        <v>3740</v>
      </c>
      <c r="J150" s="76" t="s">
        <v>931</v>
      </c>
      <c r="K150" s="76">
        <v>0.27</v>
      </c>
    </row>
    <row r="151" spans="1:11">
      <c r="A151" s="572"/>
      <c r="B151" s="572"/>
      <c r="C151" s="572"/>
      <c r="D151" s="572"/>
      <c r="E151" s="572"/>
      <c r="F151" s="572"/>
      <c r="G151" s="77" t="s">
        <v>3743</v>
      </c>
      <c r="H151" s="76">
        <v>0.17</v>
      </c>
      <c r="I151" s="76"/>
      <c r="J151" s="76"/>
      <c r="K151" s="76"/>
    </row>
    <row r="152" spans="1:11">
      <c r="A152" s="572"/>
      <c r="B152" s="572"/>
      <c r="C152" s="572"/>
      <c r="D152" s="572"/>
      <c r="E152" s="572"/>
      <c r="F152" s="572"/>
      <c r="G152" s="77" t="s">
        <v>3744</v>
      </c>
      <c r="H152" s="76">
        <v>0.12</v>
      </c>
      <c r="I152" s="76"/>
      <c r="J152" s="76"/>
      <c r="K152" s="76"/>
    </row>
    <row r="153" spans="1:11">
      <c r="A153" s="572"/>
      <c r="B153" s="572"/>
      <c r="C153" s="572"/>
      <c r="D153" s="572"/>
      <c r="E153" s="572"/>
      <c r="F153" s="572"/>
      <c r="G153" s="77" t="s">
        <v>3745</v>
      </c>
      <c r="H153" s="76">
        <v>0.1</v>
      </c>
      <c r="I153" s="76"/>
      <c r="J153" s="76"/>
      <c r="K153" s="76"/>
    </row>
    <row r="154" spans="1:11">
      <c r="A154" s="573"/>
      <c r="B154" s="573"/>
      <c r="C154" s="573"/>
      <c r="D154" s="573"/>
      <c r="E154" s="573"/>
      <c r="F154" s="573"/>
      <c r="G154" s="77" t="s">
        <v>3746</v>
      </c>
      <c r="H154" s="76">
        <v>0.09</v>
      </c>
      <c r="I154" s="76"/>
      <c r="J154" s="76"/>
      <c r="K154" s="76"/>
    </row>
    <row r="155" spans="1:11">
      <c r="A155" s="74"/>
      <c r="B155" s="73" t="s">
        <v>3747</v>
      </c>
      <c r="C155" s="74" t="s">
        <v>2462</v>
      </c>
      <c r="D155" s="74" t="s">
        <v>3749</v>
      </c>
      <c r="E155" s="73"/>
      <c r="F155" s="74"/>
      <c r="G155" s="74"/>
      <c r="H155" s="74"/>
      <c r="I155" s="74" t="s">
        <v>3750</v>
      </c>
      <c r="J155" s="74" t="s">
        <v>3751</v>
      </c>
      <c r="K155" s="74">
        <v>100</v>
      </c>
    </row>
    <row r="156" spans="1:11">
      <c r="A156" s="76"/>
      <c r="B156" s="77" t="s">
        <v>1878</v>
      </c>
      <c r="C156" s="76" t="s">
        <v>2461</v>
      </c>
      <c r="D156" s="76" t="s">
        <v>3758</v>
      </c>
      <c r="E156" s="77"/>
      <c r="F156" s="76"/>
      <c r="G156" s="76" t="s">
        <v>3248</v>
      </c>
      <c r="H156" s="76">
        <v>65</v>
      </c>
      <c r="I156" s="76" t="s">
        <v>3759</v>
      </c>
      <c r="J156" s="76" t="s">
        <v>3760</v>
      </c>
      <c r="K156" s="76">
        <v>35</v>
      </c>
    </row>
  </sheetData>
  <autoFilter ref="I7:J130"/>
  <mergeCells count="288">
    <mergeCell ref="B136:B139"/>
    <mergeCell ref="C136:C139"/>
    <mergeCell ref="D136:D139"/>
    <mergeCell ref="E136:E139"/>
    <mergeCell ref="F136:F139"/>
    <mergeCell ref="I136:I139"/>
    <mergeCell ref="J136:J139"/>
    <mergeCell ref="K136:K139"/>
    <mergeCell ref="A136:A139"/>
    <mergeCell ref="D131:D133"/>
    <mergeCell ref="C131:C133"/>
    <mergeCell ref="B131:B133"/>
    <mergeCell ref="A131:A133"/>
    <mergeCell ref="E131:E133"/>
    <mergeCell ref="F131:F133"/>
    <mergeCell ref="G131:G133"/>
    <mergeCell ref="H131:H133"/>
    <mergeCell ref="D134:D135"/>
    <mergeCell ref="C134:C135"/>
    <mergeCell ref="B134:B135"/>
    <mergeCell ref="A134:A135"/>
    <mergeCell ref="E134:E135"/>
    <mergeCell ref="F134:F135"/>
    <mergeCell ref="G134:G135"/>
    <mergeCell ref="H134:H135"/>
    <mergeCell ref="H16:H17"/>
    <mergeCell ref="H20:H21"/>
    <mergeCell ref="I16:I17"/>
    <mergeCell ref="J16:J17"/>
    <mergeCell ref="A6:A7"/>
    <mergeCell ref="B6:B7"/>
    <mergeCell ref="C6:C7"/>
    <mergeCell ref="D6:D7"/>
    <mergeCell ref="E6:K6"/>
    <mergeCell ref="A8:A9"/>
    <mergeCell ref="B8:B9"/>
    <mergeCell ref="C8:C9"/>
    <mergeCell ref="D8:D9"/>
    <mergeCell ref="G8:G9"/>
    <mergeCell ref="H8:H9"/>
    <mergeCell ref="I8:I9"/>
    <mergeCell ref="J8:J9"/>
    <mergeCell ref="K8:K9"/>
    <mergeCell ref="I24:I25"/>
    <mergeCell ref="J24:J25"/>
    <mergeCell ref="A12:A15"/>
    <mergeCell ref="B12:B15"/>
    <mergeCell ref="C12:C15"/>
    <mergeCell ref="D12:D15"/>
    <mergeCell ref="E12:E15"/>
    <mergeCell ref="F12:F15"/>
    <mergeCell ref="K24:K25"/>
    <mergeCell ref="K16:K17"/>
    <mergeCell ref="A20:A21"/>
    <mergeCell ref="B20:B21"/>
    <mergeCell ref="C20:C21"/>
    <mergeCell ref="D20:D21"/>
    <mergeCell ref="E20:E21"/>
    <mergeCell ref="F20:F21"/>
    <mergeCell ref="G20:G21"/>
    <mergeCell ref="G12:G15"/>
    <mergeCell ref="H12:H15"/>
    <mergeCell ref="A16:A17"/>
    <mergeCell ref="B16:B17"/>
    <mergeCell ref="C16:C17"/>
    <mergeCell ref="D16:D17"/>
    <mergeCell ref="G16:G17"/>
    <mergeCell ref="A26:A27"/>
    <mergeCell ref="B26:B27"/>
    <mergeCell ref="C26:C27"/>
    <mergeCell ref="D26:D27"/>
    <mergeCell ref="E26:E27"/>
    <mergeCell ref="F26:F27"/>
    <mergeCell ref="G26:G27"/>
    <mergeCell ref="H26:H27"/>
    <mergeCell ref="A24:A25"/>
    <mergeCell ref="B24:B25"/>
    <mergeCell ref="C24:C25"/>
    <mergeCell ref="D24:D25"/>
    <mergeCell ref="G24:G25"/>
    <mergeCell ref="H24:H25"/>
    <mergeCell ref="A28:A29"/>
    <mergeCell ref="B28:B29"/>
    <mergeCell ref="C28:C29"/>
    <mergeCell ref="D28:D29"/>
    <mergeCell ref="E28:E29"/>
    <mergeCell ref="F28:F29"/>
    <mergeCell ref="G28:G29"/>
    <mergeCell ref="H28:H29"/>
    <mergeCell ref="G31:G34"/>
    <mergeCell ref="H31:H34"/>
    <mergeCell ref="A35:A36"/>
    <mergeCell ref="B35:B36"/>
    <mergeCell ref="C35:C36"/>
    <mergeCell ref="D35:D36"/>
    <mergeCell ref="E35:E36"/>
    <mergeCell ref="F35:F36"/>
    <mergeCell ref="G35:G36"/>
    <mergeCell ref="H35:H36"/>
    <mergeCell ref="A31:A34"/>
    <mergeCell ref="B31:B34"/>
    <mergeCell ref="C31:C34"/>
    <mergeCell ref="D31:D34"/>
    <mergeCell ref="E31:E34"/>
    <mergeCell ref="F31:F34"/>
    <mergeCell ref="G41:G43"/>
    <mergeCell ref="H41:H43"/>
    <mergeCell ref="A44:A45"/>
    <mergeCell ref="B44:B45"/>
    <mergeCell ref="C44:C45"/>
    <mergeCell ref="D44:D45"/>
    <mergeCell ref="E44:E45"/>
    <mergeCell ref="F44:F45"/>
    <mergeCell ref="G44:G45"/>
    <mergeCell ref="H44:H45"/>
    <mergeCell ref="A41:A43"/>
    <mergeCell ref="B41:B43"/>
    <mergeCell ref="C41:C43"/>
    <mergeCell ref="D41:D43"/>
    <mergeCell ref="E41:E43"/>
    <mergeCell ref="F41:F43"/>
    <mergeCell ref="G46:G47"/>
    <mergeCell ref="H46:H47"/>
    <mergeCell ref="A50:A51"/>
    <mergeCell ref="B50:B51"/>
    <mergeCell ref="C50:C51"/>
    <mergeCell ref="D50:D51"/>
    <mergeCell ref="E50:E51"/>
    <mergeCell ref="F50:F51"/>
    <mergeCell ref="G50:G51"/>
    <mergeCell ref="H50:H51"/>
    <mergeCell ref="A46:A47"/>
    <mergeCell ref="B46:B47"/>
    <mergeCell ref="C46:C47"/>
    <mergeCell ref="D46:D47"/>
    <mergeCell ref="E46:E47"/>
    <mergeCell ref="F46:F47"/>
    <mergeCell ref="G52:G54"/>
    <mergeCell ref="H52:H54"/>
    <mergeCell ref="A55:A57"/>
    <mergeCell ref="B55:B57"/>
    <mergeCell ref="C55:C57"/>
    <mergeCell ref="D55:D57"/>
    <mergeCell ref="G55:G57"/>
    <mergeCell ref="H55:H57"/>
    <mergeCell ref="A52:A54"/>
    <mergeCell ref="B52:B54"/>
    <mergeCell ref="C52:C54"/>
    <mergeCell ref="D52:D54"/>
    <mergeCell ref="E52:E54"/>
    <mergeCell ref="F52:F54"/>
    <mergeCell ref="G60:G61"/>
    <mergeCell ref="H60:H61"/>
    <mergeCell ref="A68:A71"/>
    <mergeCell ref="B68:B71"/>
    <mergeCell ref="C68:C71"/>
    <mergeCell ref="D68:D71"/>
    <mergeCell ref="E68:E71"/>
    <mergeCell ref="F68:F71"/>
    <mergeCell ref="G68:G71"/>
    <mergeCell ref="H68:H71"/>
    <mergeCell ref="A60:A61"/>
    <mergeCell ref="B60:B61"/>
    <mergeCell ref="C60:C61"/>
    <mergeCell ref="D60:D61"/>
    <mergeCell ref="E60:E61"/>
    <mergeCell ref="F60:F61"/>
    <mergeCell ref="G74:G76"/>
    <mergeCell ref="H74:H76"/>
    <mergeCell ref="A82:A83"/>
    <mergeCell ref="B82:B83"/>
    <mergeCell ref="C82:C83"/>
    <mergeCell ref="D82:D83"/>
    <mergeCell ref="E82:E83"/>
    <mergeCell ref="F82:F83"/>
    <mergeCell ref="G82:G83"/>
    <mergeCell ref="H82:H83"/>
    <mergeCell ref="A74:A76"/>
    <mergeCell ref="B74:B76"/>
    <mergeCell ref="C74:C76"/>
    <mergeCell ref="D74:D76"/>
    <mergeCell ref="E74:E76"/>
    <mergeCell ref="F74:F76"/>
    <mergeCell ref="G84:G86"/>
    <mergeCell ref="H84:H86"/>
    <mergeCell ref="A90:A91"/>
    <mergeCell ref="B90:B91"/>
    <mergeCell ref="C90:C91"/>
    <mergeCell ref="D90:D91"/>
    <mergeCell ref="E90:E91"/>
    <mergeCell ref="F90:F91"/>
    <mergeCell ref="A84:A86"/>
    <mergeCell ref="B84:B86"/>
    <mergeCell ref="C84:C86"/>
    <mergeCell ref="D84:D86"/>
    <mergeCell ref="E84:E86"/>
    <mergeCell ref="F84:F86"/>
    <mergeCell ref="I90:I91"/>
    <mergeCell ref="J90:J91"/>
    <mergeCell ref="K90:K91"/>
    <mergeCell ref="A93:A96"/>
    <mergeCell ref="B93:B96"/>
    <mergeCell ref="C93:C96"/>
    <mergeCell ref="D93:D96"/>
    <mergeCell ref="E93:E96"/>
    <mergeCell ref="F93:F96"/>
    <mergeCell ref="G93:G96"/>
    <mergeCell ref="H93:H96"/>
    <mergeCell ref="A99:A100"/>
    <mergeCell ref="B99:B100"/>
    <mergeCell ref="C99:C100"/>
    <mergeCell ref="D99:D100"/>
    <mergeCell ref="A103:A104"/>
    <mergeCell ref="B103:B104"/>
    <mergeCell ref="C103:C104"/>
    <mergeCell ref="D103:D104"/>
    <mergeCell ref="E103:E104"/>
    <mergeCell ref="F103:F104"/>
    <mergeCell ref="G103:G104"/>
    <mergeCell ref="H103:H104"/>
    <mergeCell ref="A105:A113"/>
    <mergeCell ref="B105:B113"/>
    <mergeCell ref="C105:C113"/>
    <mergeCell ref="D105:D113"/>
    <mergeCell ref="E105:E113"/>
    <mergeCell ref="F105:F113"/>
    <mergeCell ref="G114:G116"/>
    <mergeCell ref="H114:H116"/>
    <mergeCell ref="A117:A118"/>
    <mergeCell ref="B117:B118"/>
    <mergeCell ref="C117:C118"/>
    <mergeCell ref="D117:D118"/>
    <mergeCell ref="E117:E118"/>
    <mergeCell ref="F117:F118"/>
    <mergeCell ref="G117:G118"/>
    <mergeCell ref="H117:H118"/>
    <mergeCell ref="A114:A116"/>
    <mergeCell ref="B114:B116"/>
    <mergeCell ref="C114:C116"/>
    <mergeCell ref="D114:D116"/>
    <mergeCell ref="E114:E116"/>
    <mergeCell ref="F114:F116"/>
    <mergeCell ref="A125:A126"/>
    <mergeCell ref="B125:B126"/>
    <mergeCell ref="C125:C126"/>
    <mergeCell ref="D125:D126"/>
    <mergeCell ref="E125:E126"/>
    <mergeCell ref="F125:F126"/>
    <mergeCell ref="G119:G120"/>
    <mergeCell ref="H119:H120"/>
    <mergeCell ref="A123:A124"/>
    <mergeCell ref="B123:B124"/>
    <mergeCell ref="C123:C124"/>
    <mergeCell ref="D123:D124"/>
    <mergeCell ref="E123:E124"/>
    <mergeCell ref="F123:F124"/>
    <mergeCell ref="G123:G124"/>
    <mergeCell ref="H123:H124"/>
    <mergeCell ref="A119:A120"/>
    <mergeCell ref="B119:B120"/>
    <mergeCell ref="C119:C120"/>
    <mergeCell ref="D119:D120"/>
    <mergeCell ref="E119:E120"/>
    <mergeCell ref="F119:F120"/>
    <mergeCell ref="I143:I147"/>
    <mergeCell ref="J143:J147"/>
    <mergeCell ref="K143:K147"/>
    <mergeCell ref="A140:A141"/>
    <mergeCell ref="B140:B141"/>
    <mergeCell ref="C140:C141"/>
    <mergeCell ref="D140:D141"/>
    <mergeCell ref="E140:E141"/>
    <mergeCell ref="F140:F141"/>
    <mergeCell ref="I140:I141"/>
    <mergeCell ref="J140:J141"/>
    <mergeCell ref="K140:K141"/>
    <mergeCell ref="A149:A154"/>
    <mergeCell ref="B149:B154"/>
    <mergeCell ref="C149:C154"/>
    <mergeCell ref="D149:D154"/>
    <mergeCell ref="E149:E154"/>
    <mergeCell ref="F149:F154"/>
    <mergeCell ref="B143:B147"/>
    <mergeCell ref="A143:A147"/>
    <mergeCell ref="C143:C147"/>
    <mergeCell ref="D143:D147"/>
    <mergeCell ref="E143:E147"/>
    <mergeCell ref="F143:F14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2:L18"/>
  <sheetViews>
    <sheetView zoomScale="80" zoomScaleNormal="80" workbookViewId="0">
      <selection activeCell="A2" sqref="A2"/>
    </sheetView>
  </sheetViews>
  <sheetFormatPr baseColWidth="10" defaultRowHeight="13.8"/>
  <cols>
    <col min="1" max="1" width="8.69921875" customWidth="1"/>
    <col min="2" max="2" width="48.3984375" bestFit="1" customWidth="1"/>
    <col min="4" max="4" width="17.69921875" bestFit="1" customWidth="1"/>
    <col min="5" max="5" width="42.3984375" bestFit="1" customWidth="1"/>
    <col min="6" max="6" width="10.69921875" style="67"/>
    <col min="7" max="7" width="17.59765625" bestFit="1" customWidth="1"/>
    <col min="9" max="9" width="23.69921875" customWidth="1"/>
    <col min="10" max="10" width="16.296875" customWidth="1"/>
    <col min="11" max="11" width="16.69921875" style="67" customWidth="1"/>
  </cols>
  <sheetData>
    <row r="2" spans="1:12" ht="18.600000000000001">
      <c r="A2" s="65" t="s">
        <v>2210</v>
      </c>
      <c r="E2" s="66" t="s">
        <v>606</v>
      </c>
      <c r="F2" s="66">
        <v>7</v>
      </c>
    </row>
    <row r="3" spans="1:12">
      <c r="E3" s="66" t="s">
        <v>607</v>
      </c>
      <c r="F3" s="66">
        <v>7</v>
      </c>
    </row>
    <row r="4" spans="1:12">
      <c r="E4" s="68" t="s">
        <v>608</v>
      </c>
      <c r="F4" s="68">
        <v>0</v>
      </c>
    </row>
    <row r="6" spans="1:12" ht="14.4" thickBot="1">
      <c r="A6" s="545" t="s">
        <v>609</v>
      </c>
      <c r="B6" s="545" t="s">
        <v>610</v>
      </c>
      <c r="C6" s="545" t="s">
        <v>611</v>
      </c>
      <c r="D6" s="546" t="s">
        <v>612</v>
      </c>
      <c r="E6" s="545" t="s">
        <v>613</v>
      </c>
      <c r="F6" s="545"/>
      <c r="G6" s="545"/>
      <c r="H6" s="545"/>
      <c r="I6" s="545"/>
      <c r="J6" s="545"/>
      <c r="K6" s="545"/>
    </row>
    <row r="7" spans="1:12">
      <c r="A7" s="546"/>
      <c r="B7" s="546"/>
      <c r="C7" s="546"/>
      <c r="D7" s="547"/>
      <c r="E7" s="70" t="s">
        <v>614</v>
      </c>
      <c r="F7" s="70" t="s">
        <v>615</v>
      </c>
      <c r="G7" s="70" t="s">
        <v>616</v>
      </c>
      <c r="H7" s="70" t="s">
        <v>615</v>
      </c>
      <c r="I7" s="70" t="s">
        <v>617</v>
      </c>
      <c r="J7" s="70" t="s">
        <v>575</v>
      </c>
      <c r="K7" s="70" t="s">
        <v>615</v>
      </c>
    </row>
    <row r="8" spans="1:12" s="75" customFormat="1">
      <c r="A8" s="71">
        <v>1</v>
      </c>
      <c r="B8" s="90" t="s">
        <v>1023</v>
      </c>
      <c r="C8" s="71" t="s">
        <v>1024</v>
      </c>
      <c r="D8" s="74" t="s">
        <v>619</v>
      </c>
      <c r="E8" s="73"/>
      <c r="F8" s="74"/>
      <c r="G8" s="73"/>
      <c r="H8" s="74"/>
      <c r="I8" s="74" t="s">
        <v>1025</v>
      </c>
      <c r="J8" s="74" t="s">
        <v>1026</v>
      </c>
      <c r="K8" s="74">
        <v>100</v>
      </c>
    </row>
    <row r="9" spans="1:12" s="75" customFormat="1">
      <c r="A9" s="76">
        <v>2</v>
      </c>
      <c r="B9" s="77" t="s">
        <v>1027</v>
      </c>
      <c r="C9" s="76" t="s">
        <v>1028</v>
      </c>
      <c r="D9" s="76" t="s">
        <v>619</v>
      </c>
      <c r="E9" s="77"/>
      <c r="F9" s="76"/>
      <c r="G9" s="76"/>
      <c r="H9" s="76"/>
      <c r="I9" s="78" t="s">
        <v>1025</v>
      </c>
      <c r="J9" s="76" t="s">
        <v>1026</v>
      </c>
      <c r="K9" s="76">
        <v>100</v>
      </c>
    </row>
    <row r="10" spans="1:12">
      <c r="A10" s="74">
        <v>3</v>
      </c>
      <c r="B10" s="73" t="s">
        <v>1029</v>
      </c>
      <c r="C10" s="74" t="s">
        <v>1030</v>
      </c>
      <c r="D10" s="74" t="s">
        <v>1031</v>
      </c>
      <c r="E10" s="73"/>
      <c r="F10" s="74"/>
      <c r="G10" s="73"/>
      <c r="H10" s="74"/>
      <c r="I10" s="74" t="s">
        <v>1025</v>
      </c>
      <c r="J10" s="74" t="s">
        <v>1026</v>
      </c>
      <c r="K10" s="74">
        <v>100</v>
      </c>
    </row>
    <row r="11" spans="1:12">
      <c r="A11" s="76">
        <v>4</v>
      </c>
      <c r="B11" s="77" t="s">
        <v>1032</v>
      </c>
      <c r="C11" s="76" t="s">
        <v>1033</v>
      </c>
      <c r="D11" s="76" t="s">
        <v>1034</v>
      </c>
      <c r="E11" s="77"/>
      <c r="F11" s="76"/>
      <c r="G11" s="76"/>
      <c r="H11" s="76"/>
      <c r="I11" s="78" t="s">
        <v>1025</v>
      </c>
      <c r="J11" s="76" t="s">
        <v>1026</v>
      </c>
      <c r="K11" s="76">
        <v>100</v>
      </c>
    </row>
    <row r="12" spans="1:12">
      <c r="A12" s="74">
        <v>5</v>
      </c>
      <c r="B12" s="73" t="s">
        <v>1035</v>
      </c>
      <c r="C12" s="74" t="s">
        <v>1036</v>
      </c>
      <c r="D12" s="74" t="s">
        <v>1037</v>
      </c>
      <c r="E12" s="73"/>
      <c r="F12" s="74"/>
      <c r="G12" s="73"/>
      <c r="H12" s="74"/>
      <c r="I12" s="74" t="s">
        <v>1025</v>
      </c>
      <c r="J12" s="74" t="s">
        <v>1026</v>
      </c>
      <c r="K12" s="74">
        <v>100</v>
      </c>
      <c r="L12" s="5" t="s">
        <v>1038</v>
      </c>
    </row>
    <row r="13" spans="1:12">
      <c r="A13" s="571">
        <v>6</v>
      </c>
      <c r="B13" s="571" t="s">
        <v>1039</v>
      </c>
      <c r="C13" s="571" t="s">
        <v>1040</v>
      </c>
      <c r="D13" s="571" t="s">
        <v>1041</v>
      </c>
      <c r="E13" s="571"/>
      <c r="F13" s="571"/>
      <c r="G13" s="76" t="s">
        <v>1042</v>
      </c>
      <c r="H13" s="76">
        <v>71.599999999999994</v>
      </c>
      <c r="I13" s="78" t="s">
        <v>1043</v>
      </c>
      <c r="J13" s="76" t="s">
        <v>1044</v>
      </c>
      <c r="K13" s="76">
        <v>27.8</v>
      </c>
    </row>
    <row r="14" spans="1:12">
      <c r="A14" s="572"/>
      <c r="B14" s="572"/>
      <c r="C14" s="572"/>
      <c r="D14" s="572"/>
      <c r="E14" s="572"/>
      <c r="F14" s="572"/>
      <c r="G14" s="76" t="s">
        <v>1045</v>
      </c>
      <c r="H14" s="76">
        <v>0.1</v>
      </c>
      <c r="I14" s="78" t="s">
        <v>1046</v>
      </c>
      <c r="J14" s="76" t="s">
        <v>1044</v>
      </c>
      <c r="K14" s="76">
        <v>0.3</v>
      </c>
    </row>
    <row r="15" spans="1:12">
      <c r="A15" s="572"/>
      <c r="B15" s="572"/>
      <c r="C15" s="572"/>
      <c r="D15" s="572"/>
      <c r="E15" s="572"/>
      <c r="F15" s="572"/>
      <c r="G15" s="76"/>
      <c r="H15" s="76"/>
      <c r="I15" s="78" t="s">
        <v>1047</v>
      </c>
      <c r="J15" s="76" t="s">
        <v>1048</v>
      </c>
      <c r="K15" s="76">
        <v>0.1</v>
      </c>
    </row>
    <row r="16" spans="1:12">
      <c r="A16" s="573"/>
      <c r="B16" s="573"/>
      <c r="C16" s="573"/>
      <c r="D16" s="573"/>
      <c r="E16" s="573"/>
      <c r="F16" s="573"/>
      <c r="G16" s="76"/>
      <c r="H16" s="76"/>
      <c r="I16" s="78" t="s">
        <v>1049</v>
      </c>
      <c r="J16" s="76" t="s">
        <v>1050</v>
      </c>
      <c r="K16" s="76">
        <v>0.1</v>
      </c>
    </row>
    <row r="17" spans="1:11">
      <c r="A17" s="74">
        <v>7</v>
      </c>
      <c r="B17" s="73" t="s">
        <v>1051</v>
      </c>
      <c r="C17" s="74" t="s">
        <v>1052</v>
      </c>
      <c r="D17" s="74" t="s">
        <v>1053</v>
      </c>
      <c r="E17" s="74" t="s">
        <v>651</v>
      </c>
      <c r="F17" s="74">
        <v>100</v>
      </c>
      <c r="G17" s="73"/>
      <c r="H17" s="74"/>
      <c r="I17" s="74"/>
      <c r="J17" s="74"/>
      <c r="K17" s="74"/>
    </row>
    <row r="18" spans="1:11">
      <c r="J18" s="67"/>
    </row>
  </sheetData>
  <autoFilter ref="A6:D9"/>
  <mergeCells count="11">
    <mergeCell ref="F13:F16"/>
    <mergeCell ref="A6:A7"/>
    <mergeCell ref="B6:B7"/>
    <mergeCell ref="C6:C7"/>
    <mergeCell ref="D6:D7"/>
    <mergeCell ref="E6:K6"/>
    <mergeCell ref="A13:A16"/>
    <mergeCell ref="B13:B16"/>
    <mergeCell ref="C13:C16"/>
    <mergeCell ref="D13:D16"/>
    <mergeCell ref="E13:E1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2:M149"/>
  <sheetViews>
    <sheetView zoomScale="90" zoomScaleNormal="90" workbookViewId="0">
      <selection activeCell="A2" sqref="A2"/>
    </sheetView>
  </sheetViews>
  <sheetFormatPr baseColWidth="10" defaultRowHeight="13.8"/>
  <cols>
    <col min="2" max="2" width="53.296875" customWidth="1"/>
    <col min="3" max="3" width="15.3984375" customWidth="1"/>
    <col min="4" max="4" width="55.69921875" bestFit="1" customWidth="1"/>
    <col min="7" max="7" width="9.296875" bestFit="1" customWidth="1"/>
    <col min="8" max="8" width="20.69921875" bestFit="1" customWidth="1"/>
    <col min="9" max="9" width="22.296875" bestFit="1" customWidth="1"/>
    <col min="11" max="11" width="33.296875" bestFit="1" customWidth="1"/>
    <col min="13" max="13" width="21.59765625" customWidth="1"/>
  </cols>
  <sheetData>
    <row r="2" spans="1:13" ht="18.600000000000001">
      <c r="A2" s="65" t="s">
        <v>2211</v>
      </c>
      <c r="K2" s="66" t="s">
        <v>606</v>
      </c>
      <c r="L2" s="66">
        <v>72</v>
      </c>
    </row>
    <row r="3" spans="1:13">
      <c r="K3" s="66" t="s">
        <v>607</v>
      </c>
      <c r="L3" s="66">
        <f>L2-L4</f>
        <v>33</v>
      </c>
    </row>
    <row r="4" spans="1:13">
      <c r="K4" s="68" t="s">
        <v>608</v>
      </c>
      <c r="L4" s="68">
        <v>39</v>
      </c>
    </row>
    <row r="6" spans="1:13" ht="14.4" thickBot="1">
      <c r="A6" s="545" t="s">
        <v>609</v>
      </c>
      <c r="B6" s="545" t="s">
        <v>610</v>
      </c>
      <c r="C6" s="545" t="s">
        <v>611</v>
      </c>
      <c r="D6" s="545" t="s">
        <v>936</v>
      </c>
      <c r="E6" s="545" t="s">
        <v>590</v>
      </c>
      <c r="F6" s="545" t="s">
        <v>580</v>
      </c>
      <c r="G6" s="545" t="s">
        <v>581</v>
      </c>
      <c r="H6" s="545" t="s">
        <v>582</v>
      </c>
      <c r="I6" s="545" t="s">
        <v>583</v>
      </c>
      <c r="J6" s="545" t="s">
        <v>584</v>
      </c>
      <c r="K6" s="545" t="s">
        <v>591</v>
      </c>
      <c r="L6" s="545" t="s">
        <v>586</v>
      </c>
      <c r="M6" s="545" t="s">
        <v>587</v>
      </c>
    </row>
    <row r="7" spans="1:13" ht="14.4" thickBot="1">
      <c r="A7" s="546"/>
      <c r="B7" s="546"/>
      <c r="C7" s="546"/>
      <c r="D7" s="546"/>
      <c r="E7" s="545"/>
      <c r="F7" s="545"/>
      <c r="G7" s="545"/>
      <c r="H7" s="545"/>
      <c r="I7" s="545"/>
      <c r="J7" s="545"/>
      <c r="K7" s="545"/>
      <c r="L7" s="545"/>
      <c r="M7" s="545"/>
    </row>
    <row r="8" spans="1:13" s="75" customFormat="1" ht="14.4">
      <c r="A8" s="281">
        <v>1</v>
      </c>
      <c r="B8" s="282" t="s">
        <v>97</v>
      </c>
      <c r="C8" s="281" t="s">
        <v>618</v>
      </c>
      <c r="D8" s="281" t="s">
        <v>619</v>
      </c>
      <c r="E8" s="281"/>
      <c r="F8" s="281"/>
      <c r="G8" s="281"/>
      <c r="H8" s="281"/>
      <c r="I8" s="281"/>
      <c r="J8" s="282"/>
      <c r="K8" s="281"/>
      <c r="L8" s="281"/>
      <c r="M8" s="281"/>
    </row>
    <row r="9" spans="1:13" s="75" customFormat="1" ht="14.4">
      <c r="A9" s="283">
        <v>2</v>
      </c>
      <c r="B9" s="284" t="s">
        <v>624</v>
      </c>
      <c r="C9" s="283" t="s">
        <v>625</v>
      </c>
      <c r="D9" s="283" t="s">
        <v>619</v>
      </c>
      <c r="E9" s="283"/>
      <c r="F9" s="283"/>
      <c r="G9" s="283"/>
      <c r="H9" s="283"/>
      <c r="I9" s="283"/>
      <c r="J9" s="284"/>
      <c r="K9" s="283"/>
      <c r="L9" s="283"/>
      <c r="M9" s="283"/>
    </row>
    <row r="10" spans="1:13" ht="14.4">
      <c r="A10" s="285">
        <v>3</v>
      </c>
      <c r="B10" s="286" t="s">
        <v>629</v>
      </c>
      <c r="C10" s="285" t="s">
        <v>630</v>
      </c>
      <c r="D10" s="285" t="s">
        <v>619</v>
      </c>
      <c r="E10" s="281"/>
      <c r="F10" s="281"/>
      <c r="G10" s="281"/>
      <c r="H10" s="281"/>
      <c r="I10" s="281"/>
      <c r="J10" s="282"/>
      <c r="K10" s="281"/>
      <c r="L10" s="281"/>
      <c r="M10" s="281"/>
    </row>
    <row r="11" spans="1:13" ht="14.4">
      <c r="A11" s="283">
        <v>4</v>
      </c>
      <c r="B11" s="284" t="s">
        <v>634</v>
      </c>
      <c r="C11" s="283" t="s">
        <v>630</v>
      </c>
      <c r="D11" s="283" t="s">
        <v>619</v>
      </c>
      <c r="E11" s="283"/>
      <c r="F11" s="283"/>
      <c r="G11" s="283"/>
      <c r="H11" s="283"/>
      <c r="I11" s="283"/>
      <c r="J11" s="284"/>
      <c r="K11" s="283"/>
      <c r="L11" s="283"/>
      <c r="M11" s="283"/>
    </row>
    <row r="12" spans="1:13" ht="14.4">
      <c r="A12" s="285">
        <v>5</v>
      </c>
      <c r="B12" s="286" t="s">
        <v>643</v>
      </c>
      <c r="C12" s="285" t="s">
        <v>644</v>
      </c>
      <c r="D12" s="286" t="s">
        <v>937</v>
      </c>
      <c r="E12" s="281" t="s">
        <v>651</v>
      </c>
      <c r="F12" s="281">
        <v>4900</v>
      </c>
      <c r="G12" s="281">
        <v>49</v>
      </c>
      <c r="H12" s="281"/>
      <c r="I12" s="281"/>
      <c r="J12" s="282"/>
      <c r="K12" s="281" t="s">
        <v>938</v>
      </c>
      <c r="L12" s="281"/>
      <c r="M12" s="281"/>
    </row>
    <row r="13" spans="1:13" ht="14.4">
      <c r="A13" s="283">
        <v>6</v>
      </c>
      <c r="B13" s="284" t="s">
        <v>648</v>
      </c>
      <c r="C13" s="283" t="s">
        <v>649</v>
      </c>
      <c r="D13" s="283" t="s">
        <v>619</v>
      </c>
      <c r="E13" s="283"/>
      <c r="F13" s="283"/>
      <c r="G13" s="283"/>
      <c r="H13" s="283"/>
      <c r="I13" s="283"/>
      <c r="J13" s="284"/>
      <c r="K13" s="283"/>
      <c r="L13" s="283"/>
      <c r="M13" s="283"/>
    </row>
    <row r="14" spans="1:13" ht="14.4">
      <c r="A14" s="285">
        <v>7</v>
      </c>
      <c r="B14" s="286" t="s">
        <v>654</v>
      </c>
      <c r="C14" s="285" t="s">
        <v>655</v>
      </c>
      <c r="D14" s="285" t="s">
        <v>619</v>
      </c>
      <c r="E14" s="281"/>
      <c r="F14" s="281"/>
      <c r="G14" s="281"/>
      <c r="H14" s="281"/>
      <c r="I14" s="281"/>
      <c r="J14" s="282"/>
      <c r="K14" s="281"/>
      <c r="L14" s="281"/>
      <c r="M14" s="281"/>
    </row>
    <row r="15" spans="1:13" ht="14.4">
      <c r="A15" s="283">
        <v>8</v>
      </c>
      <c r="B15" s="284" t="s">
        <v>656</v>
      </c>
      <c r="C15" s="283" t="s">
        <v>657</v>
      </c>
      <c r="D15" s="283" t="s">
        <v>619</v>
      </c>
      <c r="E15" s="283"/>
      <c r="F15" s="283"/>
      <c r="G15" s="283"/>
      <c r="H15" s="283"/>
      <c r="I15" s="283"/>
      <c r="J15" s="284"/>
      <c r="K15" s="283"/>
      <c r="L15" s="283"/>
      <c r="M15" s="283"/>
    </row>
    <row r="16" spans="1:13" ht="14.4">
      <c r="A16" s="285">
        <v>9</v>
      </c>
      <c r="B16" s="286" t="s">
        <v>662</v>
      </c>
      <c r="C16" s="285" t="s">
        <v>663</v>
      </c>
      <c r="D16" s="285" t="s">
        <v>619</v>
      </c>
      <c r="E16" s="281"/>
      <c r="F16" s="281"/>
      <c r="G16" s="281"/>
      <c r="H16" s="281"/>
      <c r="I16" s="281"/>
      <c r="J16" s="282"/>
      <c r="K16" s="281"/>
      <c r="L16" s="281"/>
      <c r="M16" s="281"/>
    </row>
    <row r="17" spans="1:13" s="75" customFormat="1" ht="28.8">
      <c r="A17" s="597">
        <v>10</v>
      </c>
      <c r="B17" s="599" t="s">
        <v>666</v>
      </c>
      <c r="C17" s="597" t="s">
        <v>667</v>
      </c>
      <c r="D17" s="299" t="s">
        <v>939</v>
      </c>
      <c r="E17" s="283"/>
      <c r="F17" s="283">
        <v>2500</v>
      </c>
      <c r="G17" s="288">
        <v>0.95</v>
      </c>
      <c r="H17" s="288">
        <v>0.95</v>
      </c>
      <c r="I17" s="288">
        <v>0.95</v>
      </c>
      <c r="J17" s="284"/>
      <c r="K17" s="283" t="s">
        <v>940</v>
      </c>
      <c r="L17" s="287"/>
      <c r="M17" s="287" t="s">
        <v>941</v>
      </c>
    </row>
    <row r="18" spans="1:13" s="75" customFormat="1" ht="28.8">
      <c r="A18" s="598"/>
      <c r="B18" s="600"/>
      <c r="C18" s="598"/>
      <c r="D18" s="299" t="s">
        <v>942</v>
      </c>
      <c r="E18" s="283"/>
      <c r="F18" s="283">
        <v>135</v>
      </c>
      <c r="G18" s="288">
        <v>0.05</v>
      </c>
      <c r="H18" s="288">
        <v>0.05</v>
      </c>
      <c r="I18" s="288">
        <v>0.05</v>
      </c>
      <c r="J18" s="284"/>
      <c r="K18" s="283">
        <v>2023</v>
      </c>
      <c r="L18" s="287"/>
      <c r="M18" s="287" t="s">
        <v>943</v>
      </c>
    </row>
    <row r="19" spans="1:13" ht="14.4">
      <c r="A19" s="593">
        <v>11</v>
      </c>
      <c r="B19" s="595" t="s">
        <v>670</v>
      </c>
      <c r="C19" s="593" t="s">
        <v>671</v>
      </c>
      <c r="D19" s="286" t="s">
        <v>646</v>
      </c>
      <c r="E19" s="281" t="s">
        <v>944</v>
      </c>
      <c r="F19" s="281"/>
      <c r="G19" s="289">
        <v>0.3</v>
      </c>
      <c r="H19" s="289">
        <v>0.3</v>
      </c>
      <c r="I19" s="281"/>
      <c r="J19" s="282"/>
      <c r="K19" s="281"/>
      <c r="L19" s="281"/>
      <c r="M19" s="281"/>
    </row>
    <row r="20" spans="1:13" ht="14.4">
      <c r="A20" s="594"/>
      <c r="B20" s="596"/>
      <c r="C20" s="594"/>
      <c r="D20" s="286" t="s">
        <v>945</v>
      </c>
      <c r="E20" s="281" t="s">
        <v>944</v>
      </c>
      <c r="F20" s="281"/>
      <c r="G20" s="289">
        <v>0.05</v>
      </c>
      <c r="H20" s="289">
        <v>0.05</v>
      </c>
      <c r="I20" s="281"/>
      <c r="J20" s="282"/>
      <c r="K20" s="281"/>
      <c r="L20" s="281"/>
      <c r="M20" s="281"/>
    </row>
    <row r="21" spans="1:13" ht="14.4">
      <c r="A21" s="283">
        <v>12</v>
      </c>
      <c r="B21" s="284" t="s">
        <v>674</v>
      </c>
      <c r="C21" s="283" t="s">
        <v>675</v>
      </c>
      <c r="D21" s="283" t="s">
        <v>619</v>
      </c>
      <c r="E21" s="283"/>
      <c r="F21" s="284"/>
      <c r="G21" s="283"/>
      <c r="H21" s="283"/>
      <c r="I21" s="283"/>
      <c r="J21" s="284"/>
      <c r="K21" s="283"/>
      <c r="L21" s="283"/>
      <c r="M21" s="283"/>
    </row>
    <row r="22" spans="1:13" ht="14.4">
      <c r="A22" s="285">
        <v>13</v>
      </c>
      <c r="B22" s="286" t="s">
        <v>682</v>
      </c>
      <c r="C22" s="285" t="s">
        <v>683</v>
      </c>
      <c r="D22" s="285" t="s">
        <v>619</v>
      </c>
      <c r="E22" s="281"/>
      <c r="F22" s="282"/>
      <c r="G22" s="281"/>
      <c r="H22" s="281"/>
      <c r="I22" s="281"/>
      <c r="J22" s="282"/>
      <c r="K22" s="281"/>
      <c r="L22" s="281"/>
      <c r="M22" s="281"/>
    </row>
    <row r="23" spans="1:13" ht="14.4">
      <c r="A23" s="597">
        <v>14</v>
      </c>
      <c r="B23" s="599" t="s">
        <v>96</v>
      </c>
      <c r="C23" s="597" t="s">
        <v>688</v>
      </c>
      <c r="D23" s="284" t="s">
        <v>946</v>
      </c>
      <c r="E23" s="284" t="s">
        <v>651</v>
      </c>
      <c r="F23" s="283">
        <v>450</v>
      </c>
      <c r="G23" s="288">
        <v>0.45</v>
      </c>
      <c r="H23" s="288">
        <v>0.45</v>
      </c>
      <c r="I23" s="284" t="s">
        <v>947</v>
      </c>
      <c r="J23" s="283"/>
      <c r="K23" s="283">
        <v>2016</v>
      </c>
      <c r="L23" s="283"/>
      <c r="M23" s="283"/>
    </row>
    <row r="24" spans="1:13" ht="14.4">
      <c r="A24" s="598"/>
      <c r="B24" s="600"/>
      <c r="C24" s="598"/>
      <c r="D24" s="284" t="s">
        <v>948</v>
      </c>
      <c r="E24" s="284" t="s">
        <v>695</v>
      </c>
      <c r="F24" s="283">
        <v>550</v>
      </c>
      <c r="G24" s="288">
        <v>0.55000000000000004</v>
      </c>
      <c r="H24" s="288">
        <v>0.55000000000000004</v>
      </c>
      <c r="I24" s="284" t="s">
        <v>947</v>
      </c>
      <c r="J24" s="283"/>
      <c r="K24" s="283">
        <v>2016</v>
      </c>
      <c r="L24" s="283"/>
      <c r="M24" s="283"/>
    </row>
    <row r="25" spans="1:13" ht="14.4">
      <c r="A25" s="593">
        <v>15</v>
      </c>
      <c r="B25" s="595" t="s">
        <v>691</v>
      </c>
      <c r="C25" s="593" t="s">
        <v>692</v>
      </c>
      <c r="D25" s="286" t="s">
        <v>949</v>
      </c>
      <c r="E25" s="281" t="s">
        <v>950</v>
      </c>
      <c r="F25" s="281">
        <v>180000</v>
      </c>
      <c r="G25" s="281">
        <v>0.69</v>
      </c>
      <c r="H25" s="282"/>
      <c r="I25" s="281"/>
      <c r="J25" s="290"/>
      <c r="K25" s="289" t="s">
        <v>951</v>
      </c>
      <c r="L25" s="290" t="s">
        <v>952</v>
      </c>
      <c r="M25" s="289"/>
    </row>
    <row r="26" spans="1:13" ht="14.4">
      <c r="A26" s="601"/>
      <c r="B26" s="607"/>
      <c r="C26" s="601"/>
      <c r="D26" s="286" t="s">
        <v>953</v>
      </c>
      <c r="E26" s="281" t="s">
        <v>950</v>
      </c>
      <c r="F26" s="281">
        <v>20895</v>
      </c>
      <c r="G26" s="281">
        <v>0.08</v>
      </c>
      <c r="H26" s="282"/>
      <c r="I26" s="281"/>
      <c r="J26" s="290"/>
      <c r="K26" s="289" t="s">
        <v>954</v>
      </c>
      <c r="L26" s="290" t="s">
        <v>955</v>
      </c>
      <c r="M26" s="289"/>
    </row>
    <row r="27" spans="1:13" ht="14.4">
      <c r="A27" s="601"/>
      <c r="B27" s="607"/>
      <c r="C27" s="601"/>
      <c r="D27" s="286" t="s">
        <v>956</v>
      </c>
      <c r="E27" s="281" t="s">
        <v>950</v>
      </c>
      <c r="F27" s="281">
        <v>58800</v>
      </c>
      <c r="G27" s="281">
        <v>0.22500000000000001</v>
      </c>
      <c r="H27" s="282"/>
      <c r="I27" s="281"/>
      <c r="J27" s="290"/>
      <c r="K27" s="289" t="s">
        <v>957</v>
      </c>
      <c r="L27" s="290" t="s">
        <v>958</v>
      </c>
      <c r="M27" s="289"/>
    </row>
    <row r="28" spans="1:13" ht="14.4">
      <c r="A28" s="594"/>
      <c r="B28" s="596"/>
      <c r="C28" s="594"/>
      <c r="D28" s="286" t="s">
        <v>959</v>
      </c>
      <c r="E28" s="281" t="s">
        <v>950</v>
      </c>
      <c r="F28" s="281">
        <v>1305</v>
      </c>
      <c r="G28" s="281">
        <v>5.0000000000000001E-3</v>
      </c>
      <c r="H28" s="282"/>
      <c r="I28" s="281"/>
      <c r="J28" s="290"/>
      <c r="K28" s="289" t="s">
        <v>957</v>
      </c>
      <c r="L28" s="290" t="s">
        <v>960</v>
      </c>
      <c r="M28" s="289"/>
    </row>
    <row r="29" spans="1:13" ht="14.4">
      <c r="A29" s="283">
        <v>16</v>
      </c>
      <c r="B29" s="284" t="s">
        <v>700</v>
      </c>
      <c r="C29" s="283" t="s">
        <v>701</v>
      </c>
      <c r="D29" s="284" t="s">
        <v>705</v>
      </c>
      <c r="E29" s="283" t="s">
        <v>706</v>
      </c>
      <c r="F29" s="284"/>
      <c r="G29" s="283">
        <v>12</v>
      </c>
      <c r="H29" s="288">
        <v>0.01</v>
      </c>
      <c r="I29" s="283"/>
      <c r="J29" s="284"/>
      <c r="K29" s="283"/>
      <c r="L29" s="283"/>
      <c r="M29" s="283"/>
    </row>
    <row r="30" spans="1:13" ht="14.4">
      <c r="A30" s="593">
        <v>17</v>
      </c>
      <c r="B30" s="595" t="s">
        <v>102</v>
      </c>
      <c r="C30" s="593" t="s">
        <v>707</v>
      </c>
      <c r="D30" s="286" t="s">
        <v>626</v>
      </c>
      <c r="E30" s="281" t="s">
        <v>651</v>
      </c>
      <c r="F30" s="281">
        <v>3000</v>
      </c>
      <c r="G30" s="281">
        <v>25</v>
      </c>
      <c r="H30" s="281">
        <v>25</v>
      </c>
      <c r="I30" s="281">
        <v>25</v>
      </c>
      <c r="J30" s="282"/>
      <c r="K30" s="291">
        <v>37196</v>
      </c>
      <c r="L30" s="281"/>
      <c r="M30" s="281"/>
    </row>
    <row r="31" spans="1:13" ht="14.4">
      <c r="A31" s="594"/>
      <c r="B31" s="596"/>
      <c r="C31" s="594"/>
      <c r="D31" s="286" t="s">
        <v>961</v>
      </c>
      <c r="E31" s="281" t="s">
        <v>962</v>
      </c>
      <c r="F31" s="281">
        <v>9000</v>
      </c>
      <c r="G31" s="281">
        <v>75</v>
      </c>
      <c r="H31" s="281">
        <v>75</v>
      </c>
      <c r="I31" s="281">
        <v>75</v>
      </c>
      <c r="J31" s="282"/>
      <c r="K31" s="291">
        <v>40909</v>
      </c>
      <c r="L31" s="281"/>
      <c r="M31" s="281"/>
    </row>
    <row r="32" spans="1:13" ht="14.4">
      <c r="A32" s="283">
        <v>19</v>
      </c>
      <c r="B32" s="284" t="s">
        <v>229</v>
      </c>
      <c r="C32" s="283" t="s">
        <v>710</v>
      </c>
      <c r="D32" s="284" t="s">
        <v>963</v>
      </c>
      <c r="E32" s="283" t="s">
        <v>962</v>
      </c>
      <c r="F32" s="283">
        <v>1000</v>
      </c>
      <c r="G32" s="283">
        <v>2000</v>
      </c>
      <c r="H32" s="283">
        <v>100</v>
      </c>
      <c r="I32" s="283">
        <v>0</v>
      </c>
      <c r="J32" s="284"/>
      <c r="K32" s="283"/>
      <c r="L32" s="283"/>
      <c r="M32" s="283"/>
    </row>
    <row r="33" spans="1:13" ht="14.4">
      <c r="A33" s="285">
        <v>20</v>
      </c>
      <c r="B33" s="286" t="s">
        <v>713</v>
      </c>
      <c r="C33" s="285" t="s">
        <v>714</v>
      </c>
      <c r="D33" s="286" t="s">
        <v>964</v>
      </c>
      <c r="E33" s="281" t="s">
        <v>962</v>
      </c>
      <c r="F33" s="281">
        <v>100</v>
      </c>
      <c r="G33" s="289">
        <v>1</v>
      </c>
      <c r="H33" s="289">
        <v>1</v>
      </c>
      <c r="I33" s="281"/>
      <c r="J33" s="282"/>
      <c r="K33" s="281"/>
      <c r="L33" s="281"/>
      <c r="M33" s="281"/>
    </row>
    <row r="34" spans="1:13" ht="14.4">
      <c r="A34" s="597">
        <v>21</v>
      </c>
      <c r="B34" s="599" t="s">
        <v>717</v>
      </c>
      <c r="C34" s="597" t="s">
        <v>718</v>
      </c>
      <c r="D34" s="284" t="s">
        <v>720</v>
      </c>
      <c r="E34" s="283" t="s">
        <v>695</v>
      </c>
      <c r="F34" s="283">
        <v>72</v>
      </c>
      <c r="G34" s="283">
        <v>0.72</v>
      </c>
      <c r="H34" s="283"/>
      <c r="I34" s="283"/>
      <c r="J34" s="284"/>
      <c r="K34" s="283"/>
      <c r="L34" s="283"/>
      <c r="M34" s="283"/>
    </row>
    <row r="35" spans="1:13" ht="14.4">
      <c r="A35" s="598"/>
      <c r="B35" s="600"/>
      <c r="C35" s="598"/>
      <c r="D35" s="284" t="s">
        <v>646</v>
      </c>
      <c r="E35" s="283" t="s">
        <v>965</v>
      </c>
      <c r="F35" s="283">
        <v>28</v>
      </c>
      <c r="G35" s="283">
        <v>0.28000000000000003</v>
      </c>
      <c r="H35" s="283"/>
      <c r="I35" s="283"/>
      <c r="J35" s="284"/>
      <c r="K35" s="283"/>
      <c r="L35" s="283"/>
      <c r="M35" s="283"/>
    </row>
    <row r="36" spans="1:13" ht="14.4">
      <c r="A36" s="285">
        <v>22</v>
      </c>
      <c r="B36" s="286" t="s">
        <v>721</v>
      </c>
      <c r="C36" s="285" t="s">
        <v>722</v>
      </c>
      <c r="D36" s="285" t="s">
        <v>619</v>
      </c>
      <c r="E36" s="281"/>
      <c r="F36" s="281"/>
      <c r="G36" s="281"/>
      <c r="H36" s="281"/>
      <c r="I36" s="281"/>
      <c r="J36" s="282"/>
      <c r="K36" s="281"/>
      <c r="L36" s="281"/>
      <c r="M36" s="281"/>
    </row>
    <row r="37" spans="1:13" ht="14.4">
      <c r="A37" s="597">
        <v>23</v>
      </c>
      <c r="B37" s="599" t="s">
        <v>161</v>
      </c>
      <c r="C37" s="597" t="s">
        <v>726</v>
      </c>
      <c r="D37" s="284" t="s">
        <v>728</v>
      </c>
      <c r="E37" s="283" t="s">
        <v>695</v>
      </c>
      <c r="F37" s="283">
        <v>280</v>
      </c>
      <c r="G37" s="288">
        <v>0.28000000000000003</v>
      </c>
      <c r="H37" s="283"/>
      <c r="I37" s="283"/>
      <c r="J37" s="284"/>
      <c r="K37" s="283" t="s">
        <v>966</v>
      </c>
      <c r="L37" s="283" t="s">
        <v>952</v>
      </c>
      <c r="M37" s="283"/>
    </row>
    <row r="38" spans="1:13" ht="14.4">
      <c r="A38" s="598"/>
      <c r="B38" s="600"/>
      <c r="C38" s="598"/>
      <c r="D38" s="284" t="s">
        <v>759</v>
      </c>
      <c r="E38" s="283" t="s">
        <v>695</v>
      </c>
      <c r="F38" s="283">
        <v>720</v>
      </c>
      <c r="G38" s="288">
        <v>0.72</v>
      </c>
      <c r="H38" s="283"/>
      <c r="I38" s="283"/>
      <c r="J38" s="284"/>
      <c r="K38" s="283" t="s">
        <v>967</v>
      </c>
      <c r="L38" s="283" t="s">
        <v>958</v>
      </c>
      <c r="M38" s="283"/>
    </row>
    <row r="39" spans="1:13" ht="14.4">
      <c r="A39" s="285">
        <v>24</v>
      </c>
      <c r="B39" s="286" t="s">
        <v>729</v>
      </c>
      <c r="C39" s="285" t="s">
        <v>730</v>
      </c>
      <c r="D39" s="285" t="s">
        <v>619</v>
      </c>
      <c r="E39" s="281"/>
      <c r="F39" s="281"/>
      <c r="G39" s="281"/>
      <c r="H39" s="281"/>
      <c r="I39" s="281"/>
      <c r="J39" s="282"/>
      <c r="K39" s="281"/>
      <c r="L39" s="281"/>
      <c r="M39" s="281"/>
    </row>
    <row r="40" spans="1:13" ht="14.4">
      <c r="A40" s="283">
        <v>25</v>
      </c>
      <c r="B40" s="284" t="s">
        <v>128</v>
      </c>
      <c r="C40" s="283" t="s">
        <v>736</v>
      </c>
      <c r="D40" s="284" t="s">
        <v>968</v>
      </c>
      <c r="E40" s="283" t="s">
        <v>695</v>
      </c>
      <c r="F40" s="283">
        <v>2175</v>
      </c>
      <c r="G40" s="283">
        <v>72.5</v>
      </c>
      <c r="H40" s="283">
        <v>100</v>
      </c>
      <c r="I40" s="283"/>
      <c r="J40" s="284"/>
      <c r="K40" s="292">
        <v>39083</v>
      </c>
      <c r="L40" s="283" t="s">
        <v>969</v>
      </c>
      <c r="M40" s="283"/>
    </row>
    <row r="41" spans="1:13" ht="14.4">
      <c r="A41" s="285">
        <v>26</v>
      </c>
      <c r="B41" s="286" t="s">
        <v>740</v>
      </c>
      <c r="C41" s="285" t="s">
        <v>741</v>
      </c>
      <c r="D41" s="285" t="s">
        <v>619</v>
      </c>
      <c r="E41" s="281"/>
      <c r="F41" s="281"/>
      <c r="G41" s="281"/>
      <c r="H41" s="281"/>
      <c r="I41" s="281"/>
      <c r="J41" s="282"/>
      <c r="K41" s="281"/>
      <c r="L41" s="281"/>
      <c r="M41" s="281"/>
    </row>
    <row r="42" spans="1:13" ht="14.4">
      <c r="A42" s="597">
        <v>27</v>
      </c>
      <c r="B42" s="599" t="s">
        <v>115</v>
      </c>
      <c r="C42" s="597" t="s">
        <v>743</v>
      </c>
      <c r="D42" s="284" t="s">
        <v>970</v>
      </c>
      <c r="E42" s="283" t="s">
        <v>834</v>
      </c>
      <c r="F42" s="283">
        <v>5000</v>
      </c>
      <c r="G42" s="283">
        <v>50</v>
      </c>
      <c r="H42" s="283">
        <v>50</v>
      </c>
      <c r="I42" s="283"/>
      <c r="J42" s="284"/>
      <c r="K42" s="283">
        <v>37237</v>
      </c>
      <c r="L42" s="283" t="s">
        <v>971</v>
      </c>
      <c r="M42" s="283"/>
    </row>
    <row r="43" spans="1:13" ht="14.4">
      <c r="A43" s="598"/>
      <c r="B43" s="600"/>
      <c r="C43" s="598"/>
      <c r="D43" s="284" t="s">
        <v>972</v>
      </c>
      <c r="E43" s="283" t="s">
        <v>834</v>
      </c>
      <c r="F43" s="283">
        <v>5000</v>
      </c>
      <c r="G43" s="283">
        <v>50</v>
      </c>
      <c r="H43" s="283">
        <v>50</v>
      </c>
      <c r="I43" s="283"/>
      <c r="J43" s="284"/>
      <c r="K43" s="283" t="s">
        <v>973</v>
      </c>
      <c r="L43" s="283" t="s">
        <v>974</v>
      </c>
      <c r="M43" s="283"/>
    </row>
    <row r="44" spans="1:13" ht="14.4">
      <c r="A44" s="285">
        <v>28</v>
      </c>
      <c r="B44" s="286" t="s">
        <v>747</v>
      </c>
      <c r="C44" s="285" t="s">
        <v>748</v>
      </c>
      <c r="D44" s="285" t="s">
        <v>619</v>
      </c>
      <c r="E44" s="281"/>
      <c r="F44" s="281"/>
      <c r="G44" s="281"/>
      <c r="H44" s="281"/>
      <c r="I44" s="281"/>
      <c r="J44" s="282"/>
      <c r="K44" s="281"/>
      <c r="L44" s="281"/>
      <c r="M44" s="281"/>
    </row>
    <row r="45" spans="1:13" ht="14.4">
      <c r="A45" s="283">
        <v>29</v>
      </c>
      <c r="B45" s="284" t="s">
        <v>752</v>
      </c>
      <c r="C45" s="283" t="s">
        <v>753</v>
      </c>
      <c r="D45" s="283" t="s">
        <v>619</v>
      </c>
      <c r="E45" s="283"/>
      <c r="F45" s="284"/>
      <c r="G45" s="283"/>
      <c r="H45" s="283"/>
      <c r="I45" s="283"/>
      <c r="J45" s="284"/>
      <c r="K45" s="283"/>
      <c r="L45" s="283"/>
      <c r="M45" s="283"/>
    </row>
    <row r="46" spans="1:13" ht="14.4">
      <c r="A46" s="285">
        <v>31</v>
      </c>
      <c r="B46" s="286" t="s">
        <v>760</v>
      </c>
      <c r="C46" s="285" t="s">
        <v>761</v>
      </c>
      <c r="D46" s="286" t="s">
        <v>970</v>
      </c>
      <c r="E46" s="281" t="s">
        <v>834</v>
      </c>
      <c r="F46" s="282" t="s">
        <v>619</v>
      </c>
      <c r="G46" s="281" t="s">
        <v>619</v>
      </c>
      <c r="H46" s="281"/>
      <c r="I46" s="281"/>
      <c r="J46" s="282"/>
      <c r="K46" s="281"/>
      <c r="L46" s="281"/>
      <c r="M46" s="281"/>
    </row>
    <row r="47" spans="1:13" ht="14.4">
      <c r="A47" s="283">
        <v>32</v>
      </c>
      <c r="B47" s="284" t="s">
        <v>763</v>
      </c>
      <c r="C47" s="283" t="s">
        <v>764</v>
      </c>
      <c r="D47" s="284" t="s">
        <v>975</v>
      </c>
      <c r="E47" s="283" t="s">
        <v>679</v>
      </c>
      <c r="F47" s="284"/>
      <c r="G47" s="288">
        <v>1</v>
      </c>
      <c r="H47" s="288">
        <v>1</v>
      </c>
      <c r="I47" s="288">
        <v>1</v>
      </c>
      <c r="J47" s="284"/>
      <c r="K47" s="283"/>
      <c r="L47" s="283"/>
      <c r="M47" s="283"/>
    </row>
    <row r="48" spans="1:13" ht="14.4">
      <c r="A48" s="285">
        <v>33</v>
      </c>
      <c r="B48" s="286" t="s">
        <v>767</v>
      </c>
      <c r="C48" s="285" t="s">
        <v>768</v>
      </c>
      <c r="D48" s="285" t="s">
        <v>619</v>
      </c>
      <c r="E48" s="281"/>
      <c r="F48" s="282"/>
      <c r="G48" s="281"/>
      <c r="H48" s="281"/>
      <c r="I48" s="281"/>
      <c r="J48" s="282"/>
      <c r="K48" s="281"/>
      <c r="L48" s="281"/>
      <c r="M48" s="281"/>
    </row>
    <row r="49" spans="1:13" ht="14.4">
      <c r="A49" s="283">
        <v>34</v>
      </c>
      <c r="B49" s="284" t="s">
        <v>774</v>
      </c>
      <c r="C49" s="283" t="s">
        <v>775</v>
      </c>
      <c r="D49" s="283" t="s">
        <v>619</v>
      </c>
      <c r="E49" s="283"/>
      <c r="F49" s="284"/>
      <c r="G49" s="283"/>
      <c r="H49" s="283"/>
      <c r="I49" s="283"/>
      <c r="J49" s="284"/>
      <c r="K49" s="283"/>
      <c r="L49" s="283"/>
      <c r="M49" s="283"/>
    </row>
    <row r="50" spans="1:13" ht="14.4">
      <c r="A50" s="285">
        <v>36</v>
      </c>
      <c r="B50" s="286" t="s">
        <v>778</v>
      </c>
      <c r="C50" s="285" t="s">
        <v>779</v>
      </c>
      <c r="D50" s="286" t="s">
        <v>976</v>
      </c>
      <c r="E50" s="281" t="s">
        <v>977</v>
      </c>
      <c r="F50" s="282">
        <v>198</v>
      </c>
      <c r="G50" s="293">
        <v>0.19800000000000001</v>
      </c>
      <c r="H50" s="281"/>
      <c r="I50" s="281"/>
      <c r="J50" s="282" t="s">
        <v>571</v>
      </c>
      <c r="K50" s="291">
        <v>41888</v>
      </c>
      <c r="L50" s="281" t="s">
        <v>978</v>
      </c>
      <c r="M50" s="281"/>
    </row>
    <row r="51" spans="1:13" ht="14.4">
      <c r="A51" s="283">
        <v>37</v>
      </c>
      <c r="B51" s="284" t="s">
        <v>783</v>
      </c>
      <c r="C51" s="283" t="s">
        <v>784</v>
      </c>
      <c r="D51" s="283" t="s">
        <v>619</v>
      </c>
      <c r="E51" s="283"/>
      <c r="F51" s="284"/>
      <c r="G51" s="283"/>
      <c r="H51" s="283"/>
      <c r="I51" s="283"/>
      <c r="J51" s="284"/>
      <c r="K51" s="283"/>
      <c r="L51" s="283"/>
      <c r="M51" s="283"/>
    </row>
    <row r="52" spans="1:13" ht="14.4">
      <c r="A52" s="285">
        <v>38</v>
      </c>
      <c r="B52" s="286" t="s">
        <v>786</v>
      </c>
      <c r="C52" s="285" t="s">
        <v>787</v>
      </c>
      <c r="D52" s="285" t="s">
        <v>619</v>
      </c>
      <c r="E52" s="281"/>
      <c r="F52" s="282"/>
      <c r="G52" s="281"/>
      <c r="H52" s="281"/>
      <c r="I52" s="281"/>
      <c r="J52" s="282"/>
      <c r="K52" s="281"/>
      <c r="L52" s="281"/>
      <c r="M52" s="281"/>
    </row>
    <row r="53" spans="1:13" ht="14.4">
      <c r="A53" s="283">
        <v>39</v>
      </c>
      <c r="B53" s="284" t="s">
        <v>549</v>
      </c>
      <c r="C53" s="283" t="s">
        <v>789</v>
      </c>
      <c r="D53" s="283" t="s">
        <v>619</v>
      </c>
      <c r="E53" s="283"/>
      <c r="F53" s="284"/>
      <c r="G53" s="283"/>
      <c r="H53" s="283"/>
      <c r="I53" s="283"/>
      <c r="J53" s="284"/>
      <c r="K53" s="283"/>
      <c r="L53" s="283"/>
      <c r="M53" s="283"/>
    </row>
    <row r="54" spans="1:13" ht="14.4">
      <c r="A54" s="285">
        <v>41</v>
      </c>
      <c r="B54" s="286" t="s">
        <v>227</v>
      </c>
      <c r="C54" s="285" t="s">
        <v>790</v>
      </c>
      <c r="D54" s="285" t="s">
        <v>619</v>
      </c>
      <c r="E54" s="281"/>
      <c r="F54" s="282"/>
      <c r="G54" s="281"/>
      <c r="H54" s="281"/>
      <c r="I54" s="281"/>
      <c r="J54" s="282"/>
      <c r="K54" s="281"/>
      <c r="L54" s="281"/>
      <c r="M54" s="281"/>
    </row>
    <row r="55" spans="1:13" ht="14.4">
      <c r="A55" s="597">
        <v>42</v>
      </c>
      <c r="B55" s="599" t="s">
        <v>792</v>
      </c>
      <c r="C55" s="597" t="s">
        <v>793</v>
      </c>
      <c r="D55" s="284" t="s">
        <v>979</v>
      </c>
      <c r="E55" s="283" t="s">
        <v>706</v>
      </c>
      <c r="F55" s="284">
        <v>46160</v>
      </c>
      <c r="G55" s="283">
        <v>46.16</v>
      </c>
      <c r="H55" s="283">
        <v>9</v>
      </c>
      <c r="I55" s="283">
        <v>37.159999999999997</v>
      </c>
      <c r="J55" s="284"/>
      <c r="K55" s="294">
        <v>39052</v>
      </c>
      <c r="L55" s="283" t="s">
        <v>980</v>
      </c>
      <c r="M55" s="283"/>
    </row>
    <row r="56" spans="1:13" ht="14.4">
      <c r="A56" s="605"/>
      <c r="B56" s="606"/>
      <c r="C56" s="605"/>
      <c r="D56" s="284" t="s">
        <v>981</v>
      </c>
      <c r="E56" s="283" t="s">
        <v>706</v>
      </c>
      <c r="F56" s="284">
        <v>27340</v>
      </c>
      <c r="G56" s="283">
        <v>27.34</v>
      </c>
      <c r="H56" s="283">
        <v>9</v>
      </c>
      <c r="I56" s="283">
        <v>18.34</v>
      </c>
      <c r="J56" s="284"/>
      <c r="K56" s="294">
        <v>39052</v>
      </c>
      <c r="L56" s="283" t="s">
        <v>982</v>
      </c>
      <c r="M56" s="283"/>
    </row>
    <row r="57" spans="1:13" ht="14.4">
      <c r="A57" s="605"/>
      <c r="B57" s="606"/>
      <c r="C57" s="605"/>
      <c r="D57" s="284" t="s">
        <v>983</v>
      </c>
      <c r="E57" s="283" t="s">
        <v>706</v>
      </c>
      <c r="F57" s="284">
        <v>10000</v>
      </c>
      <c r="G57" s="283">
        <v>10</v>
      </c>
      <c r="H57" s="283">
        <v>2</v>
      </c>
      <c r="I57" s="283">
        <v>8</v>
      </c>
      <c r="J57" s="284"/>
      <c r="K57" s="294">
        <v>39052</v>
      </c>
      <c r="L57" s="283" t="s">
        <v>984</v>
      </c>
      <c r="M57" s="283"/>
    </row>
    <row r="58" spans="1:13" ht="14.4">
      <c r="A58" s="605"/>
      <c r="B58" s="606"/>
      <c r="C58" s="605"/>
      <c r="D58" s="284" t="s">
        <v>985</v>
      </c>
      <c r="E58" s="283" t="s">
        <v>706</v>
      </c>
      <c r="F58" s="284">
        <v>5890</v>
      </c>
      <c r="G58" s="283">
        <v>5.89</v>
      </c>
      <c r="H58" s="283"/>
      <c r="I58" s="283">
        <v>5.89</v>
      </c>
      <c r="J58" s="284"/>
      <c r="K58" s="294">
        <v>39052</v>
      </c>
      <c r="L58" s="283" t="s">
        <v>980</v>
      </c>
      <c r="M58" s="283"/>
    </row>
    <row r="59" spans="1:13" ht="14.4">
      <c r="A59" s="605"/>
      <c r="B59" s="606"/>
      <c r="C59" s="605"/>
      <c r="D59" s="284" t="s">
        <v>986</v>
      </c>
      <c r="E59" s="283" t="s">
        <v>706</v>
      </c>
      <c r="F59" s="284">
        <v>5000</v>
      </c>
      <c r="G59" s="283">
        <v>5</v>
      </c>
      <c r="H59" s="283"/>
      <c r="I59" s="283">
        <v>5</v>
      </c>
      <c r="J59" s="284"/>
      <c r="K59" s="294">
        <v>39052</v>
      </c>
      <c r="L59" s="283" t="s">
        <v>982</v>
      </c>
      <c r="M59" s="283"/>
    </row>
    <row r="60" spans="1:13" ht="14.4">
      <c r="A60" s="605"/>
      <c r="B60" s="606"/>
      <c r="C60" s="605"/>
      <c r="D60" s="284" t="s">
        <v>987</v>
      </c>
      <c r="E60" s="283" t="s">
        <v>706</v>
      </c>
      <c r="F60" s="284">
        <v>3790</v>
      </c>
      <c r="G60" s="283">
        <v>3.79</v>
      </c>
      <c r="H60" s="283"/>
      <c r="I60" s="283">
        <v>3.79</v>
      </c>
      <c r="J60" s="284"/>
      <c r="K60" s="294">
        <v>39052</v>
      </c>
      <c r="L60" s="283" t="s">
        <v>982</v>
      </c>
      <c r="M60" s="283"/>
    </row>
    <row r="61" spans="1:13" ht="14.4">
      <c r="A61" s="598"/>
      <c r="B61" s="600"/>
      <c r="C61" s="598"/>
      <c r="D61" s="284" t="s">
        <v>571</v>
      </c>
      <c r="E61" s="283" t="s">
        <v>706</v>
      </c>
      <c r="F61" s="284">
        <v>1820</v>
      </c>
      <c r="G61" s="283">
        <v>1.82</v>
      </c>
      <c r="H61" s="283"/>
      <c r="I61" s="283">
        <v>1.82</v>
      </c>
      <c r="J61" s="284"/>
      <c r="K61" s="294"/>
      <c r="L61" s="283"/>
      <c r="M61" s="283"/>
    </row>
    <row r="62" spans="1:13" ht="14.4">
      <c r="A62" s="285">
        <v>45</v>
      </c>
      <c r="B62" s="286" t="s">
        <v>801</v>
      </c>
      <c r="C62" s="285" t="s">
        <v>802</v>
      </c>
      <c r="D62" s="285" t="s">
        <v>619</v>
      </c>
      <c r="E62" s="281"/>
      <c r="F62" s="282"/>
      <c r="G62" s="281"/>
      <c r="H62" s="281"/>
      <c r="I62" s="281"/>
      <c r="J62" s="282"/>
      <c r="K62" s="281"/>
      <c r="L62" s="281"/>
      <c r="M62" s="281"/>
    </row>
    <row r="63" spans="1:13" ht="14.4">
      <c r="A63" s="283">
        <v>46</v>
      </c>
      <c r="B63" s="284" t="s">
        <v>176</v>
      </c>
      <c r="C63" s="283" t="s">
        <v>804</v>
      </c>
      <c r="D63" s="283" t="s">
        <v>619</v>
      </c>
      <c r="E63" s="283"/>
      <c r="F63" s="284"/>
      <c r="G63" s="283"/>
      <c r="H63" s="283"/>
      <c r="I63" s="283"/>
      <c r="J63" s="284"/>
      <c r="K63" s="283"/>
      <c r="L63" s="283"/>
      <c r="M63" s="283"/>
    </row>
    <row r="64" spans="1:13" ht="14.4">
      <c r="A64" s="285">
        <v>47</v>
      </c>
      <c r="B64" s="286" t="s">
        <v>806</v>
      </c>
      <c r="C64" s="285" t="s">
        <v>807</v>
      </c>
      <c r="D64" s="286" t="s">
        <v>988</v>
      </c>
      <c r="E64" s="281" t="s">
        <v>989</v>
      </c>
      <c r="F64" s="282">
        <v>840</v>
      </c>
      <c r="G64" s="289">
        <v>0.84</v>
      </c>
      <c r="H64" s="281"/>
      <c r="I64" s="281"/>
      <c r="J64" s="282"/>
      <c r="K64" s="281"/>
      <c r="L64" s="281"/>
      <c r="M64" s="281"/>
    </row>
    <row r="65" spans="1:13" ht="14.4">
      <c r="A65" s="283">
        <v>48</v>
      </c>
      <c r="B65" s="284" t="s">
        <v>812</v>
      </c>
      <c r="C65" s="283" t="s">
        <v>813</v>
      </c>
      <c r="D65" s="284" t="s">
        <v>990</v>
      </c>
      <c r="E65" s="283" t="s">
        <v>679</v>
      </c>
      <c r="F65" s="284">
        <v>500</v>
      </c>
      <c r="G65" s="283">
        <v>50</v>
      </c>
      <c r="H65" s="283"/>
      <c r="I65" s="283"/>
      <c r="J65" s="284"/>
      <c r="K65" s="283"/>
      <c r="L65" s="283"/>
      <c r="M65" s="283"/>
    </row>
    <row r="66" spans="1:13" ht="14.4">
      <c r="A66" s="285">
        <v>51</v>
      </c>
      <c r="B66" s="286" t="s">
        <v>816</v>
      </c>
      <c r="C66" s="285" t="s">
        <v>817</v>
      </c>
      <c r="D66" s="285" t="s">
        <v>619</v>
      </c>
      <c r="E66" s="281"/>
      <c r="F66" s="282"/>
      <c r="G66" s="281"/>
      <c r="H66" s="281"/>
      <c r="I66" s="281"/>
      <c r="J66" s="282"/>
      <c r="K66" s="281"/>
      <c r="L66" s="281"/>
      <c r="M66" s="281"/>
    </row>
    <row r="67" spans="1:13" ht="14.4">
      <c r="A67" s="283">
        <v>52</v>
      </c>
      <c r="B67" s="284" t="s">
        <v>818</v>
      </c>
      <c r="C67" s="283" t="s">
        <v>819</v>
      </c>
      <c r="D67" s="283" t="s">
        <v>619</v>
      </c>
      <c r="E67" s="283"/>
      <c r="F67" s="284"/>
      <c r="G67" s="283"/>
      <c r="H67" s="283"/>
      <c r="I67" s="283"/>
      <c r="J67" s="284"/>
      <c r="K67" s="283"/>
      <c r="L67" s="283"/>
      <c r="M67" s="283"/>
    </row>
    <row r="68" spans="1:13" ht="14.4">
      <c r="A68" s="285">
        <v>53</v>
      </c>
      <c r="B68" s="286" t="s">
        <v>175</v>
      </c>
      <c r="C68" s="285" t="s">
        <v>824</v>
      </c>
      <c r="D68" s="285" t="s">
        <v>619</v>
      </c>
      <c r="E68" s="281"/>
      <c r="F68" s="282"/>
      <c r="G68" s="281"/>
      <c r="H68" s="281"/>
      <c r="I68" s="281"/>
      <c r="J68" s="282"/>
      <c r="K68" s="281"/>
      <c r="L68" s="281"/>
      <c r="M68" s="281"/>
    </row>
    <row r="69" spans="1:13" ht="14.4">
      <c r="A69" s="283">
        <v>54</v>
      </c>
      <c r="B69" s="284" t="s">
        <v>564</v>
      </c>
      <c r="C69" s="283" t="s">
        <v>562</v>
      </c>
      <c r="D69" s="283" t="s">
        <v>619</v>
      </c>
      <c r="E69" s="283"/>
      <c r="F69" s="284"/>
      <c r="G69" s="283"/>
      <c r="H69" s="283"/>
      <c r="I69" s="283"/>
      <c r="J69" s="284"/>
      <c r="K69" s="283"/>
      <c r="L69" s="283"/>
      <c r="M69" s="283"/>
    </row>
    <row r="70" spans="1:13" ht="14.4">
      <c r="A70" s="285">
        <v>55</v>
      </c>
      <c r="B70" s="286" t="s">
        <v>827</v>
      </c>
      <c r="C70" s="285" t="s">
        <v>828</v>
      </c>
      <c r="D70" s="286" t="s">
        <v>830</v>
      </c>
      <c r="E70" s="281" t="s">
        <v>679</v>
      </c>
      <c r="F70" s="282">
        <v>90</v>
      </c>
      <c r="G70" s="281">
        <v>90</v>
      </c>
      <c r="H70" s="281"/>
      <c r="I70" s="281"/>
      <c r="J70" s="282"/>
      <c r="K70" s="281"/>
      <c r="L70" s="281"/>
      <c r="M70" s="281"/>
    </row>
    <row r="71" spans="1:13" ht="14.4">
      <c r="A71" s="597">
        <v>56</v>
      </c>
      <c r="B71" s="599" t="s">
        <v>177</v>
      </c>
      <c r="C71" s="597" t="s">
        <v>832</v>
      </c>
      <c r="D71" s="284" t="s">
        <v>991</v>
      </c>
      <c r="E71" s="283" t="s">
        <v>834</v>
      </c>
      <c r="F71" s="284">
        <v>800</v>
      </c>
      <c r="G71" s="283">
        <v>40</v>
      </c>
      <c r="H71" s="283">
        <v>40</v>
      </c>
      <c r="I71" s="283">
        <v>40</v>
      </c>
      <c r="J71" s="284"/>
      <c r="K71" s="283">
        <v>2008</v>
      </c>
      <c r="L71" s="283"/>
      <c r="M71" s="283"/>
    </row>
    <row r="72" spans="1:13" ht="14.4">
      <c r="A72" s="605"/>
      <c r="B72" s="606"/>
      <c r="C72" s="605"/>
      <c r="D72" s="284" t="s">
        <v>992</v>
      </c>
      <c r="E72" s="283" t="s">
        <v>834</v>
      </c>
      <c r="F72" s="284">
        <v>800</v>
      </c>
      <c r="G72" s="283">
        <v>40</v>
      </c>
      <c r="H72" s="283">
        <v>40</v>
      </c>
      <c r="I72" s="283">
        <v>40</v>
      </c>
      <c r="J72" s="284"/>
      <c r="K72" s="283">
        <v>2008</v>
      </c>
      <c r="L72" s="283"/>
      <c r="M72" s="283"/>
    </row>
    <row r="73" spans="1:13" ht="14.4">
      <c r="A73" s="598"/>
      <c r="B73" s="600"/>
      <c r="C73" s="598"/>
      <c r="D73" s="284" t="s">
        <v>993</v>
      </c>
      <c r="E73" s="283" t="s">
        <v>836</v>
      </c>
      <c r="F73" s="284">
        <v>400</v>
      </c>
      <c r="G73" s="283">
        <v>20</v>
      </c>
      <c r="H73" s="283">
        <v>20</v>
      </c>
      <c r="I73" s="283">
        <v>20</v>
      </c>
      <c r="J73" s="284"/>
      <c r="K73" s="283">
        <v>2008</v>
      </c>
      <c r="L73" s="283"/>
      <c r="M73" s="283"/>
    </row>
    <row r="74" spans="1:13" ht="14.4">
      <c r="A74" s="285">
        <v>57</v>
      </c>
      <c r="B74" s="286" t="s">
        <v>182</v>
      </c>
      <c r="C74" s="285" t="s">
        <v>837</v>
      </c>
      <c r="D74" s="286" t="s">
        <v>994</v>
      </c>
      <c r="E74" s="281" t="s">
        <v>651</v>
      </c>
      <c r="F74" s="282">
        <v>3200</v>
      </c>
      <c r="G74" s="281">
        <v>32</v>
      </c>
      <c r="H74" s="281"/>
      <c r="I74" s="281"/>
      <c r="J74" s="282"/>
      <c r="K74" s="281"/>
      <c r="L74" s="281"/>
      <c r="M74" s="281"/>
    </row>
    <row r="75" spans="1:13" ht="14.4">
      <c r="A75" s="283">
        <v>58</v>
      </c>
      <c r="B75" s="284" t="s">
        <v>173</v>
      </c>
      <c r="C75" s="283" t="s">
        <v>840</v>
      </c>
      <c r="D75" s="284" t="s">
        <v>841</v>
      </c>
      <c r="E75" s="283" t="s">
        <v>695</v>
      </c>
      <c r="F75" s="284">
        <v>1</v>
      </c>
      <c r="G75" s="283">
        <v>100</v>
      </c>
      <c r="H75" s="283">
        <v>100</v>
      </c>
      <c r="I75" s="283"/>
      <c r="J75" s="284"/>
      <c r="K75" s="283"/>
      <c r="L75" s="283"/>
      <c r="M75" s="283"/>
    </row>
    <row r="76" spans="1:13" ht="14.4">
      <c r="A76" s="285">
        <v>60</v>
      </c>
      <c r="B76" s="286" t="s">
        <v>842</v>
      </c>
      <c r="C76" s="285" t="s">
        <v>843</v>
      </c>
      <c r="D76" s="285" t="s">
        <v>619</v>
      </c>
      <c r="E76" s="281"/>
      <c r="F76" s="282"/>
      <c r="G76" s="281"/>
      <c r="H76" s="281"/>
      <c r="I76" s="281"/>
      <c r="J76" s="282"/>
      <c r="K76" s="281"/>
      <c r="L76" s="281"/>
      <c r="M76" s="281"/>
    </row>
    <row r="77" spans="1:13" ht="14.4">
      <c r="A77" s="283">
        <v>61</v>
      </c>
      <c r="B77" s="284" t="s">
        <v>459</v>
      </c>
      <c r="C77" s="283" t="s">
        <v>847</v>
      </c>
      <c r="D77" s="284" t="s">
        <v>849</v>
      </c>
      <c r="E77" s="283" t="s">
        <v>977</v>
      </c>
      <c r="F77" s="284"/>
      <c r="G77" s="283"/>
      <c r="H77" s="283"/>
      <c r="I77" s="283"/>
      <c r="J77" s="284"/>
      <c r="K77" s="283"/>
      <c r="L77" s="283"/>
      <c r="M77" s="283"/>
    </row>
    <row r="78" spans="1:13" ht="14.4">
      <c r="A78" s="285">
        <v>63</v>
      </c>
      <c r="B78" s="286" t="s">
        <v>851</v>
      </c>
      <c r="C78" s="285" t="s">
        <v>852</v>
      </c>
      <c r="D78" s="285" t="s">
        <v>619</v>
      </c>
      <c r="E78" s="281"/>
      <c r="F78" s="282"/>
      <c r="G78" s="281"/>
      <c r="H78" s="281"/>
      <c r="I78" s="281"/>
      <c r="J78" s="282"/>
      <c r="K78" s="281"/>
      <c r="L78" s="281"/>
      <c r="M78" s="281"/>
    </row>
    <row r="79" spans="1:13" ht="14.4">
      <c r="A79" s="597">
        <v>66</v>
      </c>
      <c r="B79" s="599" t="s">
        <v>28</v>
      </c>
      <c r="C79" s="597" t="s">
        <v>853</v>
      </c>
      <c r="D79" s="284" t="s">
        <v>979</v>
      </c>
      <c r="E79" s="283" t="s">
        <v>706</v>
      </c>
      <c r="F79" s="284">
        <v>31720</v>
      </c>
      <c r="G79" s="283">
        <v>31.72</v>
      </c>
      <c r="H79" s="283">
        <v>9</v>
      </c>
      <c r="I79" s="283">
        <v>22.72</v>
      </c>
      <c r="J79" s="284"/>
      <c r="K79" s="294">
        <v>39052</v>
      </c>
      <c r="L79" s="283" t="s">
        <v>980</v>
      </c>
      <c r="M79" s="283"/>
    </row>
    <row r="80" spans="1:13" ht="14.4">
      <c r="A80" s="605"/>
      <c r="B80" s="606"/>
      <c r="C80" s="605"/>
      <c r="D80" s="284" t="s">
        <v>981</v>
      </c>
      <c r="E80" s="283" t="s">
        <v>706</v>
      </c>
      <c r="F80" s="284">
        <v>27300</v>
      </c>
      <c r="G80" s="283">
        <v>27.3</v>
      </c>
      <c r="H80" s="283">
        <v>9</v>
      </c>
      <c r="I80" s="283">
        <v>18.3</v>
      </c>
      <c r="J80" s="284"/>
      <c r="K80" s="294">
        <v>39052</v>
      </c>
      <c r="L80" s="283" t="s">
        <v>982</v>
      </c>
      <c r="M80" s="283"/>
    </row>
    <row r="81" spans="1:13" ht="14.4">
      <c r="A81" s="605"/>
      <c r="B81" s="606"/>
      <c r="C81" s="605"/>
      <c r="D81" s="284" t="s">
        <v>995</v>
      </c>
      <c r="E81" s="283" t="s">
        <v>706</v>
      </c>
      <c r="F81" s="284">
        <v>11080</v>
      </c>
      <c r="G81" s="283">
        <v>11.08</v>
      </c>
      <c r="H81" s="283"/>
      <c r="I81" s="283">
        <v>11.08</v>
      </c>
      <c r="J81" s="284"/>
      <c r="K81" s="294">
        <v>39052</v>
      </c>
      <c r="L81" s="283" t="s">
        <v>996</v>
      </c>
      <c r="M81" s="283"/>
    </row>
    <row r="82" spans="1:13" ht="14.4">
      <c r="A82" s="605"/>
      <c r="B82" s="606"/>
      <c r="C82" s="605"/>
      <c r="D82" s="284" t="s">
        <v>983</v>
      </c>
      <c r="E82" s="283" t="s">
        <v>706</v>
      </c>
      <c r="F82" s="284">
        <v>10000</v>
      </c>
      <c r="G82" s="283">
        <v>10</v>
      </c>
      <c r="H82" s="283">
        <v>2</v>
      </c>
      <c r="I82" s="283">
        <v>8</v>
      </c>
      <c r="J82" s="284"/>
      <c r="K82" s="294">
        <v>39052</v>
      </c>
      <c r="L82" s="283" t="s">
        <v>984</v>
      </c>
      <c r="M82" s="283"/>
    </row>
    <row r="83" spans="1:13" ht="14.4">
      <c r="A83" s="605"/>
      <c r="B83" s="606"/>
      <c r="C83" s="605"/>
      <c r="D83" s="284" t="s">
        <v>985</v>
      </c>
      <c r="E83" s="283" t="s">
        <v>706</v>
      </c>
      <c r="F83" s="284">
        <v>5630</v>
      </c>
      <c r="G83" s="283">
        <v>5.63</v>
      </c>
      <c r="H83" s="283"/>
      <c r="I83" s="283">
        <v>5.63</v>
      </c>
      <c r="J83" s="284"/>
      <c r="K83" s="294">
        <v>39052</v>
      </c>
      <c r="L83" s="283" t="s">
        <v>980</v>
      </c>
      <c r="M83" s="283"/>
    </row>
    <row r="84" spans="1:13" ht="14.4">
      <c r="A84" s="605"/>
      <c r="B84" s="606"/>
      <c r="C84" s="605"/>
      <c r="D84" s="284" t="s">
        <v>986</v>
      </c>
      <c r="E84" s="283" t="s">
        <v>706</v>
      </c>
      <c r="F84" s="284">
        <v>4809.9999999999991</v>
      </c>
      <c r="G84" s="283">
        <v>4.8099999999999996</v>
      </c>
      <c r="H84" s="283"/>
      <c r="I84" s="283">
        <v>4.8099999999999996</v>
      </c>
      <c r="J84" s="284"/>
      <c r="K84" s="294">
        <v>39052</v>
      </c>
      <c r="L84" s="283" t="s">
        <v>982</v>
      </c>
      <c r="M84" s="283"/>
    </row>
    <row r="85" spans="1:13" ht="14.4">
      <c r="A85" s="605"/>
      <c r="B85" s="606"/>
      <c r="C85" s="605"/>
      <c r="D85" s="284" t="s">
        <v>987</v>
      </c>
      <c r="E85" s="283" t="s">
        <v>706</v>
      </c>
      <c r="F85" s="284">
        <v>3670</v>
      </c>
      <c r="G85" s="283">
        <v>3.67</v>
      </c>
      <c r="H85" s="283"/>
      <c r="I85" s="283">
        <v>3.67</v>
      </c>
      <c r="J85" s="284"/>
      <c r="K85" s="294">
        <v>39052</v>
      </c>
      <c r="L85" s="283" t="s">
        <v>982</v>
      </c>
      <c r="M85" s="283"/>
    </row>
    <row r="86" spans="1:13" ht="14.4">
      <c r="A86" s="605"/>
      <c r="B86" s="606"/>
      <c r="C86" s="605"/>
      <c r="D86" s="284" t="s">
        <v>997</v>
      </c>
      <c r="E86" s="283" t="s">
        <v>706</v>
      </c>
      <c r="F86" s="284">
        <v>3080</v>
      </c>
      <c r="G86" s="283">
        <v>3.08</v>
      </c>
      <c r="H86" s="283"/>
      <c r="I86" s="283">
        <v>3.08</v>
      </c>
      <c r="J86" s="284"/>
      <c r="K86" s="294">
        <v>39052</v>
      </c>
      <c r="L86" s="283" t="s">
        <v>996</v>
      </c>
      <c r="M86" s="283"/>
    </row>
    <row r="87" spans="1:13" ht="14.4">
      <c r="A87" s="598"/>
      <c r="B87" s="600"/>
      <c r="C87" s="598"/>
      <c r="D87" s="284" t="s">
        <v>571</v>
      </c>
      <c r="E87" s="283" t="s">
        <v>706</v>
      </c>
      <c r="F87" s="284">
        <v>2710</v>
      </c>
      <c r="G87" s="283">
        <v>2.71</v>
      </c>
      <c r="H87" s="283"/>
      <c r="I87" s="283">
        <v>2.71</v>
      </c>
      <c r="J87" s="284"/>
      <c r="K87" s="294"/>
      <c r="L87" s="283"/>
      <c r="M87" s="283"/>
    </row>
    <row r="88" spans="1:13" ht="14.4">
      <c r="A88" s="285">
        <v>68</v>
      </c>
      <c r="B88" s="286" t="s">
        <v>858</v>
      </c>
      <c r="C88" s="285" t="s">
        <v>859</v>
      </c>
      <c r="D88" s="285" t="s">
        <v>619</v>
      </c>
      <c r="E88" s="281"/>
      <c r="F88" s="282"/>
      <c r="G88" s="281"/>
      <c r="H88" s="281"/>
      <c r="I88" s="281"/>
      <c r="J88" s="282"/>
      <c r="K88" s="281"/>
      <c r="L88" s="281"/>
      <c r="M88" s="281"/>
    </row>
    <row r="89" spans="1:13" ht="14.4">
      <c r="A89" s="597">
        <v>70</v>
      </c>
      <c r="B89" s="599" t="s">
        <v>860</v>
      </c>
      <c r="C89" s="597" t="s">
        <v>861</v>
      </c>
      <c r="D89" s="284" t="s">
        <v>998</v>
      </c>
      <c r="E89" s="283"/>
      <c r="F89" s="284">
        <v>35</v>
      </c>
      <c r="G89" s="283">
        <v>35</v>
      </c>
      <c r="H89" s="283">
        <v>35</v>
      </c>
      <c r="I89" s="283"/>
      <c r="J89" s="284"/>
      <c r="K89" s="283" t="s">
        <v>999</v>
      </c>
      <c r="L89" s="283" t="s">
        <v>1000</v>
      </c>
      <c r="M89" s="283"/>
    </row>
    <row r="90" spans="1:13" ht="14.4">
      <c r="A90" s="605"/>
      <c r="B90" s="606"/>
      <c r="C90" s="605"/>
      <c r="D90" s="284" t="s">
        <v>979</v>
      </c>
      <c r="E90" s="283" t="s">
        <v>706</v>
      </c>
      <c r="F90" s="284">
        <v>20.88</v>
      </c>
      <c r="G90" s="283">
        <v>20.88</v>
      </c>
      <c r="H90" s="283"/>
      <c r="I90" s="283">
        <v>20.88</v>
      </c>
      <c r="J90" s="284"/>
      <c r="K90" s="283" t="s">
        <v>999</v>
      </c>
      <c r="L90" s="283" t="s">
        <v>980</v>
      </c>
      <c r="M90" s="283"/>
    </row>
    <row r="91" spans="1:13" ht="14.4">
      <c r="A91" s="605"/>
      <c r="B91" s="606"/>
      <c r="C91" s="605"/>
      <c r="D91" s="284" t="s">
        <v>981</v>
      </c>
      <c r="E91" s="283" t="s">
        <v>706</v>
      </c>
      <c r="F91" s="284">
        <v>18.16</v>
      </c>
      <c r="G91" s="283">
        <v>18.16</v>
      </c>
      <c r="H91" s="283"/>
      <c r="I91" s="283">
        <v>18.16</v>
      </c>
      <c r="J91" s="284"/>
      <c r="K91" s="283" t="s">
        <v>999</v>
      </c>
      <c r="L91" s="283" t="s">
        <v>982</v>
      </c>
      <c r="M91" s="283"/>
    </row>
    <row r="92" spans="1:13" ht="14.4">
      <c r="A92" s="605"/>
      <c r="B92" s="606"/>
      <c r="C92" s="605"/>
      <c r="D92" s="284" t="s">
        <v>995</v>
      </c>
      <c r="E92" s="283" t="s">
        <v>706</v>
      </c>
      <c r="F92" s="284">
        <v>6.84</v>
      </c>
      <c r="G92" s="283">
        <v>6.84</v>
      </c>
      <c r="H92" s="283"/>
      <c r="I92" s="283">
        <v>6.84</v>
      </c>
      <c r="J92" s="284"/>
      <c r="K92" s="283" t="s">
        <v>999</v>
      </c>
      <c r="L92" s="283" t="s">
        <v>996</v>
      </c>
      <c r="M92" s="283"/>
    </row>
    <row r="93" spans="1:13" ht="14.4">
      <c r="A93" s="605"/>
      <c r="B93" s="606"/>
      <c r="C93" s="605"/>
      <c r="D93" s="284" t="s">
        <v>983</v>
      </c>
      <c r="E93" s="283" t="s">
        <v>706</v>
      </c>
      <c r="F93" s="284">
        <v>6.83</v>
      </c>
      <c r="G93" s="283">
        <v>6.83</v>
      </c>
      <c r="H93" s="283"/>
      <c r="I93" s="283">
        <v>6.83</v>
      </c>
      <c r="J93" s="284"/>
      <c r="K93" s="283" t="s">
        <v>999</v>
      </c>
      <c r="L93" s="283" t="s">
        <v>984</v>
      </c>
      <c r="M93" s="283"/>
    </row>
    <row r="94" spans="1:13" ht="14.4">
      <c r="A94" s="605"/>
      <c r="B94" s="606"/>
      <c r="C94" s="605"/>
      <c r="D94" s="284" t="s">
        <v>985</v>
      </c>
      <c r="E94" s="283" t="s">
        <v>706</v>
      </c>
      <c r="F94" s="284">
        <v>3.48</v>
      </c>
      <c r="G94" s="283">
        <v>3.48</v>
      </c>
      <c r="H94" s="283"/>
      <c r="I94" s="283">
        <v>3.48</v>
      </c>
      <c r="J94" s="284"/>
      <c r="K94" s="283" t="s">
        <v>999</v>
      </c>
      <c r="L94" s="283" t="s">
        <v>980</v>
      </c>
      <c r="M94" s="283"/>
    </row>
    <row r="95" spans="1:13" ht="14.4">
      <c r="A95" s="605"/>
      <c r="B95" s="606"/>
      <c r="C95" s="605"/>
      <c r="D95" s="284" t="s">
        <v>986</v>
      </c>
      <c r="E95" s="283" t="s">
        <v>706</v>
      </c>
      <c r="F95" s="284">
        <v>2.97</v>
      </c>
      <c r="G95" s="283">
        <v>2.97</v>
      </c>
      <c r="H95" s="283"/>
      <c r="I95" s="283">
        <v>2.97</v>
      </c>
      <c r="J95" s="284"/>
      <c r="K95" s="283" t="s">
        <v>999</v>
      </c>
      <c r="L95" s="283" t="s">
        <v>982</v>
      </c>
      <c r="M95" s="283"/>
    </row>
    <row r="96" spans="1:13" ht="14.4">
      <c r="A96" s="605"/>
      <c r="B96" s="606"/>
      <c r="C96" s="605"/>
      <c r="D96" s="284" t="s">
        <v>987</v>
      </c>
      <c r="E96" s="283" t="s">
        <v>706</v>
      </c>
      <c r="F96" s="284">
        <v>2.27</v>
      </c>
      <c r="G96" s="283">
        <v>2.27</v>
      </c>
      <c r="H96" s="283"/>
      <c r="I96" s="283">
        <v>2.27</v>
      </c>
      <c r="J96" s="284"/>
      <c r="K96" s="283" t="s">
        <v>999</v>
      </c>
      <c r="L96" s="283" t="s">
        <v>982</v>
      </c>
      <c r="M96" s="283"/>
    </row>
    <row r="97" spans="1:13" ht="14.4">
      <c r="A97" s="605"/>
      <c r="B97" s="606"/>
      <c r="C97" s="605"/>
      <c r="D97" s="284" t="s">
        <v>997</v>
      </c>
      <c r="E97" s="283" t="s">
        <v>706</v>
      </c>
      <c r="F97" s="284">
        <v>1.9</v>
      </c>
      <c r="G97" s="283">
        <v>1.9</v>
      </c>
      <c r="H97" s="283"/>
      <c r="I97" s="283">
        <v>1.9</v>
      </c>
      <c r="J97" s="284"/>
      <c r="K97" s="283" t="s">
        <v>999</v>
      </c>
      <c r="L97" s="283" t="s">
        <v>996</v>
      </c>
      <c r="M97" s="283"/>
    </row>
    <row r="98" spans="1:13" ht="14.4">
      <c r="A98" s="598"/>
      <c r="B98" s="600"/>
      <c r="C98" s="598"/>
      <c r="D98" s="284" t="s">
        <v>571</v>
      </c>
      <c r="E98" s="283" t="s">
        <v>706</v>
      </c>
      <c r="F98" s="284">
        <v>1.67</v>
      </c>
      <c r="G98" s="283">
        <v>1.67</v>
      </c>
      <c r="H98" s="283"/>
      <c r="I98" s="283">
        <v>1.67</v>
      </c>
      <c r="J98" s="284"/>
      <c r="K98" s="283" t="s">
        <v>999</v>
      </c>
      <c r="L98" s="283"/>
      <c r="M98" s="283"/>
    </row>
    <row r="99" spans="1:13" ht="14.4">
      <c r="A99" s="285">
        <v>71</v>
      </c>
      <c r="B99" s="286" t="s">
        <v>863</v>
      </c>
      <c r="C99" s="285" t="s">
        <v>864</v>
      </c>
      <c r="D99" s="285" t="s">
        <v>619</v>
      </c>
      <c r="E99" s="281"/>
      <c r="F99" s="281"/>
      <c r="G99" s="281"/>
      <c r="H99" s="281"/>
      <c r="I99" s="281"/>
      <c r="J99" s="282"/>
      <c r="K99" s="281"/>
      <c r="L99" s="281"/>
      <c r="M99" s="281"/>
    </row>
    <row r="100" spans="1:13" ht="14.4">
      <c r="A100" s="283">
        <v>74</v>
      </c>
      <c r="B100" s="284" t="s">
        <v>867</v>
      </c>
      <c r="C100" s="283" t="s">
        <v>868</v>
      </c>
      <c r="D100" s="283" t="s">
        <v>619</v>
      </c>
      <c r="E100" s="283"/>
      <c r="F100" s="283"/>
      <c r="G100" s="283"/>
      <c r="H100" s="283"/>
      <c r="I100" s="283"/>
      <c r="J100" s="284"/>
      <c r="K100" s="283"/>
      <c r="L100" s="283"/>
      <c r="M100" s="283"/>
    </row>
    <row r="101" spans="1:13" ht="14.4">
      <c r="A101" s="593">
        <v>75</v>
      </c>
      <c r="B101" s="595" t="s">
        <v>874</v>
      </c>
      <c r="C101" s="593" t="s">
        <v>875</v>
      </c>
      <c r="D101" s="286" t="s">
        <v>876</v>
      </c>
      <c r="E101" s="281" t="s">
        <v>977</v>
      </c>
      <c r="F101" s="281">
        <v>650</v>
      </c>
      <c r="G101" s="281">
        <v>65</v>
      </c>
      <c r="H101" s="281">
        <v>65</v>
      </c>
      <c r="I101" s="281">
        <v>0</v>
      </c>
      <c r="J101" s="282"/>
      <c r="K101" s="291">
        <v>41164</v>
      </c>
      <c r="L101" s="281" t="s">
        <v>1001</v>
      </c>
      <c r="M101" s="281"/>
    </row>
    <row r="102" spans="1:13" ht="14.4">
      <c r="A102" s="594"/>
      <c r="B102" s="596"/>
      <c r="C102" s="594"/>
      <c r="D102" s="286" t="s">
        <v>659</v>
      </c>
      <c r="E102" s="281" t="s">
        <v>977</v>
      </c>
      <c r="F102" s="281">
        <v>350</v>
      </c>
      <c r="G102" s="281">
        <v>35</v>
      </c>
      <c r="H102" s="281">
        <v>35</v>
      </c>
      <c r="I102" s="281">
        <v>0</v>
      </c>
      <c r="J102" s="282"/>
      <c r="K102" s="291">
        <v>41164</v>
      </c>
      <c r="L102" s="281"/>
      <c r="M102" s="281"/>
    </row>
    <row r="103" spans="1:13" ht="14.4">
      <c r="A103" s="283">
        <v>79</v>
      </c>
      <c r="B103" s="284" t="s">
        <v>877</v>
      </c>
      <c r="C103" s="283" t="s">
        <v>878</v>
      </c>
      <c r="D103" s="283" t="s">
        <v>619</v>
      </c>
      <c r="E103" s="283"/>
      <c r="F103" s="283"/>
      <c r="G103" s="283"/>
      <c r="H103" s="283"/>
      <c r="I103" s="283"/>
      <c r="J103" s="284"/>
      <c r="K103" s="283"/>
      <c r="L103" s="283"/>
      <c r="M103" s="283"/>
    </row>
    <row r="104" spans="1:13" ht="14.4">
      <c r="A104" s="285">
        <v>80</v>
      </c>
      <c r="B104" s="286" t="s">
        <v>881</v>
      </c>
      <c r="C104" s="285" t="s">
        <v>882</v>
      </c>
      <c r="D104" s="286" t="s">
        <v>1002</v>
      </c>
      <c r="E104" s="281" t="s">
        <v>977</v>
      </c>
      <c r="F104" s="281">
        <v>10</v>
      </c>
      <c r="G104" s="281">
        <v>10</v>
      </c>
      <c r="H104" s="281"/>
      <c r="I104" s="281"/>
      <c r="J104" s="282"/>
      <c r="K104" s="281"/>
      <c r="L104" s="281"/>
      <c r="M104" s="281"/>
    </row>
    <row r="105" spans="1:13" ht="14.4">
      <c r="A105" s="597">
        <v>85</v>
      </c>
      <c r="B105" s="599" t="s">
        <v>894</v>
      </c>
      <c r="C105" s="597" t="s">
        <v>895</v>
      </c>
      <c r="D105" s="284" t="s">
        <v>900</v>
      </c>
      <c r="E105" s="283" t="s">
        <v>836</v>
      </c>
      <c r="F105" s="283">
        <v>110</v>
      </c>
      <c r="G105" s="288">
        <v>0.2</v>
      </c>
      <c r="H105" s="283"/>
      <c r="I105" s="283"/>
      <c r="J105" s="284"/>
      <c r="K105" s="283"/>
      <c r="L105" s="283"/>
      <c r="M105" s="283"/>
    </row>
    <row r="106" spans="1:13" ht="14.4">
      <c r="A106" s="605"/>
      <c r="B106" s="606"/>
      <c r="C106" s="605"/>
      <c r="D106" s="284" t="s">
        <v>1003</v>
      </c>
      <c r="E106" s="283" t="s">
        <v>836</v>
      </c>
      <c r="F106" s="283">
        <v>110</v>
      </c>
      <c r="G106" s="288">
        <v>0.2</v>
      </c>
      <c r="H106" s="283"/>
      <c r="I106" s="283"/>
      <c r="J106" s="284"/>
      <c r="K106" s="283"/>
      <c r="L106" s="283"/>
      <c r="M106" s="283"/>
    </row>
    <row r="107" spans="1:13" ht="14.4">
      <c r="A107" s="605"/>
      <c r="B107" s="606"/>
      <c r="C107" s="605"/>
      <c r="D107" s="284" t="s">
        <v>1004</v>
      </c>
      <c r="E107" s="283" t="s">
        <v>836</v>
      </c>
      <c r="F107" s="283">
        <v>110</v>
      </c>
      <c r="G107" s="288">
        <v>0.2</v>
      </c>
      <c r="H107" s="283"/>
      <c r="I107" s="283"/>
      <c r="J107" s="284"/>
      <c r="K107" s="283"/>
      <c r="L107" s="283"/>
      <c r="M107" s="283"/>
    </row>
    <row r="108" spans="1:13" ht="14.4">
      <c r="A108" s="605"/>
      <c r="B108" s="606"/>
      <c r="C108" s="605"/>
      <c r="D108" s="284" t="s">
        <v>1005</v>
      </c>
      <c r="E108" s="283" t="s">
        <v>836</v>
      </c>
      <c r="F108" s="283">
        <v>47.74</v>
      </c>
      <c r="G108" s="288">
        <v>8.6800000000000002E-2</v>
      </c>
      <c r="H108" s="283"/>
      <c r="I108" s="283"/>
      <c r="J108" s="284"/>
      <c r="K108" s="283"/>
      <c r="L108" s="283"/>
      <c r="M108" s="283"/>
    </row>
    <row r="109" spans="1:13" ht="14.4">
      <c r="A109" s="605"/>
      <c r="B109" s="606"/>
      <c r="C109" s="605"/>
      <c r="D109" s="284" t="s">
        <v>1006</v>
      </c>
      <c r="E109" s="283" t="s">
        <v>836</v>
      </c>
      <c r="F109" s="283">
        <v>33.660000000000004</v>
      </c>
      <c r="G109" s="288">
        <v>6.1200000000000004E-2</v>
      </c>
      <c r="H109" s="283"/>
      <c r="I109" s="283"/>
      <c r="J109" s="284"/>
      <c r="K109" s="283"/>
      <c r="L109" s="283"/>
      <c r="M109" s="283"/>
    </row>
    <row r="110" spans="1:13" ht="14.4">
      <c r="A110" s="605"/>
      <c r="B110" s="606"/>
      <c r="C110" s="605"/>
      <c r="D110" s="284" t="s">
        <v>1007</v>
      </c>
      <c r="E110" s="283" t="s">
        <v>836</v>
      </c>
      <c r="F110" s="283">
        <v>15.734400000000001</v>
      </c>
      <c r="G110" s="288">
        <v>2.8608000000000001E-2</v>
      </c>
      <c r="H110" s="283"/>
      <c r="I110" s="283"/>
      <c r="J110" s="284"/>
      <c r="K110" s="283"/>
      <c r="L110" s="283"/>
      <c r="M110" s="283"/>
    </row>
    <row r="111" spans="1:13" ht="14.4">
      <c r="A111" s="605"/>
      <c r="B111" s="606"/>
      <c r="C111" s="605"/>
      <c r="D111" s="284" t="s">
        <v>1008</v>
      </c>
      <c r="E111" s="283" t="s">
        <v>836</v>
      </c>
      <c r="F111" s="283">
        <v>22.000000000000004</v>
      </c>
      <c r="G111" s="288">
        <v>4.0000000000000008E-2</v>
      </c>
      <c r="H111" s="283"/>
      <c r="I111" s="283"/>
      <c r="J111" s="284"/>
      <c r="K111" s="283"/>
      <c r="L111" s="283"/>
      <c r="M111" s="283"/>
    </row>
    <row r="112" spans="1:13" ht="14.4">
      <c r="A112" s="605"/>
      <c r="B112" s="606"/>
      <c r="C112" s="605"/>
      <c r="D112" s="284" t="s">
        <v>1009</v>
      </c>
      <c r="E112" s="283" t="s">
        <v>836</v>
      </c>
      <c r="F112" s="283">
        <v>59.400000000000006</v>
      </c>
      <c r="G112" s="288">
        <v>0.10800000000000001</v>
      </c>
      <c r="H112" s="283"/>
      <c r="I112" s="283"/>
      <c r="J112" s="284"/>
      <c r="K112" s="283"/>
      <c r="L112" s="283"/>
      <c r="M112" s="283"/>
    </row>
    <row r="113" spans="1:13" ht="14.4">
      <c r="A113" s="605"/>
      <c r="B113" s="606"/>
      <c r="C113" s="605"/>
      <c r="D113" s="284" t="s">
        <v>1010</v>
      </c>
      <c r="E113" s="283" t="s">
        <v>836</v>
      </c>
      <c r="F113" s="283">
        <v>4.3999999999999995</v>
      </c>
      <c r="G113" s="288">
        <v>8.0000000000000002E-3</v>
      </c>
      <c r="H113" s="283"/>
      <c r="I113" s="283"/>
      <c r="J113" s="284"/>
      <c r="K113" s="283"/>
      <c r="L113" s="283"/>
      <c r="M113" s="283"/>
    </row>
    <row r="114" spans="1:13" ht="14.4">
      <c r="A114" s="605"/>
      <c r="B114" s="606"/>
      <c r="C114" s="605"/>
      <c r="D114" s="284" t="s">
        <v>1011</v>
      </c>
      <c r="E114" s="283" t="s">
        <v>836</v>
      </c>
      <c r="F114" s="283">
        <v>2.4200000000000004</v>
      </c>
      <c r="G114" s="288">
        <v>4.4000000000000003E-3</v>
      </c>
      <c r="H114" s="283"/>
      <c r="I114" s="283"/>
      <c r="J114" s="284"/>
      <c r="K114" s="283"/>
      <c r="L114" s="283"/>
      <c r="M114" s="283"/>
    </row>
    <row r="115" spans="1:13" ht="14.4">
      <c r="A115" s="605"/>
      <c r="B115" s="606"/>
      <c r="C115" s="605"/>
      <c r="D115" s="284" t="s">
        <v>1012</v>
      </c>
      <c r="E115" s="283" t="s">
        <v>836</v>
      </c>
      <c r="F115" s="283">
        <v>2.7456</v>
      </c>
      <c r="G115" s="288">
        <v>4.9919999999999999E-3</v>
      </c>
      <c r="H115" s="283"/>
      <c r="I115" s="283"/>
      <c r="J115" s="284"/>
      <c r="K115" s="283"/>
      <c r="L115" s="283"/>
      <c r="M115" s="283"/>
    </row>
    <row r="116" spans="1:13" ht="14.4">
      <c r="A116" s="605"/>
      <c r="B116" s="606"/>
      <c r="C116" s="605"/>
      <c r="D116" s="284" t="s">
        <v>1013</v>
      </c>
      <c r="E116" s="283" t="s">
        <v>836</v>
      </c>
      <c r="F116" s="283">
        <v>14.634399999999999</v>
      </c>
      <c r="G116" s="288">
        <v>2.6608E-2</v>
      </c>
      <c r="H116" s="283"/>
      <c r="I116" s="283"/>
      <c r="J116" s="284"/>
      <c r="K116" s="283"/>
      <c r="L116" s="283"/>
      <c r="M116" s="283"/>
    </row>
    <row r="117" spans="1:13" ht="14.4">
      <c r="A117" s="598"/>
      <c r="B117" s="600"/>
      <c r="C117" s="598"/>
      <c r="D117" s="284" t="s">
        <v>1014</v>
      </c>
      <c r="E117" s="283" t="s">
        <v>836</v>
      </c>
      <c r="F117" s="283">
        <v>17.265599999999999</v>
      </c>
      <c r="G117" s="288">
        <v>3.1391999999999996E-2</v>
      </c>
      <c r="H117" s="283"/>
      <c r="I117" s="283"/>
      <c r="J117" s="284"/>
      <c r="K117" s="283"/>
      <c r="L117" s="283"/>
      <c r="M117" s="283"/>
    </row>
    <row r="118" spans="1:13" ht="14.4">
      <c r="A118" s="593">
        <v>87</v>
      </c>
      <c r="B118" s="595" t="s">
        <v>197</v>
      </c>
      <c r="C118" s="593" t="s">
        <v>902</v>
      </c>
      <c r="D118" s="286" t="s">
        <v>904</v>
      </c>
      <c r="E118" s="281" t="s">
        <v>905</v>
      </c>
      <c r="F118" s="282"/>
      <c r="G118" s="295">
        <v>0.45</v>
      </c>
      <c r="H118" s="281"/>
      <c r="I118" s="281"/>
      <c r="J118" s="282"/>
      <c r="K118" s="281"/>
      <c r="L118" s="281"/>
      <c r="M118" s="281"/>
    </row>
    <row r="119" spans="1:13" ht="14.4">
      <c r="A119" s="594"/>
      <c r="B119" s="596"/>
      <c r="C119" s="594"/>
      <c r="D119" s="286" t="s">
        <v>906</v>
      </c>
      <c r="E119" s="281" t="s">
        <v>1015</v>
      </c>
      <c r="F119" s="282"/>
      <c r="G119" s="295">
        <v>0.45</v>
      </c>
      <c r="H119" s="281"/>
      <c r="I119" s="281"/>
      <c r="J119" s="282"/>
      <c r="K119" s="281"/>
      <c r="L119" s="281"/>
      <c r="M119" s="281"/>
    </row>
    <row r="120" spans="1:13" ht="14.4">
      <c r="A120" s="283">
        <v>89</v>
      </c>
      <c r="B120" s="284" t="s">
        <v>198</v>
      </c>
      <c r="C120" s="283" t="s">
        <v>907</v>
      </c>
      <c r="D120" s="283" t="s">
        <v>619</v>
      </c>
      <c r="E120" s="283"/>
      <c r="F120" s="284"/>
      <c r="G120" s="283"/>
      <c r="H120" s="283"/>
      <c r="I120" s="283"/>
      <c r="J120" s="284"/>
      <c r="K120" s="283"/>
      <c r="L120" s="283"/>
      <c r="M120" s="283"/>
    </row>
    <row r="121" spans="1:13" ht="14.4">
      <c r="A121" s="285">
        <v>92</v>
      </c>
      <c r="B121" s="286" t="s">
        <v>912</v>
      </c>
      <c r="C121" s="285" t="s">
        <v>913</v>
      </c>
      <c r="D121" s="285" t="s">
        <v>619</v>
      </c>
      <c r="E121" s="281"/>
      <c r="F121" s="282"/>
      <c r="G121" s="281"/>
      <c r="H121" s="281"/>
      <c r="I121" s="281"/>
      <c r="J121" s="282"/>
      <c r="K121" s="281"/>
      <c r="L121" s="281"/>
      <c r="M121" s="281"/>
    </row>
    <row r="122" spans="1:13" ht="14.4">
      <c r="A122" s="283">
        <v>95</v>
      </c>
      <c r="B122" s="284" t="s">
        <v>914</v>
      </c>
      <c r="C122" s="283" t="s">
        <v>915</v>
      </c>
      <c r="D122" s="283" t="s">
        <v>619</v>
      </c>
      <c r="E122" s="283"/>
      <c r="F122" s="284"/>
      <c r="G122" s="283"/>
      <c r="H122" s="283"/>
      <c r="I122" s="283"/>
      <c r="J122" s="284"/>
      <c r="K122" s="283"/>
      <c r="L122" s="283"/>
      <c r="M122" s="283"/>
    </row>
    <row r="123" spans="1:13" ht="14.4">
      <c r="A123" s="593">
        <v>97</v>
      </c>
      <c r="B123" s="602" t="s">
        <v>917</v>
      </c>
      <c r="C123" s="593" t="s">
        <v>918</v>
      </c>
      <c r="D123" s="286" t="s">
        <v>1016</v>
      </c>
      <c r="E123" s="281" t="s">
        <v>836</v>
      </c>
      <c r="F123" s="282">
        <v>90000</v>
      </c>
      <c r="G123" s="281">
        <v>0.45</v>
      </c>
      <c r="H123" s="281">
        <v>0.45</v>
      </c>
      <c r="I123" s="281"/>
      <c r="J123" s="282"/>
      <c r="K123" s="291">
        <v>45163</v>
      </c>
      <c r="L123" s="281" t="s">
        <v>1017</v>
      </c>
      <c r="M123" s="281"/>
    </row>
    <row r="124" spans="1:13" ht="14.4">
      <c r="A124" s="601"/>
      <c r="B124" s="603"/>
      <c r="C124" s="601"/>
      <c r="D124" s="286" t="s">
        <v>1018</v>
      </c>
      <c r="E124" s="281" t="s">
        <v>836</v>
      </c>
      <c r="F124" s="282">
        <v>46800</v>
      </c>
      <c r="G124" s="281">
        <v>0.23400000000000001</v>
      </c>
      <c r="H124" s="281">
        <v>0.23400000000000001</v>
      </c>
      <c r="I124" s="281"/>
      <c r="J124" s="282"/>
      <c r="K124" s="291">
        <v>45163</v>
      </c>
      <c r="L124" s="281" t="s">
        <v>1017</v>
      </c>
      <c r="M124" s="281"/>
    </row>
    <row r="125" spans="1:13" ht="14.4">
      <c r="A125" s="601"/>
      <c r="B125" s="603"/>
      <c r="C125" s="601"/>
      <c r="D125" s="286" t="s">
        <v>1019</v>
      </c>
      <c r="E125" s="281" t="s">
        <v>836</v>
      </c>
      <c r="F125" s="282">
        <v>37800</v>
      </c>
      <c r="G125" s="281">
        <v>0.189</v>
      </c>
      <c r="H125" s="281">
        <v>0.189</v>
      </c>
      <c r="I125" s="281"/>
      <c r="J125" s="282"/>
      <c r="K125" s="291">
        <v>45163</v>
      </c>
      <c r="L125" s="281" t="s">
        <v>1017</v>
      </c>
      <c r="M125" s="281"/>
    </row>
    <row r="126" spans="1:13" ht="14.4">
      <c r="A126" s="594"/>
      <c r="B126" s="604"/>
      <c r="C126" s="594"/>
      <c r="D126" s="286" t="s">
        <v>1020</v>
      </c>
      <c r="E126" s="281" t="s">
        <v>836</v>
      </c>
      <c r="F126" s="282">
        <v>5400</v>
      </c>
      <c r="G126" s="281">
        <v>2.7E-2</v>
      </c>
      <c r="H126" s="281">
        <v>2.7E-2</v>
      </c>
      <c r="I126" s="281"/>
      <c r="J126" s="282"/>
      <c r="K126" s="291">
        <v>45163</v>
      </c>
      <c r="L126" s="281" t="s">
        <v>1017</v>
      </c>
      <c r="M126" s="281"/>
    </row>
    <row r="127" spans="1:13" ht="14.4">
      <c r="A127" s="597">
        <v>98</v>
      </c>
      <c r="B127" s="599" t="s">
        <v>922</v>
      </c>
      <c r="C127" s="597" t="s">
        <v>923</v>
      </c>
      <c r="D127" s="284" t="s">
        <v>924</v>
      </c>
      <c r="E127" s="283" t="s">
        <v>1021</v>
      </c>
      <c r="F127" s="284">
        <v>80</v>
      </c>
      <c r="G127" s="283">
        <v>80</v>
      </c>
      <c r="H127" s="283">
        <v>80</v>
      </c>
      <c r="I127" s="283">
        <v>80</v>
      </c>
      <c r="J127" s="284"/>
      <c r="K127" s="294">
        <v>41783</v>
      </c>
      <c r="L127" s="283"/>
      <c r="M127" s="283"/>
    </row>
    <row r="128" spans="1:13" ht="14.4">
      <c r="A128" s="598"/>
      <c r="B128" s="600"/>
      <c r="C128" s="598"/>
      <c r="D128" s="284" t="s">
        <v>925</v>
      </c>
      <c r="E128" s="283" t="s">
        <v>1021</v>
      </c>
      <c r="F128" s="284">
        <v>20</v>
      </c>
      <c r="G128" s="283">
        <v>20</v>
      </c>
      <c r="H128" s="283">
        <v>20</v>
      </c>
      <c r="I128" s="283">
        <v>20</v>
      </c>
      <c r="J128" s="284"/>
      <c r="K128" s="294">
        <v>41783</v>
      </c>
      <c r="L128" s="283"/>
      <c r="M128" s="283"/>
    </row>
    <row r="129" spans="1:13" ht="14.4">
      <c r="A129" s="285">
        <v>105</v>
      </c>
      <c r="B129" s="286" t="s">
        <v>82</v>
      </c>
      <c r="C129" s="285" t="s">
        <v>926</v>
      </c>
      <c r="D129" s="286" t="s">
        <v>1022</v>
      </c>
      <c r="E129" s="281" t="s">
        <v>1021</v>
      </c>
      <c r="F129" s="296">
        <v>10000</v>
      </c>
      <c r="G129" s="281">
        <v>100</v>
      </c>
      <c r="H129" s="281">
        <v>100</v>
      </c>
      <c r="I129" s="281"/>
      <c r="J129" s="282"/>
      <c r="K129" s="281"/>
      <c r="L129" s="281"/>
      <c r="M129" s="281"/>
    </row>
    <row r="130" spans="1:13" ht="14.4">
      <c r="A130" s="283">
        <v>106</v>
      </c>
      <c r="B130" s="284" t="s">
        <v>72</v>
      </c>
      <c r="C130" s="283" t="s">
        <v>928</v>
      </c>
      <c r="D130" s="283" t="s">
        <v>619</v>
      </c>
      <c r="E130" s="283"/>
      <c r="F130" s="284"/>
      <c r="G130" s="283"/>
      <c r="H130" s="283"/>
      <c r="I130" s="283"/>
      <c r="J130" s="284"/>
      <c r="K130" s="283"/>
      <c r="L130" s="283"/>
      <c r="M130" s="283"/>
    </row>
    <row r="131" spans="1:13" ht="14.4">
      <c r="A131" s="285">
        <v>107</v>
      </c>
      <c r="B131" s="286" t="s">
        <v>92</v>
      </c>
      <c r="C131" s="285" t="s">
        <v>932</v>
      </c>
      <c r="D131" s="285" t="s">
        <v>619</v>
      </c>
      <c r="E131" s="281"/>
      <c r="F131" s="282"/>
      <c r="G131" s="281"/>
      <c r="H131" s="281"/>
      <c r="I131" s="281"/>
      <c r="J131" s="282"/>
      <c r="K131" s="281"/>
      <c r="L131" s="281"/>
      <c r="M131" s="281"/>
    </row>
    <row r="132" spans="1:13" ht="14.4">
      <c r="A132" s="283">
        <v>49</v>
      </c>
      <c r="B132" s="284" t="s">
        <v>189</v>
      </c>
      <c r="C132" s="283" t="s">
        <v>934</v>
      </c>
      <c r="D132" s="283" t="s">
        <v>619</v>
      </c>
      <c r="E132" s="297"/>
      <c r="F132" s="297"/>
      <c r="G132" s="297"/>
      <c r="H132" s="297"/>
      <c r="I132" s="297"/>
      <c r="J132" s="297"/>
      <c r="K132" s="297"/>
      <c r="L132" s="297"/>
      <c r="M132" s="297"/>
    </row>
    <row r="133" spans="1:13" ht="14.4">
      <c r="A133" s="593">
        <v>18</v>
      </c>
      <c r="B133" s="595" t="s">
        <v>3331</v>
      </c>
      <c r="C133" s="593" t="s">
        <v>2445</v>
      </c>
      <c r="D133" s="286" t="s">
        <v>3338</v>
      </c>
      <c r="E133" s="281"/>
      <c r="F133" s="296"/>
      <c r="G133" s="281"/>
      <c r="H133" s="281"/>
      <c r="I133" s="281"/>
      <c r="J133" s="282"/>
      <c r="K133" s="281"/>
      <c r="L133" s="281"/>
      <c r="M133" s="281"/>
    </row>
    <row r="134" spans="1:13" ht="14.4">
      <c r="A134" s="594"/>
      <c r="B134" s="596"/>
      <c r="C134" s="594"/>
      <c r="D134" s="286" t="s">
        <v>3339</v>
      </c>
      <c r="E134" s="281"/>
      <c r="F134" s="296"/>
      <c r="G134" s="281"/>
      <c r="H134" s="281"/>
      <c r="I134" s="281"/>
      <c r="J134" s="282"/>
      <c r="K134" s="281"/>
      <c r="L134" s="281"/>
      <c r="M134" s="281"/>
    </row>
    <row r="135" spans="1:13" ht="14.4">
      <c r="A135" s="283"/>
      <c r="B135" s="284" t="s">
        <v>3659</v>
      </c>
      <c r="C135" s="283" t="s">
        <v>2447</v>
      </c>
      <c r="D135" s="284" t="s">
        <v>3663</v>
      </c>
      <c r="E135" s="283" t="s">
        <v>633</v>
      </c>
      <c r="F135" s="284">
        <v>900</v>
      </c>
      <c r="G135" s="283">
        <v>90</v>
      </c>
      <c r="H135" s="283">
        <v>90</v>
      </c>
      <c r="I135" s="283"/>
      <c r="J135" s="284"/>
      <c r="K135" s="283" t="s">
        <v>3664</v>
      </c>
      <c r="L135" s="283"/>
      <c r="M135" s="283"/>
    </row>
    <row r="136" spans="1:13" ht="14.4">
      <c r="A136" s="593"/>
      <c r="B136" s="595" t="s">
        <v>3704</v>
      </c>
      <c r="C136" s="593" t="s">
        <v>3705</v>
      </c>
      <c r="D136" s="286" t="s">
        <v>3706</v>
      </c>
      <c r="E136" s="281" t="s">
        <v>1021</v>
      </c>
      <c r="F136" s="296">
        <v>400</v>
      </c>
      <c r="G136" s="281">
        <v>0.4</v>
      </c>
      <c r="H136" s="281"/>
      <c r="I136" s="281"/>
      <c r="J136" s="282"/>
      <c r="K136" s="281"/>
      <c r="L136" s="281" t="s">
        <v>3710</v>
      </c>
      <c r="M136" s="281"/>
    </row>
    <row r="137" spans="1:13" ht="14.4">
      <c r="A137" s="601"/>
      <c r="B137" s="607"/>
      <c r="C137" s="601"/>
      <c r="D137" s="286" t="s">
        <v>3707</v>
      </c>
      <c r="E137" s="281" t="s">
        <v>1021</v>
      </c>
      <c r="F137" s="296">
        <v>250</v>
      </c>
      <c r="G137" s="281">
        <v>0.25</v>
      </c>
      <c r="H137" s="281"/>
      <c r="I137" s="281"/>
      <c r="J137" s="282"/>
      <c r="K137" s="281"/>
      <c r="L137" s="281"/>
      <c r="M137" s="281"/>
    </row>
    <row r="138" spans="1:13" ht="14.4">
      <c r="A138" s="601"/>
      <c r="B138" s="607"/>
      <c r="C138" s="601"/>
      <c r="D138" s="286" t="s">
        <v>3708</v>
      </c>
      <c r="E138" s="281" t="s">
        <v>1021</v>
      </c>
      <c r="F138" s="296">
        <v>250</v>
      </c>
      <c r="G138" s="281">
        <v>0.25</v>
      </c>
      <c r="H138" s="281"/>
      <c r="I138" s="281"/>
      <c r="J138" s="282"/>
      <c r="K138" s="281"/>
      <c r="L138" s="281"/>
      <c r="M138" s="281"/>
    </row>
    <row r="139" spans="1:13" ht="14.4">
      <c r="A139" s="594"/>
      <c r="B139" s="596"/>
      <c r="C139" s="594"/>
      <c r="D139" s="286" t="s">
        <v>3709</v>
      </c>
      <c r="E139" s="281" t="s">
        <v>1021</v>
      </c>
      <c r="F139" s="296">
        <v>100</v>
      </c>
      <c r="G139" s="281">
        <v>0.1</v>
      </c>
      <c r="H139" s="281"/>
      <c r="I139" s="281"/>
      <c r="J139" s="282"/>
      <c r="K139" s="281"/>
      <c r="L139" s="281"/>
      <c r="M139" s="281"/>
    </row>
    <row r="140" spans="1:13" ht="14.4">
      <c r="A140" s="283"/>
      <c r="B140" s="284" t="s">
        <v>3712</v>
      </c>
      <c r="C140" s="283" t="s">
        <v>2459</v>
      </c>
      <c r="D140" s="284" t="s">
        <v>3713</v>
      </c>
      <c r="E140" s="283" t="s">
        <v>633</v>
      </c>
      <c r="F140" s="284"/>
      <c r="G140" s="283"/>
      <c r="H140" s="283"/>
      <c r="I140" s="283"/>
      <c r="J140" s="284"/>
      <c r="K140" s="283"/>
      <c r="L140" s="283"/>
      <c r="M140" s="283"/>
    </row>
    <row r="141" spans="1:13" ht="14.4">
      <c r="A141" s="593"/>
      <c r="B141" s="595" t="s">
        <v>3714</v>
      </c>
      <c r="C141" s="593" t="s">
        <v>3715</v>
      </c>
      <c r="D141" s="286" t="s">
        <v>3716</v>
      </c>
      <c r="E141" s="281" t="s">
        <v>836</v>
      </c>
      <c r="F141" s="296">
        <v>90</v>
      </c>
      <c r="G141" s="281">
        <v>90</v>
      </c>
      <c r="H141" s="281">
        <v>90</v>
      </c>
      <c r="I141" s="281">
        <v>90</v>
      </c>
      <c r="J141" s="282"/>
      <c r="K141" s="298">
        <v>44641</v>
      </c>
      <c r="L141" s="281"/>
      <c r="M141" s="281"/>
    </row>
    <row r="142" spans="1:13" ht="14.4">
      <c r="A142" s="594"/>
      <c r="B142" s="596"/>
      <c r="C142" s="594"/>
      <c r="D142" s="286" t="s">
        <v>3717</v>
      </c>
      <c r="E142" s="281" t="s">
        <v>977</v>
      </c>
      <c r="F142" s="296">
        <v>10</v>
      </c>
      <c r="G142" s="281">
        <v>10</v>
      </c>
      <c r="H142" s="281">
        <v>10</v>
      </c>
      <c r="I142" s="281">
        <v>10</v>
      </c>
      <c r="J142" s="282"/>
      <c r="K142" s="298">
        <v>44642</v>
      </c>
      <c r="L142" s="281"/>
      <c r="M142" s="281"/>
    </row>
    <row r="143" spans="1:13" ht="14.4">
      <c r="A143" s="283"/>
      <c r="B143" s="284" t="s">
        <v>1899</v>
      </c>
      <c r="C143" s="283" t="s">
        <v>2466</v>
      </c>
      <c r="D143" s="284" t="s">
        <v>3720</v>
      </c>
      <c r="E143" s="283" t="s">
        <v>1021</v>
      </c>
      <c r="F143" s="284">
        <v>1000</v>
      </c>
      <c r="G143" s="283">
        <v>100</v>
      </c>
      <c r="H143" s="283">
        <v>100</v>
      </c>
      <c r="I143" s="283"/>
      <c r="J143" s="284"/>
      <c r="K143" s="283">
        <v>2014</v>
      </c>
      <c r="L143" s="283"/>
      <c r="M143" s="283"/>
    </row>
    <row r="144" spans="1:13" ht="14.4">
      <c r="A144" s="285"/>
      <c r="B144" s="286" t="s">
        <v>3722</v>
      </c>
      <c r="C144" s="285" t="s">
        <v>2474</v>
      </c>
      <c r="D144" s="286" t="s">
        <v>3723</v>
      </c>
      <c r="E144" s="281" t="s">
        <v>931</v>
      </c>
      <c r="F144" s="296">
        <v>50</v>
      </c>
      <c r="G144" s="281">
        <v>50</v>
      </c>
      <c r="H144" s="281"/>
      <c r="I144" s="281"/>
      <c r="J144" s="282"/>
      <c r="K144" s="281"/>
      <c r="L144" s="281"/>
      <c r="M144" s="281"/>
    </row>
    <row r="145" spans="1:13" ht="14.4">
      <c r="A145" s="283"/>
      <c r="B145" s="284" t="s">
        <v>3731</v>
      </c>
      <c r="C145" s="283" t="s">
        <v>1080</v>
      </c>
      <c r="D145" s="284" t="s">
        <v>651</v>
      </c>
      <c r="E145" s="283"/>
      <c r="F145" s="284"/>
      <c r="G145" s="283"/>
      <c r="H145" s="283"/>
      <c r="I145" s="283"/>
      <c r="J145" s="284"/>
      <c r="K145" s="283"/>
      <c r="L145" s="283"/>
      <c r="M145" s="283"/>
    </row>
    <row r="146" spans="1:13" ht="14.4">
      <c r="A146" s="285"/>
      <c r="B146" s="286" t="s">
        <v>3747</v>
      </c>
      <c r="C146" s="285" t="s">
        <v>2462</v>
      </c>
      <c r="D146" s="286" t="s">
        <v>3750</v>
      </c>
      <c r="E146" s="281" t="s">
        <v>3751</v>
      </c>
      <c r="F146" s="296">
        <v>1000000</v>
      </c>
      <c r="G146" s="281">
        <v>1</v>
      </c>
      <c r="H146" s="281">
        <v>1</v>
      </c>
      <c r="I146" s="281"/>
      <c r="J146" s="282"/>
      <c r="K146" s="281" t="s">
        <v>3752</v>
      </c>
      <c r="L146" s="281"/>
      <c r="M146" s="281"/>
    </row>
    <row r="147" spans="1:13" ht="14.4">
      <c r="A147" s="597"/>
      <c r="B147" s="599" t="s">
        <v>1878</v>
      </c>
      <c r="C147" s="597" t="s">
        <v>2461</v>
      </c>
      <c r="D147" s="284" t="s">
        <v>3761</v>
      </c>
      <c r="E147" s="283" t="s">
        <v>1021</v>
      </c>
      <c r="F147" s="284">
        <v>1</v>
      </c>
      <c r="G147" s="283">
        <v>65</v>
      </c>
      <c r="H147" s="283">
        <v>65</v>
      </c>
      <c r="I147" s="283"/>
      <c r="J147" s="284"/>
      <c r="K147" s="283">
        <v>2020</v>
      </c>
      <c r="L147" s="283" t="s">
        <v>3764</v>
      </c>
      <c r="M147" s="283"/>
    </row>
    <row r="148" spans="1:13" ht="14.4">
      <c r="A148" s="598"/>
      <c r="B148" s="600"/>
      <c r="C148" s="598"/>
      <c r="D148" s="284" t="s">
        <v>3762</v>
      </c>
      <c r="E148" s="283" t="s">
        <v>3763</v>
      </c>
      <c r="F148" s="284">
        <v>1</v>
      </c>
      <c r="G148" s="283">
        <v>35</v>
      </c>
      <c r="H148" s="283">
        <v>35</v>
      </c>
      <c r="I148" s="283"/>
      <c r="J148" s="284"/>
      <c r="K148" s="283">
        <v>2020</v>
      </c>
      <c r="L148" s="283" t="s">
        <v>3765</v>
      </c>
      <c r="M148" s="283"/>
    </row>
    <row r="149" spans="1:13">
      <c r="D149" s="300"/>
    </row>
  </sheetData>
  <autoFilter ref="A6:D132"/>
  <mergeCells count="76">
    <mergeCell ref="C133:C134"/>
    <mergeCell ref="B133:B134"/>
    <mergeCell ref="A133:A134"/>
    <mergeCell ref="C136:C139"/>
    <mergeCell ref="B136:B139"/>
    <mergeCell ref="A136:A139"/>
    <mergeCell ref="M6:M7"/>
    <mergeCell ref="A17:A18"/>
    <mergeCell ref="B17:B18"/>
    <mergeCell ref="C17:C18"/>
    <mergeCell ref="I6:I7"/>
    <mergeCell ref="J6:J7"/>
    <mergeCell ref="K6:K7"/>
    <mergeCell ref="L6:L7"/>
    <mergeCell ref="A19:A20"/>
    <mergeCell ref="B19:B20"/>
    <mergeCell ref="C19:C20"/>
    <mergeCell ref="G6:G7"/>
    <mergeCell ref="H6:H7"/>
    <mergeCell ref="A6:A7"/>
    <mergeCell ref="B6:B7"/>
    <mergeCell ref="C6:C7"/>
    <mergeCell ref="D6:D7"/>
    <mergeCell ref="E6:E7"/>
    <mergeCell ref="F6:F7"/>
    <mergeCell ref="A23:A24"/>
    <mergeCell ref="B23:B24"/>
    <mergeCell ref="C23:C24"/>
    <mergeCell ref="A25:A28"/>
    <mergeCell ref="B25:B28"/>
    <mergeCell ref="C25:C28"/>
    <mergeCell ref="A30:A31"/>
    <mergeCell ref="B30:B31"/>
    <mergeCell ref="C30:C31"/>
    <mergeCell ref="A34:A35"/>
    <mergeCell ref="B34:B35"/>
    <mergeCell ref="C34:C35"/>
    <mergeCell ref="A37:A38"/>
    <mergeCell ref="B37:B38"/>
    <mergeCell ref="C37:C38"/>
    <mergeCell ref="A42:A43"/>
    <mergeCell ref="B42:B43"/>
    <mergeCell ref="C42:C43"/>
    <mergeCell ref="A55:A61"/>
    <mergeCell ref="B55:B61"/>
    <mergeCell ref="C55:C61"/>
    <mergeCell ref="A71:A73"/>
    <mergeCell ref="B71:B73"/>
    <mergeCell ref="C71:C73"/>
    <mergeCell ref="A79:A87"/>
    <mergeCell ref="B79:B87"/>
    <mergeCell ref="C79:C87"/>
    <mergeCell ref="A89:A98"/>
    <mergeCell ref="B89:B98"/>
    <mergeCell ref="C89:C98"/>
    <mergeCell ref="A101:A102"/>
    <mergeCell ref="B101:B102"/>
    <mergeCell ref="C101:C102"/>
    <mergeCell ref="A105:A117"/>
    <mergeCell ref="B105:B117"/>
    <mergeCell ref="C105:C117"/>
    <mergeCell ref="A127:A128"/>
    <mergeCell ref="B127:B128"/>
    <mergeCell ref="C127:C128"/>
    <mergeCell ref="A118:A119"/>
    <mergeCell ref="B118:B119"/>
    <mergeCell ref="C118:C119"/>
    <mergeCell ref="A123:A126"/>
    <mergeCell ref="B123:B126"/>
    <mergeCell ref="C123:C126"/>
    <mergeCell ref="A141:A142"/>
    <mergeCell ref="B141:B142"/>
    <mergeCell ref="C141:C142"/>
    <mergeCell ref="C147:C148"/>
    <mergeCell ref="B147:B148"/>
    <mergeCell ref="A147:A14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2:M18"/>
  <sheetViews>
    <sheetView zoomScale="90" zoomScaleNormal="90" workbookViewId="0">
      <selection activeCell="A2" sqref="A2"/>
    </sheetView>
  </sheetViews>
  <sheetFormatPr baseColWidth="10" defaultRowHeight="13.8"/>
  <cols>
    <col min="2" max="2" width="45" bestFit="1" customWidth="1"/>
    <col min="3" max="3" width="15.3984375" customWidth="1"/>
    <col min="4" max="4" width="39.09765625" bestFit="1" customWidth="1"/>
    <col min="7" max="7" width="9.296875" bestFit="1" customWidth="1"/>
    <col min="8" max="8" width="20.69921875" bestFit="1" customWidth="1"/>
    <col min="9" max="9" width="22.296875" bestFit="1" customWidth="1"/>
    <col min="11" max="11" width="33.296875" bestFit="1" customWidth="1"/>
    <col min="12" max="12" width="15.296875" customWidth="1"/>
    <col min="13" max="13" width="21.59765625" customWidth="1"/>
  </cols>
  <sheetData>
    <row r="2" spans="1:13" ht="18.600000000000001">
      <c r="A2" s="65" t="s">
        <v>2212</v>
      </c>
      <c r="E2" s="66">
        <v>7</v>
      </c>
      <c r="K2" s="66" t="s">
        <v>606</v>
      </c>
    </row>
    <row r="3" spans="1:13">
      <c r="E3" s="66">
        <f>E2-E4</f>
        <v>4</v>
      </c>
      <c r="K3" s="66" t="s">
        <v>607</v>
      </c>
    </row>
    <row r="4" spans="1:13">
      <c r="E4" s="68">
        <v>3</v>
      </c>
      <c r="K4" s="68" t="s">
        <v>608</v>
      </c>
    </row>
    <row r="6" spans="1:13" ht="14.4" thickBot="1">
      <c r="A6" s="545" t="s">
        <v>609</v>
      </c>
      <c r="B6" s="545" t="s">
        <v>610</v>
      </c>
      <c r="C6" s="545" t="s">
        <v>611</v>
      </c>
      <c r="D6" s="545" t="s">
        <v>936</v>
      </c>
      <c r="E6" s="545" t="s">
        <v>590</v>
      </c>
      <c r="F6" s="545" t="s">
        <v>580</v>
      </c>
      <c r="G6" s="545" t="s">
        <v>581</v>
      </c>
      <c r="H6" s="545" t="s">
        <v>582</v>
      </c>
      <c r="I6" s="545" t="s">
        <v>583</v>
      </c>
      <c r="J6" s="545" t="s">
        <v>584</v>
      </c>
      <c r="K6" s="545" t="s">
        <v>591</v>
      </c>
      <c r="L6" s="545" t="s">
        <v>586</v>
      </c>
      <c r="M6" s="545" t="s">
        <v>587</v>
      </c>
    </row>
    <row r="7" spans="1:13" ht="14.4" thickBot="1">
      <c r="A7" s="546"/>
      <c r="B7" s="546"/>
      <c r="C7" s="546"/>
      <c r="D7" s="546"/>
      <c r="E7" s="545"/>
      <c r="F7" s="545"/>
      <c r="G7" s="545"/>
      <c r="H7" s="545"/>
      <c r="I7" s="545"/>
      <c r="J7" s="545"/>
      <c r="K7" s="545"/>
      <c r="L7" s="545"/>
      <c r="M7" s="545"/>
    </row>
    <row r="8" spans="1:13" s="75" customFormat="1" ht="14.4">
      <c r="A8" s="593">
        <v>1</v>
      </c>
      <c r="B8" s="595" t="s">
        <v>1023</v>
      </c>
      <c r="C8" s="593" t="s">
        <v>1024</v>
      </c>
      <c r="D8" s="282" t="s">
        <v>1054</v>
      </c>
      <c r="E8" s="281"/>
      <c r="F8" s="281">
        <v>999</v>
      </c>
      <c r="G8" s="281"/>
      <c r="H8" s="281"/>
      <c r="I8" s="281"/>
      <c r="J8" s="282"/>
      <c r="K8" s="281"/>
      <c r="L8" s="282" t="s">
        <v>1055</v>
      </c>
      <c r="M8" s="281"/>
    </row>
    <row r="9" spans="1:13" s="75" customFormat="1" ht="14.4">
      <c r="A9" s="594"/>
      <c r="B9" s="596"/>
      <c r="C9" s="594"/>
      <c r="D9" s="282" t="s">
        <v>1056</v>
      </c>
      <c r="E9" s="281"/>
      <c r="F9" s="281">
        <v>1</v>
      </c>
      <c r="G9" s="281"/>
      <c r="H9" s="281"/>
      <c r="I9" s="281"/>
      <c r="J9" s="282"/>
      <c r="K9" s="281"/>
      <c r="L9" s="282" t="s">
        <v>1057</v>
      </c>
      <c r="M9" s="281"/>
    </row>
    <row r="10" spans="1:13" ht="14.4">
      <c r="A10" s="283">
        <v>2</v>
      </c>
      <c r="B10" s="284" t="s">
        <v>1027</v>
      </c>
      <c r="C10" s="283" t="s">
        <v>1028</v>
      </c>
      <c r="D10" s="284" t="s">
        <v>619</v>
      </c>
      <c r="E10" s="283"/>
      <c r="F10" s="283"/>
      <c r="G10" s="283"/>
      <c r="H10" s="283"/>
      <c r="I10" s="283"/>
      <c r="J10" s="284"/>
      <c r="K10" s="283"/>
      <c r="L10" s="283"/>
      <c r="M10" s="283"/>
    </row>
    <row r="11" spans="1:13" ht="14.4">
      <c r="A11" s="285">
        <v>3</v>
      </c>
      <c r="B11" s="286" t="s">
        <v>1029</v>
      </c>
      <c r="C11" s="285" t="s">
        <v>1030</v>
      </c>
      <c r="D11" s="286" t="s">
        <v>1058</v>
      </c>
      <c r="E11" s="281"/>
      <c r="F11" s="281"/>
      <c r="G11" s="281"/>
      <c r="H11" s="281"/>
      <c r="I11" s="281"/>
      <c r="J11" s="282"/>
      <c r="K11" s="281"/>
      <c r="L11" s="282" t="s">
        <v>1059</v>
      </c>
      <c r="M11" s="281"/>
    </row>
    <row r="12" spans="1:13" ht="14.4">
      <c r="A12" s="597">
        <v>4</v>
      </c>
      <c r="B12" s="599" t="s">
        <v>1032</v>
      </c>
      <c r="C12" s="597" t="s">
        <v>1033</v>
      </c>
      <c r="D12" s="284" t="s">
        <v>1058</v>
      </c>
      <c r="E12" s="283"/>
      <c r="F12" s="283">
        <v>180</v>
      </c>
      <c r="G12" s="283"/>
      <c r="H12" s="283"/>
      <c r="I12" s="283"/>
      <c r="J12" s="284"/>
      <c r="K12" s="283"/>
      <c r="L12" s="284" t="s">
        <v>1060</v>
      </c>
      <c r="M12" s="283"/>
    </row>
    <row r="13" spans="1:13" ht="14.4">
      <c r="A13" s="598"/>
      <c r="B13" s="600"/>
      <c r="C13" s="598"/>
      <c r="D13" s="284" t="s">
        <v>1061</v>
      </c>
      <c r="E13" s="283"/>
      <c r="F13" s="283">
        <v>20</v>
      </c>
      <c r="G13" s="283"/>
      <c r="H13" s="283"/>
      <c r="I13" s="283"/>
      <c r="J13" s="284"/>
      <c r="K13" s="283"/>
      <c r="L13" s="284" t="s">
        <v>1062</v>
      </c>
      <c r="M13" s="283"/>
    </row>
    <row r="14" spans="1:13" ht="14.4">
      <c r="A14" s="593">
        <v>5</v>
      </c>
      <c r="B14" s="595" t="s">
        <v>1035</v>
      </c>
      <c r="C14" s="593" t="s">
        <v>1036</v>
      </c>
      <c r="D14" s="286" t="s">
        <v>1058</v>
      </c>
      <c r="E14" s="281"/>
      <c r="F14" s="281">
        <v>168</v>
      </c>
      <c r="G14" s="281"/>
      <c r="H14" s="281"/>
      <c r="I14" s="281"/>
      <c r="J14" s="282"/>
      <c r="K14" s="281"/>
      <c r="L14" s="281"/>
      <c r="M14" s="281"/>
    </row>
    <row r="15" spans="1:13" ht="14.4">
      <c r="A15" s="601"/>
      <c r="B15" s="607"/>
      <c r="C15" s="601"/>
      <c r="D15" s="286" t="s">
        <v>1061</v>
      </c>
      <c r="E15" s="281"/>
      <c r="F15" s="281">
        <v>2</v>
      </c>
      <c r="G15" s="281"/>
      <c r="H15" s="281"/>
      <c r="I15" s="281"/>
      <c r="J15" s="282"/>
      <c r="K15" s="281"/>
      <c r="L15" s="281"/>
      <c r="M15" s="281"/>
    </row>
    <row r="16" spans="1:13" ht="14.4">
      <c r="A16" s="594"/>
      <c r="B16" s="596"/>
      <c r="C16" s="594"/>
      <c r="D16" s="286" t="s">
        <v>1063</v>
      </c>
      <c r="E16" s="281"/>
      <c r="F16" s="281">
        <v>30</v>
      </c>
      <c r="G16" s="281"/>
      <c r="H16" s="281"/>
      <c r="I16" s="281"/>
      <c r="J16" s="282"/>
      <c r="K16" s="281"/>
      <c r="L16" s="281"/>
      <c r="M16" s="281"/>
    </row>
    <row r="17" spans="1:13" ht="14.4">
      <c r="A17" s="283">
        <v>6</v>
      </c>
      <c r="B17" s="284" t="s">
        <v>1039</v>
      </c>
      <c r="C17" s="283" t="s">
        <v>1040</v>
      </c>
      <c r="D17" s="284" t="s">
        <v>619</v>
      </c>
      <c r="E17" s="283"/>
      <c r="F17" s="283"/>
      <c r="G17" s="283"/>
      <c r="H17" s="283"/>
      <c r="I17" s="283"/>
      <c r="J17" s="284"/>
      <c r="K17" s="283"/>
      <c r="L17" s="283"/>
      <c r="M17" s="283"/>
    </row>
    <row r="18" spans="1:13" ht="14.4">
      <c r="A18" s="285">
        <v>7</v>
      </c>
      <c r="B18" s="286" t="s">
        <v>1051</v>
      </c>
      <c r="C18" s="285" t="s">
        <v>1052</v>
      </c>
      <c r="D18" s="286" t="s">
        <v>619</v>
      </c>
      <c r="E18" s="281"/>
      <c r="F18" s="281"/>
      <c r="G18" s="281"/>
      <c r="H18" s="281"/>
      <c r="I18" s="281"/>
      <c r="J18" s="282"/>
      <c r="K18" s="281"/>
      <c r="L18" s="281"/>
      <c r="M18" s="281"/>
    </row>
  </sheetData>
  <autoFilter ref="A6:D14"/>
  <mergeCells count="22">
    <mergeCell ref="F6:F7"/>
    <mergeCell ref="A6:A7"/>
    <mergeCell ref="B6:B7"/>
    <mergeCell ref="C6:C7"/>
    <mergeCell ref="D6:D7"/>
    <mergeCell ref="E6:E7"/>
    <mergeCell ref="A14:A16"/>
    <mergeCell ref="B14:B16"/>
    <mergeCell ref="C14:C16"/>
    <mergeCell ref="M6:M7"/>
    <mergeCell ref="A8:A9"/>
    <mergeCell ref="B8:B9"/>
    <mergeCell ref="C8:C9"/>
    <mergeCell ref="A12:A13"/>
    <mergeCell ref="B12:B13"/>
    <mergeCell ref="C12:C13"/>
    <mergeCell ref="G6:G7"/>
    <mergeCell ref="H6:H7"/>
    <mergeCell ref="I6:I7"/>
    <mergeCell ref="J6:J7"/>
    <mergeCell ref="K6:K7"/>
    <mergeCell ref="L6:L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3:O15"/>
  <sheetViews>
    <sheetView workbookViewId="0">
      <selection activeCell="A3" sqref="A3"/>
    </sheetView>
  </sheetViews>
  <sheetFormatPr baseColWidth="10" defaultRowHeight="13.8"/>
  <cols>
    <col min="2" max="2" width="55.69921875" bestFit="1" customWidth="1"/>
    <col min="8" max="8" width="12.3984375" bestFit="1" customWidth="1"/>
    <col min="9" max="9" width="29" bestFit="1" customWidth="1"/>
    <col min="15" max="15" width="27.59765625" bestFit="1" customWidth="1"/>
  </cols>
  <sheetData>
    <row r="3" spans="1:15" ht="16.2">
      <c r="A3" s="10" t="s">
        <v>2213</v>
      </c>
    </row>
    <row r="6" spans="1:15" ht="14.4" thickBot="1">
      <c r="A6" s="1" t="s">
        <v>3</v>
      </c>
      <c r="B6" s="1" t="s">
        <v>6</v>
      </c>
      <c r="C6" s="1" t="s">
        <v>7</v>
      </c>
      <c r="D6" s="1" t="s">
        <v>1069</v>
      </c>
      <c r="E6" s="1" t="s">
        <v>9</v>
      </c>
      <c r="F6" s="1" t="s">
        <v>10</v>
      </c>
      <c r="G6" s="1" t="s">
        <v>11</v>
      </c>
      <c r="H6" s="1" t="s">
        <v>2</v>
      </c>
      <c r="I6" s="1" t="s">
        <v>1067</v>
      </c>
      <c r="J6" s="1" t="s">
        <v>7</v>
      </c>
      <c r="K6" s="1" t="s">
        <v>1071</v>
      </c>
      <c r="L6" s="1" t="s">
        <v>9</v>
      </c>
      <c r="M6" s="1" t="s">
        <v>10</v>
      </c>
      <c r="N6" s="1" t="s">
        <v>11</v>
      </c>
      <c r="O6" s="1" t="s">
        <v>1070</v>
      </c>
    </row>
    <row r="7" spans="1:15" ht="15" thickTop="1">
      <c r="A7" s="34">
        <v>377</v>
      </c>
      <c r="B7" s="34" t="s">
        <v>51</v>
      </c>
      <c r="C7" s="34">
        <v>1297</v>
      </c>
      <c r="D7" s="34" t="s">
        <v>18</v>
      </c>
      <c r="E7" s="34">
        <v>64</v>
      </c>
      <c r="F7" s="35">
        <v>41612</v>
      </c>
      <c r="G7" s="35">
        <v>43437</v>
      </c>
      <c r="H7" s="34" t="s">
        <v>22</v>
      </c>
      <c r="I7" s="34" t="s">
        <v>448</v>
      </c>
      <c r="J7" s="34">
        <v>1297</v>
      </c>
      <c r="K7" s="34" t="s">
        <v>13</v>
      </c>
      <c r="L7" s="34">
        <v>64</v>
      </c>
      <c r="M7" s="35">
        <v>44813</v>
      </c>
      <c r="N7" s="35">
        <v>53943</v>
      </c>
      <c r="O7" s="34" t="s">
        <v>79</v>
      </c>
    </row>
    <row r="8" spans="1:15" ht="14.4">
      <c r="A8" s="36">
        <v>1567</v>
      </c>
      <c r="B8" s="36" t="s">
        <v>175</v>
      </c>
      <c r="C8" s="36">
        <v>12162</v>
      </c>
      <c r="D8" s="36" t="s">
        <v>18</v>
      </c>
      <c r="E8" s="36">
        <v>140</v>
      </c>
      <c r="F8" s="37">
        <v>42232</v>
      </c>
      <c r="G8" s="37">
        <v>42777</v>
      </c>
      <c r="H8" s="36" t="s">
        <v>14</v>
      </c>
      <c r="I8" s="36" t="s">
        <v>448</v>
      </c>
      <c r="J8" s="36">
        <v>12162</v>
      </c>
      <c r="K8" s="36" t="s">
        <v>13</v>
      </c>
      <c r="L8" s="36">
        <v>140</v>
      </c>
      <c r="M8" s="37">
        <v>44805</v>
      </c>
      <c r="N8" s="37">
        <v>53935</v>
      </c>
      <c r="O8" s="36" t="s">
        <v>1068</v>
      </c>
    </row>
    <row r="9" spans="1:15" ht="14.4">
      <c r="A9" s="34">
        <v>1577</v>
      </c>
      <c r="B9" s="34" t="s">
        <v>175</v>
      </c>
      <c r="C9" s="34">
        <v>12172</v>
      </c>
      <c r="D9" s="34" t="s">
        <v>18</v>
      </c>
      <c r="E9" s="34">
        <v>180</v>
      </c>
      <c r="F9" s="35">
        <v>42778</v>
      </c>
      <c r="G9" s="35">
        <v>44603</v>
      </c>
      <c r="H9" s="34" t="s">
        <v>14</v>
      </c>
      <c r="I9" s="34" t="s">
        <v>448</v>
      </c>
      <c r="J9" s="34">
        <v>12172</v>
      </c>
      <c r="K9" s="34" t="s">
        <v>13</v>
      </c>
      <c r="L9" s="34">
        <v>180</v>
      </c>
      <c r="M9" s="35">
        <v>44805</v>
      </c>
      <c r="N9" s="35">
        <v>53935</v>
      </c>
      <c r="O9" s="34" t="s">
        <v>1068</v>
      </c>
    </row>
    <row r="10" spans="1:15" ht="14.4">
      <c r="A10" s="36">
        <v>1578</v>
      </c>
      <c r="B10" s="36" t="s">
        <v>175</v>
      </c>
      <c r="C10" s="36">
        <v>12173</v>
      </c>
      <c r="D10" s="36" t="s">
        <v>18</v>
      </c>
      <c r="E10" s="36">
        <v>115</v>
      </c>
      <c r="F10" s="37">
        <v>42778</v>
      </c>
      <c r="G10" s="37">
        <v>44603</v>
      </c>
      <c r="H10" s="36" t="s">
        <v>14</v>
      </c>
      <c r="I10" s="36" t="s">
        <v>448</v>
      </c>
      <c r="J10" s="36">
        <v>12173</v>
      </c>
      <c r="K10" s="36" t="s">
        <v>13</v>
      </c>
      <c r="L10" s="36">
        <v>115</v>
      </c>
      <c r="M10" s="37">
        <v>44805</v>
      </c>
      <c r="N10" s="37">
        <v>53935</v>
      </c>
      <c r="O10" s="36" t="s">
        <v>1068</v>
      </c>
    </row>
    <row r="11" spans="1:15" ht="14.4">
      <c r="A11" s="34">
        <v>1580</v>
      </c>
      <c r="B11" s="34" t="s">
        <v>175</v>
      </c>
      <c r="C11" s="34">
        <v>12175</v>
      </c>
      <c r="D11" s="34" t="s">
        <v>18</v>
      </c>
      <c r="E11" s="34">
        <v>126</v>
      </c>
      <c r="F11" s="35">
        <v>42778</v>
      </c>
      <c r="G11" s="35">
        <v>44603</v>
      </c>
      <c r="H11" s="34" t="s">
        <v>14</v>
      </c>
      <c r="I11" s="34" t="s">
        <v>448</v>
      </c>
      <c r="J11" s="34">
        <v>12175</v>
      </c>
      <c r="K11" s="34" t="s">
        <v>13</v>
      </c>
      <c r="L11" s="34">
        <v>126</v>
      </c>
      <c r="M11" s="35">
        <v>44805</v>
      </c>
      <c r="N11" s="35">
        <v>53935</v>
      </c>
      <c r="O11" s="34" t="s">
        <v>1068</v>
      </c>
    </row>
    <row r="12" spans="1:15" ht="14.4">
      <c r="A12" s="36">
        <v>1587</v>
      </c>
      <c r="B12" s="36" t="s">
        <v>175</v>
      </c>
      <c r="C12" s="36">
        <v>12182</v>
      </c>
      <c r="D12" s="36" t="s">
        <v>18</v>
      </c>
      <c r="E12" s="36">
        <v>200</v>
      </c>
      <c r="F12" s="37">
        <v>42778</v>
      </c>
      <c r="G12" s="37">
        <v>44603</v>
      </c>
      <c r="H12" s="36" t="s">
        <v>14</v>
      </c>
      <c r="I12" s="36" t="s">
        <v>448</v>
      </c>
      <c r="J12" s="36">
        <v>12182</v>
      </c>
      <c r="K12" s="36" t="s">
        <v>13</v>
      </c>
      <c r="L12" s="36">
        <v>200</v>
      </c>
      <c r="M12" s="37">
        <v>44805</v>
      </c>
      <c r="N12" s="37">
        <v>53935</v>
      </c>
      <c r="O12" s="36" t="s">
        <v>1068</v>
      </c>
    </row>
    <row r="13" spans="1:15" ht="14.4">
      <c r="A13" s="34">
        <v>1588</v>
      </c>
      <c r="B13" s="34" t="s">
        <v>175</v>
      </c>
      <c r="C13" s="34">
        <v>12183</v>
      </c>
      <c r="D13" s="34" t="s">
        <v>18</v>
      </c>
      <c r="E13" s="34">
        <v>200</v>
      </c>
      <c r="F13" s="35">
        <v>42778</v>
      </c>
      <c r="G13" s="35">
        <v>44603</v>
      </c>
      <c r="H13" s="34" t="s">
        <v>14</v>
      </c>
      <c r="I13" s="34" t="s">
        <v>448</v>
      </c>
      <c r="J13" s="34">
        <v>12183</v>
      </c>
      <c r="K13" s="34" t="s">
        <v>13</v>
      </c>
      <c r="L13" s="34">
        <v>200</v>
      </c>
      <c r="M13" s="35">
        <v>44805</v>
      </c>
      <c r="N13" s="35">
        <v>53935</v>
      </c>
      <c r="O13" s="34" t="s">
        <v>1068</v>
      </c>
    </row>
    <row r="14" spans="1:15" ht="14.4">
      <c r="A14" s="36">
        <v>1592</v>
      </c>
      <c r="B14" s="36" t="s">
        <v>175</v>
      </c>
      <c r="C14" s="36">
        <v>12188</v>
      </c>
      <c r="D14" s="36" t="s">
        <v>18</v>
      </c>
      <c r="E14" s="36">
        <v>175</v>
      </c>
      <c r="F14" s="37">
        <v>42778</v>
      </c>
      <c r="G14" s="37">
        <v>44603</v>
      </c>
      <c r="H14" s="36" t="s">
        <v>14</v>
      </c>
      <c r="I14" s="36" t="s">
        <v>448</v>
      </c>
      <c r="J14" s="36">
        <v>12188</v>
      </c>
      <c r="K14" s="36" t="s">
        <v>13</v>
      </c>
      <c r="L14" s="36">
        <v>175</v>
      </c>
      <c r="M14" s="37">
        <v>44805</v>
      </c>
      <c r="N14" s="37">
        <v>53935</v>
      </c>
      <c r="O14" s="36" t="s">
        <v>1068</v>
      </c>
    </row>
    <row r="15" spans="1:15" ht="14.4">
      <c r="A15" s="34">
        <v>1667</v>
      </c>
      <c r="B15" s="34" t="s">
        <v>1072</v>
      </c>
      <c r="C15" s="34">
        <v>12447</v>
      </c>
      <c r="D15" s="34" t="s">
        <v>1073</v>
      </c>
      <c r="E15" s="34">
        <v>460</v>
      </c>
      <c r="F15" s="35">
        <v>42611</v>
      </c>
      <c r="G15" s="35">
        <v>43705</v>
      </c>
      <c r="H15" s="34" t="s">
        <v>1074</v>
      </c>
      <c r="I15" s="34" t="s">
        <v>1075</v>
      </c>
      <c r="J15" s="34">
        <v>12447</v>
      </c>
      <c r="K15" s="34" t="s">
        <v>13</v>
      </c>
      <c r="L15" s="34">
        <v>460</v>
      </c>
      <c r="M15" s="35">
        <v>44909</v>
      </c>
      <c r="N15" s="35">
        <v>54039</v>
      </c>
      <c r="O15" s="34" t="s">
        <v>79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3:E15"/>
  <sheetViews>
    <sheetView workbookViewId="0">
      <selection activeCell="A3" sqref="A3"/>
    </sheetView>
  </sheetViews>
  <sheetFormatPr baseColWidth="10" defaultRowHeight="13.8"/>
  <cols>
    <col min="2" max="2" width="57.59765625" bestFit="1" customWidth="1"/>
    <col min="5" max="5" width="20.59765625" bestFit="1" customWidth="1"/>
  </cols>
  <sheetData>
    <row r="3" spans="1:5" ht="16.2">
      <c r="A3" s="10" t="s">
        <v>2214</v>
      </c>
    </row>
    <row r="6" spans="1:5" ht="27" thickBot="1">
      <c r="A6" s="1" t="s">
        <v>1076</v>
      </c>
      <c r="B6" s="1" t="s">
        <v>1077</v>
      </c>
      <c r="C6" s="1" t="s">
        <v>611</v>
      </c>
      <c r="D6" s="1" t="s">
        <v>1084</v>
      </c>
      <c r="E6" s="1" t="s">
        <v>1085</v>
      </c>
    </row>
    <row r="7" spans="1:5" ht="14.4" thickTop="1">
      <c r="A7" s="4">
        <v>1</v>
      </c>
      <c r="B7" s="92" t="s">
        <v>35</v>
      </c>
      <c r="C7" s="93" t="s">
        <v>663</v>
      </c>
      <c r="D7" s="93" t="s">
        <v>1078</v>
      </c>
      <c r="E7" s="93" t="s">
        <v>1078</v>
      </c>
    </row>
    <row r="8" spans="1:5">
      <c r="A8" s="94">
        <v>2</v>
      </c>
      <c r="B8" s="95" t="s">
        <v>33</v>
      </c>
      <c r="C8" s="96" t="s">
        <v>813</v>
      </c>
      <c r="D8" s="96" t="s">
        <v>1078</v>
      </c>
      <c r="E8" s="96" t="s">
        <v>1079</v>
      </c>
    </row>
    <row r="9" spans="1:5">
      <c r="A9" s="4">
        <v>3</v>
      </c>
      <c r="B9" s="92" t="s">
        <v>55</v>
      </c>
      <c r="C9" s="93" t="s">
        <v>852</v>
      </c>
      <c r="D9" s="93" t="s">
        <v>1078</v>
      </c>
      <c r="E9" s="93" t="s">
        <v>1079</v>
      </c>
    </row>
    <row r="10" spans="1:5">
      <c r="A10" s="94">
        <v>4</v>
      </c>
      <c r="B10" s="95" t="s">
        <v>186</v>
      </c>
      <c r="C10" s="96" t="s">
        <v>864</v>
      </c>
      <c r="D10" s="96" t="s">
        <v>1078</v>
      </c>
      <c r="E10" s="96" t="s">
        <v>1078</v>
      </c>
    </row>
    <row r="11" spans="1:5">
      <c r="A11" s="4">
        <v>5</v>
      </c>
      <c r="B11" s="92" t="s">
        <v>136</v>
      </c>
      <c r="C11" s="93" t="s">
        <v>1080</v>
      </c>
      <c r="D11" s="93" t="s">
        <v>1078</v>
      </c>
      <c r="E11" s="93" t="s">
        <v>1079</v>
      </c>
    </row>
    <row r="12" spans="1:5">
      <c r="A12" s="94">
        <v>6</v>
      </c>
      <c r="B12" s="95" t="s">
        <v>82</v>
      </c>
      <c r="C12" s="96" t="s">
        <v>926</v>
      </c>
      <c r="D12" s="96" t="s">
        <v>1078</v>
      </c>
      <c r="E12" s="96" t="s">
        <v>1078</v>
      </c>
    </row>
    <row r="13" spans="1:5">
      <c r="A13" s="4">
        <v>7</v>
      </c>
      <c r="B13" s="92" t="s">
        <v>72</v>
      </c>
      <c r="C13" s="93" t="s">
        <v>928</v>
      </c>
      <c r="D13" s="93" t="s">
        <v>1078</v>
      </c>
      <c r="E13" s="93" t="s">
        <v>1079</v>
      </c>
    </row>
    <row r="14" spans="1:5">
      <c r="A14" s="94">
        <v>8</v>
      </c>
      <c r="B14" s="95" t="s">
        <v>92</v>
      </c>
      <c r="C14" s="96" t="s">
        <v>1082</v>
      </c>
      <c r="D14" s="96" t="s">
        <v>1078</v>
      </c>
      <c r="E14" s="96" t="s">
        <v>1078</v>
      </c>
    </row>
    <row r="15" spans="1:5">
      <c r="A15" s="4">
        <v>9</v>
      </c>
      <c r="B15" s="92" t="s">
        <v>1083</v>
      </c>
      <c r="C15" s="93" t="s">
        <v>1052</v>
      </c>
      <c r="D15" s="93" t="s">
        <v>1078</v>
      </c>
      <c r="E15" s="93" t="s">
        <v>1078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2:AI129"/>
  <sheetViews>
    <sheetView zoomScaleNormal="100" workbookViewId="0">
      <selection activeCell="A114" sqref="A114:XFD114"/>
    </sheetView>
  </sheetViews>
  <sheetFormatPr baseColWidth="10" defaultRowHeight="13.8"/>
  <cols>
    <col min="2" max="2" width="23.296875" bestFit="1" customWidth="1"/>
    <col min="4" max="4" width="8.69921875" customWidth="1"/>
    <col min="5" max="5" width="8.59765625" customWidth="1"/>
    <col min="6" max="6" width="27.59765625" bestFit="1" customWidth="1"/>
    <col min="8" max="8" width="14.3984375" bestFit="1" customWidth="1"/>
    <col min="9" max="9" width="10.69921875" bestFit="1" customWidth="1"/>
    <col min="10" max="10" width="14.3984375" bestFit="1" customWidth="1"/>
    <col min="12" max="12" width="14.3984375" bestFit="1" customWidth="1"/>
    <col min="14" max="14" width="14.3984375" bestFit="1" customWidth="1"/>
    <col min="16" max="16" width="14.3984375" bestFit="1" customWidth="1"/>
    <col min="18" max="18" width="14.3984375" bestFit="1" customWidth="1"/>
    <col min="20" max="20" width="14.3984375" bestFit="1" customWidth="1"/>
    <col min="22" max="22" width="14.3984375" bestFit="1" customWidth="1"/>
    <col min="24" max="24" width="14.3984375" bestFit="1" customWidth="1"/>
    <col min="26" max="26" width="14.3984375" bestFit="1" customWidth="1"/>
    <col min="27" max="27" width="13.59765625" bestFit="1" customWidth="1"/>
    <col min="28" max="28" width="14.3984375" bestFit="1" customWidth="1"/>
    <col min="30" max="30" width="14.3984375" bestFit="1" customWidth="1"/>
    <col min="31" max="31" width="12.69921875" bestFit="1" customWidth="1"/>
    <col min="32" max="32" width="14.69921875" bestFit="1" customWidth="1"/>
  </cols>
  <sheetData>
    <row r="2" spans="1:34" ht="18.600000000000001">
      <c r="A2" s="65" t="s">
        <v>2325</v>
      </c>
    </row>
    <row r="6" spans="1:34" ht="14.4" thickBot="1">
      <c r="A6" s="545" t="s">
        <v>609</v>
      </c>
      <c r="B6" s="545" t="s">
        <v>610</v>
      </c>
      <c r="C6" s="545" t="s">
        <v>611</v>
      </c>
      <c r="D6" s="546" t="s">
        <v>2215</v>
      </c>
      <c r="E6" s="545" t="s">
        <v>2216</v>
      </c>
      <c r="F6" s="546" t="s">
        <v>2217</v>
      </c>
      <c r="G6" s="611">
        <v>44562</v>
      </c>
      <c r="H6" s="545"/>
      <c r="I6" s="611">
        <v>44593</v>
      </c>
      <c r="J6" s="545"/>
      <c r="K6" s="611">
        <v>44621</v>
      </c>
      <c r="L6" s="545"/>
      <c r="M6" s="611">
        <v>44652</v>
      </c>
      <c r="N6" s="545"/>
      <c r="O6" s="611">
        <v>44682</v>
      </c>
      <c r="P6" s="545"/>
      <c r="Q6" s="611">
        <v>44713</v>
      </c>
      <c r="R6" s="545"/>
      <c r="S6" s="611">
        <v>44743</v>
      </c>
      <c r="T6" s="545"/>
      <c r="U6" s="611">
        <v>44774</v>
      </c>
      <c r="V6" s="545"/>
      <c r="W6" s="611">
        <v>44805</v>
      </c>
      <c r="X6" s="545"/>
      <c r="Y6" s="611">
        <v>44835</v>
      </c>
      <c r="Z6" s="545"/>
      <c r="AA6" s="611">
        <v>44866</v>
      </c>
      <c r="AB6" s="545"/>
      <c r="AC6" s="611">
        <v>44896</v>
      </c>
      <c r="AD6" s="545"/>
      <c r="AE6" s="545" t="s">
        <v>2218</v>
      </c>
      <c r="AF6" s="545"/>
      <c r="AG6" s="545" t="s">
        <v>2219</v>
      </c>
      <c r="AH6" s="545" t="s">
        <v>2220</v>
      </c>
    </row>
    <row r="7" spans="1:34">
      <c r="A7" s="546"/>
      <c r="B7" s="546"/>
      <c r="C7" s="546"/>
      <c r="D7" s="547"/>
      <c r="E7" s="546"/>
      <c r="F7" s="547"/>
      <c r="G7" s="148" t="s">
        <v>2221</v>
      </c>
      <c r="H7" s="149" t="s">
        <v>2222</v>
      </c>
      <c r="I7" s="148" t="s">
        <v>2221</v>
      </c>
      <c r="J7" s="149" t="s">
        <v>2222</v>
      </c>
      <c r="K7" s="148" t="s">
        <v>2221</v>
      </c>
      <c r="L7" s="149" t="s">
        <v>2222</v>
      </c>
      <c r="M7" s="148" t="s">
        <v>2221</v>
      </c>
      <c r="N7" s="149" t="s">
        <v>2222</v>
      </c>
      <c r="O7" s="148" t="s">
        <v>2221</v>
      </c>
      <c r="P7" s="149" t="s">
        <v>2222</v>
      </c>
      <c r="Q7" s="148" t="s">
        <v>2221</v>
      </c>
      <c r="R7" s="149" t="s">
        <v>2222</v>
      </c>
      <c r="S7" s="148" t="s">
        <v>2221</v>
      </c>
      <c r="T7" s="149" t="s">
        <v>2222</v>
      </c>
      <c r="U7" s="148" t="s">
        <v>2221</v>
      </c>
      <c r="V7" s="149" t="s">
        <v>2222</v>
      </c>
      <c r="W7" s="148" t="s">
        <v>2221</v>
      </c>
      <c r="X7" s="149" t="s">
        <v>2222</v>
      </c>
      <c r="Y7" s="148" t="s">
        <v>2221</v>
      </c>
      <c r="Z7" s="149" t="s">
        <v>2222</v>
      </c>
      <c r="AA7" s="148" t="s">
        <v>2221</v>
      </c>
      <c r="AB7" s="149" t="s">
        <v>2222</v>
      </c>
      <c r="AC7" s="148" t="s">
        <v>2221</v>
      </c>
      <c r="AD7" s="149" t="s">
        <v>2222</v>
      </c>
      <c r="AE7" s="69" t="s">
        <v>2221</v>
      </c>
      <c r="AF7" s="69" t="s">
        <v>2222</v>
      </c>
      <c r="AG7" s="546"/>
      <c r="AH7" s="546"/>
    </row>
    <row r="8" spans="1:34">
      <c r="A8" s="576">
        <v>1</v>
      </c>
      <c r="B8" s="578" t="s">
        <v>97</v>
      </c>
      <c r="C8" s="576" t="s">
        <v>618</v>
      </c>
      <c r="D8" s="74">
        <v>27</v>
      </c>
      <c r="E8" s="74" t="s">
        <v>2223</v>
      </c>
      <c r="F8" s="73" t="s">
        <v>2224</v>
      </c>
      <c r="G8" s="116">
        <v>1108.4443502955003</v>
      </c>
      <c r="H8" s="116" t="s">
        <v>2225</v>
      </c>
      <c r="I8" s="116">
        <v>1746.5459630595099</v>
      </c>
      <c r="J8" s="116" t="s">
        <v>2225</v>
      </c>
      <c r="K8" s="116">
        <v>2016.2056278947</v>
      </c>
      <c r="L8" s="116" t="s">
        <v>2225</v>
      </c>
      <c r="M8" s="116">
        <v>1797.7066119325796</v>
      </c>
      <c r="N8" s="116" t="s">
        <v>2225</v>
      </c>
      <c r="O8" s="116">
        <v>2273.5934020081795</v>
      </c>
      <c r="P8" s="116" t="s">
        <v>2225</v>
      </c>
      <c r="Q8" s="116">
        <v>2367.5136043105504</v>
      </c>
      <c r="R8" s="116" t="s">
        <v>2225</v>
      </c>
      <c r="S8" s="116">
        <v>2461.3336866345803</v>
      </c>
      <c r="T8" s="116" t="s">
        <v>2225</v>
      </c>
      <c r="U8" s="116">
        <v>2351.8159345984604</v>
      </c>
      <c r="V8" s="116" t="s">
        <v>2225</v>
      </c>
      <c r="W8" s="116">
        <v>2780.0460784528104</v>
      </c>
      <c r="X8" s="116" t="s">
        <v>2225</v>
      </c>
      <c r="Y8" s="116">
        <v>2574.5408568644298</v>
      </c>
      <c r="Z8" s="116" t="s">
        <v>2225</v>
      </c>
      <c r="AA8" s="116">
        <v>2019.9526784774901</v>
      </c>
      <c r="AB8" s="116" t="s">
        <v>2225</v>
      </c>
      <c r="AC8" s="116">
        <v>2037.0555857584345</v>
      </c>
      <c r="AD8" s="116" t="s">
        <v>2225</v>
      </c>
      <c r="AE8" s="116">
        <f>AC8+AA8+Y8+W8+U8+S8+Q8+O8+M8+K8+I8+G8</f>
        <v>25534.754380287224</v>
      </c>
      <c r="AF8" s="116" t="s">
        <v>2225</v>
      </c>
      <c r="AG8" s="74" t="s">
        <v>619</v>
      </c>
      <c r="AH8" s="74" t="s">
        <v>619</v>
      </c>
    </row>
    <row r="9" spans="1:34">
      <c r="A9" s="577"/>
      <c r="B9" s="579"/>
      <c r="C9" s="577"/>
      <c r="D9" s="74">
        <v>7</v>
      </c>
      <c r="E9" s="74" t="s">
        <v>2226</v>
      </c>
      <c r="F9" s="73" t="s">
        <v>2227</v>
      </c>
      <c r="G9" s="116">
        <v>17117.962</v>
      </c>
      <c r="H9" s="116" t="s">
        <v>2225</v>
      </c>
      <c r="I9" s="116">
        <v>17686.591</v>
      </c>
      <c r="J9" s="116" t="s">
        <v>2225</v>
      </c>
      <c r="K9" s="116">
        <v>15450.934999999999</v>
      </c>
      <c r="L9" s="116" t="s">
        <v>2225</v>
      </c>
      <c r="M9" s="116">
        <v>10461.709000000001</v>
      </c>
      <c r="N9" s="116" t="s">
        <v>2225</v>
      </c>
      <c r="O9" s="116">
        <v>21103.929</v>
      </c>
      <c r="P9" s="116" t="s">
        <v>2225</v>
      </c>
      <c r="Q9" s="116">
        <v>14292.465</v>
      </c>
      <c r="R9" s="116" t="s">
        <v>2225</v>
      </c>
      <c r="S9" s="116">
        <v>19009.455000000002</v>
      </c>
      <c r="T9" s="116" t="s">
        <v>2225</v>
      </c>
      <c r="U9" s="116">
        <v>20544.969000000001</v>
      </c>
      <c r="V9" s="116" t="s">
        <v>2225</v>
      </c>
      <c r="W9" s="116">
        <v>17147.645</v>
      </c>
      <c r="X9" s="116" t="s">
        <v>2225</v>
      </c>
      <c r="Y9" s="116">
        <v>22543.888999999999</v>
      </c>
      <c r="Z9" s="116" t="s">
        <v>2225</v>
      </c>
      <c r="AA9" s="116">
        <v>22393.083000000002</v>
      </c>
      <c r="AB9" s="116" t="s">
        <v>2225</v>
      </c>
      <c r="AC9" s="116">
        <v>22303.027999999998</v>
      </c>
      <c r="AD9" s="116" t="s">
        <v>2225</v>
      </c>
      <c r="AE9" s="116">
        <f>AC9+AA9+Y9+W9+U9+S9+Q9+O9+M9+K9+I9+G9</f>
        <v>220055.66000000003</v>
      </c>
      <c r="AF9" s="116" t="s">
        <v>2225</v>
      </c>
      <c r="AG9" s="74" t="s">
        <v>619</v>
      </c>
      <c r="AH9" s="74" t="s">
        <v>619</v>
      </c>
    </row>
    <row r="10" spans="1:34">
      <c r="A10" s="571">
        <v>2</v>
      </c>
      <c r="B10" s="574" t="s">
        <v>624</v>
      </c>
      <c r="C10" s="571" t="s">
        <v>625</v>
      </c>
      <c r="D10" s="76">
        <v>27</v>
      </c>
      <c r="E10" s="76" t="s">
        <v>2223</v>
      </c>
      <c r="F10" s="77" t="s">
        <v>2224</v>
      </c>
      <c r="G10" s="117">
        <v>1806</v>
      </c>
      <c r="H10" s="117">
        <v>15372535</v>
      </c>
      <c r="I10" s="117">
        <v>1545</v>
      </c>
      <c r="J10" s="117">
        <v>16673764</v>
      </c>
      <c r="K10" s="117">
        <v>1757</v>
      </c>
      <c r="L10" s="117">
        <v>19367385</v>
      </c>
      <c r="M10" s="117">
        <v>1815</v>
      </c>
      <c r="N10" s="117">
        <v>16550275</v>
      </c>
      <c r="O10" s="117">
        <v>1807</v>
      </c>
      <c r="P10" s="117">
        <v>15996319</v>
      </c>
      <c r="Q10" s="117">
        <v>1735</v>
      </c>
      <c r="R10" s="117">
        <v>17168457</v>
      </c>
      <c r="S10" s="117">
        <v>1742</v>
      </c>
      <c r="T10" s="117">
        <v>14629633</v>
      </c>
      <c r="U10" s="117">
        <v>1640.7852917229595</v>
      </c>
      <c r="V10" s="117">
        <v>12411482</v>
      </c>
      <c r="W10" s="117">
        <v>1543.647978624577</v>
      </c>
      <c r="X10" s="117">
        <v>10543653</v>
      </c>
      <c r="Y10" s="117">
        <v>1507</v>
      </c>
      <c r="Z10" s="117">
        <v>13124678</v>
      </c>
      <c r="AA10" s="117">
        <v>1741.1179662927316</v>
      </c>
      <c r="AB10" s="117">
        <v>16417888</v>
      </c>
      <c r="AC10" s="117">
        <v>1981.1935288755067</v>
      </c>
      <c r="AD10" s="117">
        <v>17054494</v>
      </c>
      <c r="AE10" s="150">
        <f>AC10+AA10+Y10+W10+U10+S10+Q10+O10+M10+K10+I10+G10</f>
        <v>20620.744765515774</v>
      </c>
      <c r="AF10" s="151">
        <f>AD10+AB10+Z10+X10+V10+T10+R10+P10+N10+L10+J10+H10</f>
        <v>185310563</v>
      </c>
      <c r="AG10" s="76"/>
      <c r="AH10" s="76"/>
    </row>
    <row r="11" spans="1:34">
      <c r="A11" s="573"/>
      <c r="B11" s="575"/>
      <c r="C11" s="573"/>
      <c r="D11" s="76">
        <v>3</v>
      </c>
      <c r="E11" s="76" t="s">
        <v>2226</v>
      </c>
      <c r="F11" s="77" t="s">
        <v>2228</v>
      </c>
      <c r="G11" s="117">
        <v>21334</v>
      </c>
      <c r="H11" s="117">
        <v>83381675</v>
      </c>
      <c r="I11" s="117">
        <v>19746</v>
      </c>
      <c r="J11" s="117">
        <v>75587756</v>
      </c>
      <c r="K11" s="117">
        <v>21355</v>
      </c>
      <c r="L11" s="117">
        <v>85460687</v>
      </c>
      <c r="M11" s="117">
        <v>21130</v>
      </c>
      <c r="N11" s="117">
        <v>84363052</v>
      </c>
      <c r="O11" s="117">
        <v>21538</v>
      </c>
      <c r="P11" s="117">
        <v>85687093</v>
      </c>
      <c r="Q11" s="117">
        <v>20285</v>
      </c>
      <c r="R11" s="117">
        <v>89548836</v>
      </c>
      <c r="S11" s="117">
        <v>20189</v>
      </c>
      <c r="T11" s="117">
        <v>84357179</v>
      </c>
      <c r="U11" s="117">
        <v>21551</v>
      </c>
      <c r="V11" s="117">
        <v>94376266</v>
      </c>
      <c r="W11" s="117">
        <v>20253</v>
      </c>
      <c r="X11" s="117">
        <v>89902194</v>
      </c>
      <c r="Y11" s="117">
        <v>23152</v>
      </c>
      <c r="Z11" s="117">
        <v>100283853</v>
      </c>
      <c r="AA11" s="117">
        <v>21672</v>
      </c>
      <c r="AB11" s="117">
        <v>91230403</v>
      </c>
      <c r="AC11" s="117">
        <v>22082</v>
      </c>
      <c r="AD11" s="117">
        <v>96813765</v>
      </c>
      <c r="AE11" s="150">
        <f>AC11+AA11+Y11+W11+U11+S11+Q11+O11+M11+K11+I11+G11</f>
        <v>254287</v>
      </c>
      <c r="AF11" s="151">
        <f>AD11+AB11+Z11+X11+V11+T11+R11+P11+N11+L11+J11+H11</f>
        <v>1060992759</v>
      </c>
      <c r="AG11" s="76"/>
      <c r="AH11" s="76"/>
    </row>
    <row r="12" spans="1:34">
      <c r="A12" s="588">
        <v>3</v>
      </c>
      <c r="B12" s="590" t="s">
        <v>629</v>
      </c>
      <c r="C12" s="576" t="s">
        <v>630</v>
      </c>
      <c r="D12" s="74">
        <v>10</v>
      </c>
      <c r="E12" s="74" t="s">
        <v>2223</v>
      </c>
      <c r="F12" s="73" t="s">
        <v>2229</v>
      </c>
      <c r="G12" s="116">
        <v>6805.299</v>
      </c>
      <c r="H12" s="116">
        <v>21531054.264959</v>
      </c>
      <c r="I12" s="116">
        <v>6503.03</v>
      </c>
      <c r="J12" s="116">
        <v>22502762.638180699</v>
      </c>
      <c r="K12" s="116">
        <v>5600.4049999999997</v>
      </c>
      <c r="L12" s="116">
        <v>20640106.2219165</v>
      </c>
      <c r="M12" s="116">
        <v>6719.3819999999996</v>
      </c>
      <c r="N12" s="116">
        <v>3668136.7456548801</v>
      </c>
      <c r="O12" s="116">
        <v>5470.6350000000002</v>
      </c>
      <c r="P12" s="116">
        <v>28783082.084445201</v>
      </c>
      <c r="Q12" s="116">
        <v>7241.4887226800001</v>
      </c>
      <c r="R12" s="116">
        <v>34587085.733207002</v>
      </c>
      <c r="S12" s="116">
        <v>6070.9979999999996</v>
      </c>
      <c r="T12" s="116">
        <v>16142226.544740999</v>
      </c>
      <c r="U12" s="116">
        <v>5154.8549999999996</v>
      </c>
      <c r="V12" s="116">
        <v>29681829.809999999</v>
      </c>
      <c r="W12" s="116">
        <v>6284.4865</v>
      </c>
      <c r="X12" s="116">
        <v>21492813.9019439</v>
      </c>
      <c r="Y12" s="116">
        <v>6195.4049999999997</v>
      </c>
      <c r="Z12" s="116">
        <v>26738380.864936501</v>
      </c>
      <c r="AA12" s="116">
        <v>6107.3842500000001</v>
      </c>
      <c r="AB12" s="116">
        <v>31421211.780000001</v>
      </c>
      <c r="AC12" s="116">
        <v>5652.0252399999999</v>
      </c>
      <c r="AD12" s="116">
        <v>4059531.97</v>
      </c>
      <c r="AE12" s="116">
        <f>AC12+AA12+Y12+W12+U12+S12+Q12+O12+M12+K12+I12+G12</f>
        <v>73805.393712680001</v>
      </c>
      <c r="AF12" s="116">
        <f>AD12+AB12+Z12+X12+V12+T12+R12+P12+N12+L12+J12+H12</f>
        <v>261248222.55998471</v>
      </c>
      <c r="AG12" s="74" t="s">
        <v>619</v>
      </c>
      <c r="AH12" s="74" t="s">
        <v>619</v>
      </c>
    </row>
    <row r="13" spans="1:34">
      <c r="A13" s="612"/>
      <c r="B13" s="591"/>
      <c r="C13" s="584"/>
      <c r="D13" s="74">
        <v>66</v>
      </c>
      <c r="E13" s="74" t="s">
        <v>2223</v>
      </c>
      <c r="F13" s="73" t="s">
        <v>2230</v>
      </c>
      <c r="G13" s="116">
        <v>1766.7919999999999</v>
      </c>
      <c r="H13" s="116">
        <v>3675285.2744870801</v>
      </c>
      <c r="I13" s="116">
        <v>2218.5430000000001</v>
      </c>
      <c r="J13" s="116">
        <v>2743905.8835118399</v>
      </c>
      <c r="K13" s="116">
        <v>2424.14</v>
      </c>
      <c r="L13" s="116">
        <v>7948457.9207074903</v>
      </c>
      <c r="M13" s="116">
        <v>1293.6579999999999</v>
      </c>
      <c r="N13" s="116">
        <v>1414508.4571338701</v>
      </c>
      <c r="O13" s="116">
        <v>1280.394</v>
      </c>
      <c r="P13" s="116">
        <v>3227163.8671600898</v>
      </c>
      <c r="Q13" s="116">
        <v>1465.915</v>
      </c>
      <c r="R13" s="116">
        <v>2232640.6781875901</v>
      </c>
      <c r="S13" s="116">
        <v>1766.0419999999999</v>
      </c>
      <c r="T13" s="116">
        <v>5404900.8528938703</v>
      </c>
      <c r="U13" s="116">
        <v>1999.5150000000001</v>
      </c>
      <c r="V13" s="116">
        <v>6366457.7400000002</v>
      </c>
      <c r="W13" s="116">
        <v>1791.84</v>
      </c>
      <c r="X13" s="116">
        <v>7489627.4142410904</v>
      </c>
      <c r="Y13" s="116">
        <v>1974.097</v>
      </c>
      <c r="Z13" s="116">
        <v>5168197.1194980498</v>
      </c>
      <c r="AA13" s="116">
        <v>1959.9190000000001</v>
      </c>
      <c r="AB13" s="116">
        <v>6394163.9199999999</v>
      </c>
      <c r="AC13" s="116">
        <v>1627.44</v>
      </c>
      <c r="AD13" s="116">
        <v>1130589.68</v>
      </c>
      <c r="AE13" s="116">
        <f t="shared" ref="AE13:AF17" si="0">AC13+AA13+Y13+W13+U13+S13+Q13+O13+M13+K13+I13+G13</f>
        <v>21568.295000000002</v>
      </c>
      <c r="AF13" s="116">
        <f t="shared" si="0"/>
        <v>53195898.807820961</v>
      </c>
      <c r="AG13" s="74" t="s">
        <v>619</v>
      </c>
      <c r="AH13" s="74" t="s">
        <v>619</v>
      </c>
    </row>
    <row r="14" spans="1:34">
      <c r="A14" s="612"/>
      <c r="B14" s="591"/>
      <c r="C14" s="584"/>
      <c r="D14" s="74">
        <v>27</v>
      </c>
      <c r="E14" s="74" t="s">
        <v>2223</v>
      </c>
      <c r="F14" s="73" t="s">
        <v>2224</v>
      </c>
      <c r="G14" s="116">
        <v>180.08500000000001</v>
      </c>
      <c r="H14" s="116">
        <v>2341146.2400000002</v>
      </c>
      <c r="I14" s="116">
        <v>188.25399999999999</v>
      </c>
      <c r="J14" s="116">
        <v>273680.99728409498</v>
      </c>
      <c r="K14" s="116">
        <v>188.04499999999999</v>
      </c>
      <c r="L14" s="116">
        <v>3210469.4089954202</v>
      </c>
      <c r="M14" s="116">
        <v>170.83199999999999</v>
      </c>
      <c r="N14" s="116">
        <v>1426070.72402287</v>
      </c>
      <c r="O14" s="116">
        <v>194.41800000000001</v>
      </c>
      <c r="P14" s="116">
        <v>676282.50137976604</v>
      </c>
      <c r="Q14" s="116">
        <v>241.59</v>
      </c>
      <c r="R14" s="116">
        <v>2375377.6068582102</v>
      </c>
      <c r="S14" s="116">
        <v>257.67500000000001</v>
      </c>
      <c r="T14" s="116"/>
      <c r="U14" s="116">
        <v>230.07599999999999</v>
      </c>
      <c r="V14" s="116">
        <v>3269477.79</v>
      </c>
      <c r="W14" s="116">
        <v>230.03299999999999</v>
      </c>
      <c r="X14" s="116">
        <v>4258410.9817059599</v>
      </c>
      <c r="Y14" s="116">
        <v>207.56399999999999</v>
      </c>
      <c r="Z14" s="116">
        <v>4438894.2249960303</v>
      </c>
      <c r="AA14" s="116">
        <v>226.73500000000001</v>
      </c>
      <c r="AB14" s="116">
        <v>3328879.55</v>
      </c>
      <c r="AC14" s="116">
        <v>190.87200000000001</v>
      </c>
      <c r="AD14" s="116">
        <v>631169.69999999995</v>
      </c>
      <c r="AE14" s="116">
        <f t="shared" si="0"/>
        <v>2506.1789999999996</v>
      </c>
      <c r="AF14" s="116">
        <f t="shared" si="0"/>
        <v>26229859.725242347</v>
      </c>
      <c r="AG14" s="74" t="s">
        <v>619</v>
      </c>
      <c r="AH14" s="74" t="s">
        <v>619</v>
      </c>
    </row>
    <row r="15" spans="1:34">
      <c r="A15" s="612"/>
      <c r="B15" s="591"/>
      <c r="C15" s="584"/>
      <c r="D15" s="74">
        <v>44</v>
      </c>
      <c r="E15" s="74" t="s">
        <v>2226</v>
      </c>
      <c r="F15" s="73" t="s">
        <v>2231</v>
      </c>
      <c r="G15" s="116">
        <v>145.559</v>
      </c>
      <c r="H15" s="116">
        <v>-7551.3050721524296</v>
      </c>
      <c r="I15" s="116">
        <v>190.904</v>
      </c>
      <c r="J15" s="116">
        <v>444493.41215686698</v>
      </c>
      <c r="K15" s="116">
        <v>210.65199999999999</v>
      </c>
      <c r="L15" s="116">
        <v>469390.27182511101</v>
      </c>
      <c r="M15" s="116">
        <v>132.25700000000001</v>
      </c>
      <c r="N15" s="116">
        <v>101487.377569462</v>
      </c>
      <c r="O15" s="116">
        <v>95.89</v>
      </c>
      <c r="P15" s="116">
        <v>-3069.9284536619898</v>
      </c>
      <c r="Q15" s="116">
        <v>140.429</v>
      </c>
      <c r="R15" s="116">
        <v>577660.50867244205</v>
      </c>
      <c r="S15" s="116">
        <v>209.80699999999999</v>
      </c>
      <c r="T15" s="116">
        <v>935161.32885743305</v>
      </c>
      <c r="U15" s="116">
        <v>269.05700000000002</v>
      </c>
      <c r="V15" s="116">
        <v>860469.79</v>
      </c>
      <c r="W15" s="116">
        <v>245.28700000000001</v>
      </c>
      <c r="X15" s="116">
        <v>651074.34366893501</v>
      </c>
      <c r="Y15" s="116">
        <v>130.322</v>
      </c>
      <c r="Z15" s="116">
        <v>364126.90413530997</v>
      </c>
      <c r="AA15" s="116">
        <v>201.261</v>
      </c>
      <c r="AB15" s="116">
        <v>380569.11</v>
      </c>
      <c r="AC15" s="116">
        <v>314.17399999999998</v>
      </c>
      <c r="AD15" s="116">
        <v>640645.26</v>
      </c>
      <c r="AE15" s="116">
        <f t="shared" si="0"/>
        <v>2285.5990000000006</v>
      </c>
      <c r="AF15" s="116">
        <f t="shared" si="0"/>
        <v>5414457.0733597456</v>
      </c>
      <c r="AG15" s="74" t="s">
        <v>619</v>
      </c>
      <c r="AH15" s="74" t="s">
        <v>619</v>
      </c>
    </row>
    <row r="16" spans="1:34">
      <c r="A16" s="612"/>
      <c r="B16" s="591"/>
      <c r="C16" s="584"/>
      <c r="D16" s="74">
        <v>5</v>
      </c>
      <c r="E16" s="74" t="s">
        <v>2226</v>
      </c>
      <c r="F16" s="73" t="s">
        <v>2232</v>
      </c>
      <c r="G16" s="116">
        <v>1771.61</v>
      </c>
      <c r="H16" s="116">
        <v>5096240.5794437202</v>
      </c>
      <c r="I16" s="116">
        <v>1667.558</v>
      </c>
      <c r="J16" s="116">
        <v>4413266.29783973</v>
      </c>
      <c r="K16" s="116">
        <v>1478.059</v>
      </c>
      <c r="L16" s="116">
        <v>3999232.78271023</v>
      </c>
      <c r="M16" s="116">
        <v>1830.4749999999999</v>
      </c>
      <c r="N16" s="116">
        <v>1194344.4608578</v>
      </c>
      <c r="O16" s="116">
        <v>1617.1346000000001</v>
      </c>
      <c r="P16" s="116">
        <v>4947780.5419807304</v>
      </c>
      <c r="Q16" s="116">
        <v>1500.0630000000001</v>
      </c>
      <c r="R16" s="116">
        <v>10886890.8981009</v>
      </c>
      <c r="S16" s="116">
        <v>1840.1679999999999</v>
      </c>
      <c r="T16" s="116">
        <v>7805101.7761875298</v>
      </c>
      <c r="U16" s="116">
        <v>2100.4569999999999</v>
      </c>
      <c r="V16" s="116">
        <v>6302393.6200000001</v>
      </c>
      <c r="W16" s="116">
        <v>2019.1420000000001</v>
      </c>
      <c r="X16" s="116">
        <v>6323214.1728625996</v>
      </c>
      <c r="Y16" s="116">
        <v>1365.923</v>
      </c>
      <c r="Z16" s="116">
        <v>4826965.64669633</v>
      </c>
      <c r="AA16" s="116">
        <v>2152.88</v>
      </c>
      <c r="AB16" s="116">
        <v>8238533.9000000004</v>
      </c>
      <c r="AC16" s="116">
        <v>3010.3939999999998</v>
      </c>
      <c r="AD16" s="116">
        <v>5561890.6399999997</v>
      </c>
      <c r="AE16" s="116">
        <f t="shared" si="0"/>
        <v>22353.863600000001</v>
      </c>
      <c r="AF16" s="116">
        <f t="shared" si="0"/>
        <v>69595855.316679567</v>
      </c>
      <c r="AG16" s="74" t="s">
        <v>619</v>
      </c>
      <c r="AH16" s="74" t="s">
        <v>619</v>
      </c>
    </row>
    <row r="17" spans="1:34">
      <c r="A17" s="589"/>
      <c r="B17" s="592"/>
      <c r="C17" s="577"/>
      <c r="D17" s="74">
        <v>65</v>
      </c>
      <c r="E17" s="74" t="s">
        <v>2226</v>
      </c>
      <c r="F17" s="73" t="s">
        <v>2233</v>
      </c>
      <c r="G17" s="116">
        <v>1102.0920000000001</v>
      </c>
      <c r="H17" s="116">
        <v>1150936.6634837899</v>
      </c>
      <c r="I17" s="116">
        <v>509.209</v>
      </c>
      <c r="J17" s="116">
        <v>660635.55493440898</v>
      </c>
      <c r="K17" s="116">
        <v>255.46700000000001</v>
      </c>
      <c r="L17" s="116">
        <v>396472.57386668603</v>
      </c>
      <c r="M17" s="116">
        <v>277.57400000000001</v>
      </c>
      <c r="N17" s="116">
        <v>195042.25227204399</v>
      </c>
      <c r="O17" s="116">
        <v>1263.4290000000001</v>
      </c>
      <c r="P17" s="116">
        <v>77256.7842829812</v>
      </c>
      <c r="Q17" s="116">
        <v>1189.931</v>
      </c>
      <c r="R17" s="116">
        <v>754051.14721930597</v>
      </c>
      <c r="S17" s="116">
        <v>-533.85799999999995</v>
      </c>
      <c r="T17" s="116">
        <v>192107.71937451299</v>
      </c>
      <c r="U17" s="116">
        <v>-511.80099999999999</v>
      </c>
      <c r="V17" s="116">
        <v>-115306.35</v>
      </c>
      <c r="W17" s="116">
        <v>434.45</v>
      </c>
      <c r="X17" s="116">
        <v>208178.589366222</v>
      </c>
      <c r="Y17" s="116">
        <v>2414.306</v>
      </c>
      <c r="Z17" s="116">
        <v>1568133.80799761</v>
      </c>
      <c r="AA17" s="116">
        <v>914.55100000000004</v>
      </c>
      <c r="AB17" s="116">
        <v>768900.79</v>
      </c>
      <c r="AC17" s="116">
        <v>904.33699999999999</v>
      </c>
      <c r="AD17" s="116">
        <v>149411.21</v>
      </c>
      <c r="AE17" s="116">
        <f t="shared" si="0"/>
        <v>8219.6869999999981</v>
      </c>
      <c r="AF17" s="116">
        <f t="shared" si="0"/>
        <v>6005820.7427975601</v>
      </c>
      <c r="AG17" s="74" t="s">
        <v>619</v>
      </c>
      <c r="AH17" s="74" t="s">
        <v>619</v>
      </c>
    </row>
    <row r="18" spans="1:34">
      <c r="A18" s="571">
        <v>4</v>
      </c>
      <c r="B18" s="574" t="s">
        <v>634</v>
      </c>
      <c r="C18" s="571" t="s">
        <v>630</v>
      </c>
      <c r="D18" s="76" t="s">
        <v>2234</v>
      </c>
      <c r="E18" s="76" t="s">
        <v>2223</v>
      </c>
      <c r="F18" s="77" t="s">
        <v>2235</v>
      </c>
      <c r="G18" s="117">
        <v>2100.8200000000002</v>
      </c>
      <c r="H18" s="117"/>
      <c r="I18" s="117">
        <v>1773.37</v>
      </c>
      <c r="J18" s="117"/>
      <c r="K18" s="117">
        <v>1968.7</v>
      </c>
      <c r="L18" s="117"/>
      <c r="M18" s="117">
        <v>2014.59</v>
      </c>
      <c r="N18" s="117"/>
      <c r="O18" s="117">
        <v>1917.36</v>
      </c>
      <c r="P18" s="117"/>
      <c r="Q18" s="117">
        <v>1793.74</v>
      </c>
      <c r="R18" s="117" t="s">
        <v>2236</v>
      </c>
      <c r="S18" s="117">
        <v>1790.9</v>
      </c>
      <c r="T18" s="117"/>
      <c r="U18" s="117">
        <v>1891.48</v>
      </c>
      <c r="V18" s="117"/>
      <c r="W18" s="117">
        <v>1869.93</v>
      </c>
      <c r="X18" s="117"/>
      <c r="Y18" s="117">
        <v>1834.26</v>
      </c>
      <c r="Z18" s="117"/>
      <c r="AA18" s="117">
        <v>1740.2</v>
      </c>
      <c r="AB18" s="117"/>
      <c r="AC18" s="117">
        <v>1854.52</v>
      </c>
      <c r="AD18" s="117"/>
      <c r="AE18" s="150">
        <f>AC18+AA18+Y18+W18+U18+S18+Q18+O18+M18+K18+I18+G18</f>
        <v>22549.87</v>
      </c>
      <c r="AF18" s="151">
        <v>0</v>
      </c>
      <c r="AG18" s="76"/>
      <c r="AH18" s="76"/>
    </row>
    <row r="19" spans="1:34">
      <c r="A19" s="573"/>
      <c r="B19" s="575"/>
      <c r="C19" s="573"/>
      <c r="D19" s="76" t="s">
        <v>2237</v>
      </c>
      <c r="E19" s="117" t="s">
        <v>2226</v>
      </c>
      <c r="F19" s="152" t="s">
        <v>2228</v>
      </c>
      <c r="G19" s="117">
        <v>8078.9</v>
      </c>
      <c r="H19" s="117"/>
      <c r="I19" s="117">
        <v>7309.09</v>
      </c>
      <c r="J19" s="117"/>
      <c r="K19" s="117">
        <v>8162.75</v>
      </c>
      <c r="L19" s="117"/>
      <c r="M19" s="117">
        <v>8722.5400000000009</v>
      </c>
      <c r="N19" s="117"/>
      <c r="O19" s="117">
        <v>8169.72</v>
      </c>
      <c r="P19" s="117"/>
      <c r="Q19" s="117">
        <v>8197.2900000000009</v>
      </c>
      <c r="R19" s="117"/>
      <c r="S19" s="117">
        <v>7775.55</v>
      </c>
      <c r="T19" s="117"/>
      <c r="U19" s="117">
        <v>8769.77</v>
      </c>
      <c r="V19" s="117"/>
      <c r="W19" s="117">
        <v>8026.48</v>
      </c>
      <c r="X19" s="117"/>
      <c r="Y19" s="117">
        <v>8671.27</v>
      </c>
      <c r="Z19" s="117"/>
      <c r="AA19" s="117">
        <v>8394.76</v>
      </c>
      <c r="AB19" s="117"/>
      <c r="AC19" s="117">
        <v>8560.7999999999993</v>
      </c>
      <c r="AD19" s="117"/>
      <c r="AE19" s="150">
        <f>AC19+AA19+Y19+W19+U19+S19+Q19+O19+M19+K19+I19+G19</f>
        <v>98838.919999999984</v>
      </c>
      <c r="AF19" s="151">
        <f>AD19+AB19+Z19+X19+V19+T19+R19+P19+N19+L19+J19+H19</f>
        <v>0</v>
      </c>
      <c r="AG19" s="76"/>
      <c r="AH19" s="76"/>
    </row>
    <row r="20" spans="1:34">
      <c r="A20" s="576">
        <v>5</v>
      </c>
      <c r="B20" s="590" t="s">
        <v>643</v>
      </c>
      <c r="C20" s="588" t="s">
        <v>644</v>
      </c>
      <c r="D20" s="74" t="s">
        <v>2238</v>
      </c>
      <c r="E20" s="74" t="s">
        <v>2223</v>
      </c>
      <c r="F20" s="73" t="s">
        <v>2239</v>
      </c>
      <c r="G20" s="116">
        <v>823.93299999999999</v>
      </c>
      <c r="H20" s="116">
        <v>5987854.5700000003</v>
      </c>
      <c r="I20" s="116">
        <v>591.596</v>
      </c>
      <c r="J20" s="116">
        <v>6149865.4500000002</v>
      </c>
      <c r="K20" s="116">
        <v>739.98800000000006</v>
      </c>
      <c r="L20" s="116">
        <v>7359584.7300000004</v>
      </c>
      <c r="M20" s="116">
        <v>789.63699999999994</v>
      </c>
      <c r="N20" s="116">
        <v>9738038.1799999997</v>
      </c>
      <c r="O20" s="116">
        <v>772.28899999999999</v>
      </c>
      <c r="P20" s="116">
        <v>8028852.9100000001</v>
      </c>
      <c r="Q20" s="116">
        <v>693.24400000000003</v>
      </c>
      <c r="R20" s="116">
        <v>8055033.29</v>
      </c>
      <c r="S20" s="116">
        <v>587.28599999999994</v>
      </c>
      <c r="T20" s="116">
        <v>8806902.8900000006</v>
      </c>
      <c r="U20" s="116">
        <v>614.42100000000005</v>
      </c>
      <c r="V20" s="116">
        <v>8382929.0099999998</v>
      </c>
      <c r="W20" s="116">
        <v>601.56299999999999</v>
      </c>
      <c r="X20" s="116">
        <v>9478166.7799999993</v>
      </c>
      <c r="Y20" s="116">
        <v>607.78099999999995</v>
      </c>
      <c r="Z20" s="116">
        <v>7379229.0199999996</v>
      </c>
      <c r="AA20" s="116">
        <v>603.75099999999998</v>
      </c>
      <c r="AB20" s="116">
        <v>8590957.7300000004</v>
      </c>
      <c r="AC20" s="116">
        <v>601.86400000000003</v>
      </c>
      <c r="AD20" s="116">
        <v>7194343.8700000001</v>
      </c>
      <c r="AE20" s="116">
        <f t="shared" ref="AE20:AF21" si="1">AC20+AA20+Y20+W20+U20+S20+Q20+O20+M20+K20+I20+G20</f>
        <v>8027.3530000000001</v>
      </c>
      <c r="AF20" s="116">
        <f t="shared" si="1"/>
        <v>95151758.430000007</v>
      </c>
      <c r="AG20" s="576" t="s">
        <v>2240</v>
      </c>
      <c r="AH20" s="576" t="s">
        <v>1096</v>
      </c>
    </row>
    <row r="21" spans="1:34">
      <c r="A21" s="577"/>
      <c r="B21" s="592"/>
      <c r="C21" s="589"/>
      <c r="D21" s="74" t="s">
        <v>2237</v>
      </c>
      <c r="E21" s="74" t="s">
        <v>2226</v>
      </c>
      <c r="F21" s="73" t="s">
        <v>2228</v>
      </c>
      <c r="G21" s="116">
        <v>7544.4579999999996</v>
      </c>
      <c r="H21" s="116">
        <v>19347905.969999999</v>
      </c>
      <c r="I21" s="116">
        <v>6732.3389999999999</v>
      </c>
      <c r="J21" s="116">
        <v>19502792.239999998</v>
      </c>
      <c r="K21" s="116">
        <v>7541.1279999999997</v>
      </c>
      <c r="L21" s="116">
        <v>18132912.16</v>
      </c>
      <c r="M21" s="116">
        <v>7613.2110000000002</v>
      </c>
      <c r="N21" s="116">
        <v>22039374.239999998</v>
      </c>
      <c r="O21" s="116">
        <v>7486.5839999999998</v>
      </c>
      <c r="P21" s="116">
        <v>17206116.800000001</v>
      </c>
      <c r="Q21" s="116">
        <v>7004.3940000000002</v>
      </c>
      <c r="R21" s="116">
        <v>21351208.359999999</v>
      </c>
      <c r="S21" s="116">
        <v>7683.8140000000003</v>
      </c>
      <c r="T21" s="116">
        <v>22349112.27</v>
      </c>
      <c r="U21" s="116">
        <v>6531.768</v>
      </c>
      <c r="V21" s="116">
        <v>24545135.940000001</v>
      </c>
      <c r="W21" s="116">
        <v>6901.2830000000004</v>
      </c>
      <c r="X21" s="116">
        <v>24450583.879999999</v>
      </c>
      <c r="Y21" s="116">
        <v>6423.1809999999996</v>
      </c>
      <c r="Z21" s="116">
        <v>25494703.719999999</v>
      </c>
      <c r="AA21" s="116">
        <v>6033.0770000000002</v>
      </c>
      <c r="AB21" s="116">
        <v>24773206.07</v>
      </c>
      <c r="AC21" s="116">
        <v>4027.7660000000001</v>
      </c>
      <c r="AD21" s="116">
        <v>31103652.550000001</v>
      </c>
      <c r="AE21" s="116">
        <f t="shared" si="1"/>
        <v>81523.003000000012</v>
      </c>
      <c r="AF21" s="116">
        <f t="shared" si="1"/>
        <v>270296704.20000005</v>
      </c>
      <c r="AG21" s="577"/>
      <c r="AH21" s="577"/>
    </row>
    <row r="22" spans="1:34">
      <c r="A22" s="571">
        <v>6</v>
      </c>
      <c r="B22" s="608" t="s">
        <v>648</v>
      </c>
      <c r="C22" s="571" t="s">
        <v>649</v>
      </c>
      <c r="D22" s="76" t="s">
        <v>2241</v>
      </c>
      <c r="E22" s="76" t="s">
        <v>2223</v>
      </c>
      <c r="F22" s="77" t="s">
        <v>2242</v>
      </c>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v>0</v>
      </c>
      <c r="AF22" s="117">
        <v>0</v>
      </c>
      <c r="AG22" s="76"/>
      <c r="AH22" s="76"/>
    </row>
    <row r="23" spans="1:34">
      <c r="A23" s="573"/>
      <c r="B23" s="609"/>
      <c r="C23" s="573"/>
      <c r="D23" s="76" t="s">
        <v>2243</v>
      </c>
      <c r="E23" s="76" t="s">
        <v>2244</v>
      </c>
      <c r="F23" s="77" t="s">
        <v>2242</v>
      </c>
      <c r="G23" s="117"/>
      <c r="H23" s="117"/>
      <c r="I23" s="117"/>
      <c r="J23" s="117"/>
      <c r="K23" s="117"/>
      <c r="L23" s="117"/>
      <c r="M23" s="117"/>
      <c r="N23" s="117"/>
      <c r="O23" s="117"/>
      <c r="P23" s="117"/>
      <c r="Q23" s="117"/>
      <c r="R23" s="117"/>
      <c r="S23" s="117"/>
      <c r="T23" s="117"/>
      <c r="U23" s="117"/>
      <c r="V23" s="117"/>
      <c r="W23" s="117"/>
      <c r="X23" s="117"/>
      <c r="Y23" s="117"/>
      <c r="Z23" s="117"/>
      <c r="AA23" s="117"/>
      <c r="AB23" s="117"/>
      <c r="AC23" s="117"/>
      <c r="AD23" s="117"/>
      <c r="AE23" s="117">
        <v>0</v>
      </c>
      <c r="AF23" s="117">
        <v>0</v>
      </c>
      <c r="AG23" s="76"/>
      <c r="AH23" s="76"/>
    </row>
    <row r="24" spans="1:34">
      <c r="A24" s="74">
        <v>7</v>
      </c>
      <c r="B24" s="73" t="s">
        <v>654</v>
      </c>
      <c r="C24" s="74" t="s">
        <v>655</v>
      </c>
      <c r="D24" s="74" t="s">
        <v>2245</v>
      </c>
      <c r="E24" s="74" t="s">
        <v>2226</v>
      </c>
      <c r="F24" s="73" t="s">
        <v>2246</v>
      </c>
      <c r="G24" s="116">
        <v>8744</v>
      </c>
      <c r="H24" s="116">
        <v>37985483.391420655</v>
      </c>
      <c r="I24" s="116">
        <v>9005</v>
      </c>
      <c r="J24" s="116">
        <v>39119313.579568051</v>
      </c>
      <c r="K24" s="116">
        <v>7803</v>
      </c>
      <c r="L24" s="116">
        <v>33897612.86633753</v>
      </c>
      <c r="M24" s="116">
        <v>8714</v>
      </c>
      <c r="N24" s="116">
        <v>37855158.082438201</v>
      </c>
      <c r="O24" s="116">
        <v>8768</v>
      </c>
      <c r="P24" s="116">
        <v>38089743.638606623</v>
      </c>
      <c r="Q24" s="116">
        <v>6919</v>
      </c>
      <c r="R24" s="116">
        <v>30057360.428321082</v>
      </c>
      <c r="S24" s="116">
        <v>8985</v>
      </c>
      <c r="T24" s="116">
        <v>39032430.040246412</v>
      </c>
      <c r="U24" s="116">
        <v>8446</v>
      </c>
      <c r="V24" s="116">
        <v>36690918.655528232</v>
      </c>
      <c r="W24" s="116">
        <v>5274</v>
      </c>
      <c r="X24" s="116">
        <v>22911189.319116257</v>
      </c>
      <c r="Y24" s="116">
        <v>7247</v>
      </c>
      <c r="Z24" s="116">
        <v>31482250.473195963</v>
      </c>
      <c r="AA24" s="116">
        <v>5160</v>
      </c>
      <c r="AB24" s="116">
        <v>22415953.144982915</v>
      </c>
      <c r="AC24" s="116">
        <v>5482</v>
      </c>
      <c r="AD24" s="116">
        <v>23814778.128061306</v>
      </c>
      <c r="AE24" s="116">
        <f t="shared" ref="AE24" si="2">AC24+AA24+Y24+W24+U24+S24+Q24+O24+M24+K24+I24+G24</f>
        <v>90547</v>
      </c>
      <c r="AF24" s="116">
        <f t="shared" ref="AF24" si="3">AD24+AB24+Z24+X24+V24+T24+R24+P24+N24+L24+J24+H24</f>
        <v>393352191.7478233</v>
      </c>
      <c r="AG24" s="74"/>
      <c r="AH24" s="74"/>
    </row>
    <row r="25" spans="1:34">
      <c r="A25" s="76">
        <v>8</v>
      </c>
      <c r="B25" s="77" t="s">
        <v>656</v>
      </c>
      <c r="C25" s="76" t="s">
        <v>657</v>
      </c>
      <c r="D25" s="76" t="s">
        <v>2247</v>
      </c>
      <c r="E25" s="76" t="s">
        <v>2248</v>
      </c>
      <c r="F25" s="77" t="s">
        <v>2249</v>
      </c>
      <c r="G25" s="117">
        <v>1.8306419761499999</v>
      </c>
      <c r="H25" s="117">
        <v>33636945.150514722</v>
      </c>
      <c r="I25" s="117">
        <v>1.742902939603</v>
      </c>
      <c r="J25" s="117">
        <v>34555627.910000011</v>
      </c>
      <c r="K25" s="117">
        <v>1.65777617305</v>
      </c>
      <c r="L25" s="117">
        <v>36584029.77062171</v>
      </c>
      <c r="M25" s="117">
        <v>1.966541076006</v>
      </c>
      <c r="N25" s="117">
        <v>42293925.341238037</v>
      </c>
      <c r="O25" s="117">
        <v>1.6220000000000001</v>
      </c>
      <c r="P25" s="117">
        <v>35571261.297131211</v>
      </c>
      <c r="Q25" s="117">
        <v>2.0460732693299999</v>
      </c>
      <c r="R25" s="117">
        <v>36608276.068335377</v>
      </c>
      <c r="S25" s="117">
        <v>2.1371805516000002</v>
      </c>
      <c r="T25" s="117">
        <v>15901515.650000002</v>
      </c>
      <c r="U25" s="117">
        <v>1.81787644239</v>
      </c>
      <c r="V25" s="117">
        <v>48855511.339999989</v>
      </c>
      <c r="W25" s="117">
        <v>1.7797302536270001</v>
      </c>
      <c r="X25" s="117">
        <v>53796287.280000001</v>
      </c>
      <c r="Y25" s="117">
        <v>1.65350868451</v>
      </c>
      <c r="Z25" s="117">
        <v>37629208.859999999</v>
      </c>
      <c r="AA25" s="117">
        <v>2.4173336560724001</v>
      </c>
      <c r="AB25" s="117">
        <v>34597023.340000004</v>
      </c>
      <c r="AC25" s="117">
        <v>2.6412549331699999</v>
      </c>
      <c r="AD25" s="117">
        <v>44255088.75999999</v>
      </c>
      <c r="AE25" s="150">
        <f>AC25+AA25+Y25+W25+U25+S25+Q25+O25+M25+K25+I25+G25</f>
        <v>23.312819955508395</v>
      </c>
      <c r="AF25" s="151">
        <f>AD25+AB25+Z25+X25+V25+T25+R25+P25+N25+L25+J25+H25</f>
        <v>454284700.7678411</v>
      </c>
      <c r="AG25" s="76"/>
      <c r="AH25" s="76"/>
    </row>
    <row r="26" spans="1:34">
      <c r="A26" s="576">
        <v>9</v>
      </c>
      <c r="B26" s="590" t="s">
        <v>662</v>
      </c>
      <c r="C26" s="576" t="s">
        <v>663</v>
      </c>
      <c r="D26" s="74" t="s">
        <v>2250</v>
      </c>
      <c r="E26" s="74" t="s">
        <v>2223</v>
      </c>
      <c r="F26" s="73" t="s">
        <v>2224</v>
      </c>
      <c r="G26" s="116"/>
      <c r="H26" s="116"/>
      <c r="I26" s="116">
        <v>5.4135</v>
      </c>
      <c r="J26" s="116"/>
      <c r="K26" s="116">
        <v>2.2549999999999999</v>
      </c>
      <c r="L26" s="116"/>
      <c r="M26" s="116">
        <v>12.76</v>
      </c>
      <c r="N26" s="116"/>
      <c r="O26" s="116">
        <v>11.04</v>
      </c>
      <c r="P26" s="116"/>
      <c r="Q26" s="116">
        <v>4.76</v>
      </c>
      <c r="R26" s="116"/>
      <c r="S26" s="116">
        <v>4.9995000000000003</v>
      </c>
      <c r="T26" s="116"/>
      <c r="U26" s="116">
        <v>11.857500000000002</v>
      </c>
      <c r="V26" s="116"/>
      <c r="W26" s="116">
        <v>2.1802500000000014</v>
      </c>
      <c r="X26" s="116"/>
      <c r="Y26" s="116">
        <v>2.4277500000000001</v>
      </c>
      <c r="Z26" s="116"/>
      <c r="AA26" s="116">
        <v>2.2427999999999999</v>
      </c>
      <c r="AB26" s="116"/>
      <c r="AC26" s="116">
        <v>3.78165</v>
      </c>
      <c r="AD26" s="116"/>
      <c r="AE26" s="116">
        <f t="shared" ref="AE26:AF29" si="4">AC26+AA26+Y26+W26+U26+S26+Q26+O26+M26+K26+I26+G26</f>
        <v>63.717950000000002</v>
      </c>
      <c r="AF26" s="116">
        <f t="shared" si="4"/>
        <v>0</v>
      </c>
      <c r="AG26" s="74"/>
      <c r="AH26" s="74"/>
    </row>
    <row r="27" spans="1:34">
      <c r="A27" s="584"/>
      <c r="B27" s="591"/>
      <c r="C27" s="584"/>
      <c r="D27" s="74" t="s">
        <v>2251</v>
      </c>
      <c r="E27" s="74" t="s">
        <v>2226</v>
      </c>
      <c r="F27" s="73" t="s">
        <v>2252</v>
      </c>
      <c r="G27" s="116"/>
      <c r="H27" s="116"/>
      <c r="I27" s="116"/>
      <c r="J27" s="116"/>
      <c r="K27" s="116"/>
      <c r="L27" s="116"/>
      <c r="M27" s="116"/>
      <c r="N27" s="116"/>
      <c r="O27" s="116"/>
      <c r="P27" s="116"/>
      <c r="Q27" s="116">
        <v>54.04</v>
      </c>
      <c r="R27" s="116"/>
      <c r="S27" s="116"/>
      <c r="T27" s="116"/>
      <c r="U27" s="116"/>
      <c r="V27" s="116"/>
      <c r="W27" s="116"/>
      <c r="X27" s="116"/>
      <c r="Y27" s="116"/>
      <c r="Z27" s="116"/>
      <c r="AA27" s="116"/>
      <c r="AB27" s="116"/>
      <c r="AC27" s="116">
        <v>4.12</v>
      </c>
      <c r="AD27" s="116"/>
      <c r="AE27" s="116">
        <f t="shared" si="4"/>
        <v>58.16</v>
      </c>
      <c r="AF27" s="116">
        <f t="shared" si="4"/>
        <v>0</v>
      </c>
      <c r="AG27" s="74"/>
      <c r="AH27" s="74"/>
    </row>
    <row r="28" spans="1:34">
      <c r="A28" s="584"/>
      <c r="B28" s="591"/>
      <c r="C28" s="584"/>
      <c r="D28" s="74" t="s">
        <v>2253</v>
      </c>
      <c r="E28" s="74" t="s">
        <v>2226</v>
      </c>
      <c r="F28" s="73" t="s">
        <v>2227</v>
      </c>
      <c r="G28" s="116"/>
      <c r="H28" s="116"/>
      <c r="I28" s="116"/>
      <c r="J28" s="116"/>
      <c r="K28" s="116"/>
      <c r="L28" s="116"/>
      <c r="M28" s="116"/>
      <c r="N28" s="116"/>
      <c r="O28" s="116"/>
      <c r="P28" s="116"/>
      <c r="Q28" s="116">
        <v>16.7</v>
      </c>
      <c r="R28" s="116"/>
      <c r="S28" s="116"/>
      <c r="T28" s="116"/>
      <c r="U28" s="116"/>
      <c r="V28" s="116"/>
      <c r="W28" s="116"/>
      <c r="X28" s="116"/>
      <c r="Y28" s="116"/>
      <c r="Z28" s="116"/>
      <c r="AA28" s="116"/>
      <c r="AB28" s="116"/>
      <c r="AC28" s="116"/>
      <c r="AD28" s="116"/>
      <c r="AE28" s="116">
        <f t="shared" si="4"/>
        <v>16.7</v>
      </c>
      <c r="AF28" s="116">
        <f t="shared" si="4"/>
        <v>0</v>
      </c>
      <c r="AG28" s="74"/>
      <c r="AH28" s="74"/>
    </row>
    <row r="29" spans="1:34">
      <c r="A29" s="577"/>
      <c r="B29" s="592"/>
      <c r="C29" s="577"/>
      <c r="D29" s="74" t="s">
        <v>2237</v>
      </c>
      <c r="E29" s="74" t="s">
        <v>2226</v>
      </c>
      <c r="F29" s="73" t="s">
        <v>2228</v>
      </c>
      <c r="G29" s="116">
        <v>952.529</v>
      </c>
      <c r="H29" s="116"/>
      <c r="I29" s="116">
        <v>1003.1215</v>
      </c>
      <c r="J29" s="116"/>
      <c r="K29" s="116">
        <v>1241.0520000000001</v>
      </c>
      <c r="L29" s="116"/>
      <c r="M29" s="116">
        <v>873.31100000000004</v>
      </c>
      <c r="N29" s="116"/>
      <c r="O29" s="116">
        <v>1010.086</v>
      </c>
      <c r="P29" s="116"/>
      <c r="Q29" s="116">
        <v>1022.337</v>
      </c>
      <c r="R29" s="116"/>
      <c r="S29" s="116">
        <v>1058.5</v>
      </c>
      <c r="T29" s="116"/>
      <c r="U29" s="116">
        <v>1148.6568</v>
      </c>
      <c r="V29" s="116"/>
      <c r="W29" s="116">
        <v>777.74964</v>
      </c>
      <c r="X29" s="116"/>
      <c r="Y29" s="116">
        <v>739.04359999999997</v>
      </c>
      <c r="Z29" s="116"/>
      <c r="AA29" s="116">
        <v>511.64067999999997</v>
      </c>
      <c r="AB29" s="116"/>
      <c r="AC29" s="116">
        <v>560.07944999999995</v>
      </c>
      <c r="AD29" s="116"/>
      <c r="AE29" s="116">
        <f t="shared" si="4"/>
        <v>10898.106669999999</v>
      </c>
      <c r="AF29" s="116">
        <f t="shared" si="4"/>
        <v>0</v>
      </c>
      <c r="AG29" s="74"/>
      <c r="AH29" s="74"/>
    </row>
    <row r="30" spans="1:34">
      <c r="A30" s="571">
        <v>10</v>
      </c>
      <c r="B30" s="574" t="s">
        <v>666</v>
      </c>
      <c r="C30" s="571" t="s">
        <v>667</v>
      </c>
      <c r="D30" s="76" t="s">
        <v>2250</v>
      </c>
      <c r="E30" s="76" t="s">
        <v>2223</v>
      </c>
      <c r="F30" s="77" t="s">
        <v>2224</v>
      </c>
      <c r="G30" s="117">
        <v>896</v>
      </c>
      <c r="H30" s="117">
        <v>8729469.1992247496</v>
      </c>
      <c r="I30" s="117">
        <v>1445</v>
      </c>
      <c r="J30" s="117">
        <v>12349194.151026538</v>
      </c>
      <c r="K30" s="117">
        <v>1549</v>
      </c>
      <c r="L30" s="117">
        <v>13426282.273734959</v>
      </c>
      <c r="M30" s="117">
        <v>1256</v>
      </c>
      <c r="N30" s="117">
        <v>13206218.272254188</v>
      </c>
      <c r="O30" s="117">
        <v>1273</v>
      </c>
      <c r="P30" s="117">
        <v>11654629.193993947</v>
      </c>
      <c r="Q30" s="117">
        <v>1233</v>
      </c>
      <c r="R30" s="117">
        <v>11385300.266145969</v>
      </c>
      <c r="S30" s="117">
        <v>1237.2849518258495</v>
      </c>
      <c r="T30" s="117">
        <v>12876303.419104813</v>
      </c>
      <c r="U30" s="117">
        <v>1362.1561592268633</v>
      </c>
      <c r="V30" s="117">
        <v>14129756.328095503</v>
      </c>
      <c r="W30" s="117">
        <v>1248</v>
      </c>
      <c r="X30" s="117">
        <v>13715401.233280938</v>
      </c>
      <c r="Y30" s="117">
        <v>1021</v>
      </c>
      <c r="Z30" s="117">
        <v>12977308.371029781</v>
      </c>
      <c r="AA30" s="117">
        <v>1028</v>
      </c>
      <c r="AB30" s="117">
        <v>11664530.738418533</v>
      </c>
      <c r="AC30" s="117">
        <v>1108</v>
      </c>
      <c r="AD30" s="117">
        <v>17990733.621682756</v>
      </c>
      <c r="AE30" s="150">
        <f>AC30+AA30+Y30+W30+U30+S30+Q30+O30+M30+K30+I30+G30</f>
        <v>14656.441111052713</v>
      </c>
      <c r="AF30" s="151">
        <f>AD30+AB30+Z30+X30+V30+T30+R30+P30+N30+L30+J30+H30</f>
        <v>154105127.06799266</v>
      </c>
      <c r="AG30" s="76"/>
      <c r="AH30" s="76"/>
    </row>
    <row r="31" spans="1:34">
      <c r="A31" s="573"/>
      <c r="B31" s="575"/>
      <c r="C31" s="573"/>
      <c r="D31" s="76" t="s">
        <v>2237</v>
      </c>
      <c r="E31" s="76" t="s">
        <v>2226</v>
      </c>
      <c r="F31" s="77" t="s">
        <v>2228</v>
      </c>
      <c r="G31" s="117">
        <v>2271</v>
      </c>
      <c r="H31" s="117">
        <v>11730424.313394874</v>
      </c>
      <c r="I31" s="117">
        <v>1455</v>
      </c>
      <c r="J31" s="117">
        <v>10797157.342759104</v>
      </c>
      <c r="K31" s="117">
        <v>1605</v>
      </c>
      <c r="L31" s="117">
        <v>11386373.916700855</v>
      </c>
      <c r="M31" s="117">
        <v>2875</v>
      </c>
      <c r="N31" s="117">
        <v>16380382.257208636</v>
      </c>
      <c r="O31" s="117">
        <v>2891</v>
      </c>
      <c r="P31" s="117">
        <v>14203158.916775327</v>
      </c>
      <c r="Q31" s="117">
        <v>2761</v>
      </c>
      <c r="R31" s="117">
        <v>12937523.389612703</v>
      </c>
      <c r="S31" s="117">
        <v>2656.95</v>
      </c>
      <c r="T31" s="117">
        <v>18918177.509242743</v>
      </c>
      <c r="U31" s="117">
        <v>2788.8849999999998</v>
      </c>
      <c r="V31" s="117">
        <v>24895371.222591471</v>
      </c>
      <c r="W31" s="117">
        <v>2796</v>
      </c>
      <c r="X31" s="117">
        <v>26078463.37330696</v>
      </c>
      <c r="Y31" s="117">
        <v>3834</v>
      </c>
      <c r="Z31" s="117">
        <v>23789204.831123468</v>
      </c>
      <c r="AA31" s="117">
        <v>3791</v>
      </c>
      <c r="AB31" s="117">
        <v>29013978.501833394</v>
      </c>
      <c r="AC31" s="117">
        <v>3577</v>
      </c>
      <c r="AD31" s="117">
        <v>25781268.3753509</v>
      </c>
      <c r="AE31" s="150">
        <f>AC31+AA31+Y31+W31+U31+S31+Q31+O31+M31+K31+I31+G31</f>
        <v>33301.834999999999</v>
      </c>
      <c r="AF31" s="151">
        <f>AD31+AB31+Z31+X31+V31+T31+R31+P31+N31+L31+J31+H31</f>
        <v>225911483.94990045</v>
      </c>
      <c r="AG31" s="76"/>
      <c r="AH31" s="76"/>
    </row>
    <row r="32" spans="1:34">
      <c r="A32" s="576">
        <v>11</v>
      </c>
      <c r="B32" s="590" t="s">
        <v>670</v>
      </c>
      <c r="C32" s="576" t="s">
        <v>671</v>
      </c>
      <c r="D32" s="74" t="s">
        <v>2234</v>
      </c>
      <c r="E32" s="74" t="s">
        <v>2223</v>
      </c>
      <c r="F32" s="73" t="s">
        <v>2235</v>
      </c>
      <c r="G32" s="116">
        <v>810000</v>
      </c>
      <c r="H32" s="116">
        <v>342649.17</v>
      </c>
      <c r="I32" s="116">
        <v>975000</v>
      </c>
      <c r="J32" s="116">
        <v>402152.82</v>
      </c>
      <c r="K32" s="116">
        <v>1605347</v>
      </c>
      <c r="L32" s="116">
        <v>666545.19999999995</v>
      </c>
      <c r="M32" s="116">
        <v>1004154</v>
      </c>
      <c r="N32" s="116">
        <v>416736.91</v>
      </c>
      <c r="O32" s="116">
        <v>521526</v>
      </c>
      <c r="P32" s="116">
        <v>227813.33</v>
      </c>
      <c r="Q32" s="116">
        <v>367556</v>
      </c>
      <c r="R32" s="116">
        <v>163243.29999999999</v>
      </c>
      <c r="S32" s="116">
        <v>1863522</v>
      </c>
      <c r="T32" s="116">
        <v>731264.5</v>
      </c>
      <c r="U32" s="116">
        <v>1326466</v>
      </c>
      <c r="V32" s="116">
        <v>461322.45</v>
      </c>
      <c r="W32" s="116">
        <v>1097902</v>
      </c>
      <c r="X32" s="116">
        <v>364395.49</v>
      </c>
      <c r="Y32" s="116">
        <v>968434</v>
      </c>
      <c r="Z32" s="116">
        <v>371234.29</v>
      </c>
      <c r="AA32" s="116">
        <v>772585</v>
      </c>
      <c r="AB32" s="116">
        <v>264993</v>
      </c>
      <c r="AC32" s="116">
        <v>1432496</v>
      </c>
      <c r="AD32" s="116">
        <v>489950.92</v>
      </c>
      <c r="AE32" s="116">
        <f t="shared" ref="AE32:AF33" si="5">AC32+AA32+Y32+W32+U32+S32+Q32+O32+M32+K32+I32+G32</f>
        <v>12744988</v>
      </c>
      <c r="AF32" s="116">
        <f t="shared" si="5"/>
        <v>4902301.38</v>
      </c>
      <c r="AG32" s="74"/>
      <c r="AH32" s="74"/>
    </row>
    <row r="33" spans="1:35">
      <c r="A33" s="577"/>
      <c r="B33" s="592"/>
      <c r="C33" s="577"/>
      <c r="D33" s="74" t="s">
        <v>2245</v>
      </c>
      <c r="E33" s="74" t="s">
        <v>2226</v>
      </c>
      <c r="F33" s="73" t="s">
        <v>2246</v>
      </c>
      <c r="G33" s="116">
        <v>844960</v>
      </c>
      <c r="H33" s="116">
        <v>178173.53</v>
      </c>
      <c r="I33" s="116">
        <v>2431428</v>
      </c>
      <c r="J33" s="116">
        <v>518912.48</v>
      </c>
      <c r="K33" s="116">
        <v>2735462</v>
      </c>
      <c r="L33" s="116">
        <v>600328.89</v>
      </c>
      <c r="M33" s="116">
        <v>1278814</v>
      </c>
      <c r="N33" s="116">
        <v>279030.14</v>
      </c>
      <c r="O33" s="116">
        <v>347391</v>
      </c>
      <c r="P33" s="116">
        <v>75461.63</v>
      </c>
      <c r="Q33" s="116">
        <v>561300</v>
      </c>
      <c r="R33" s="116">
        <v>119759.07</v>
      </c>
      <c r="S33" s="116">
        <v>2314518</v>
      </c>
      <c r="T33" s="116">
        <v>472826.77</v>
      </c>
      <c r="U33" s="116">
        <v>667039</v>
      </c>
      <c r="V33" s="116">
        <v>129021.09</v>
      </c>
      <c r="W33" s="116">
        <v>667039</v>
      </c>
      <c r="X33" s="116">
        <v>129021.09</v>
      </c>
      <c r="Y33" s="116"/>
      <c r="Z33" s="116"/>
      <c r="AA33" s="116">
        <v>919164</v>
      </c>
      <c r="AB33" s="116">
        <v>177426.68</v>
      </c>
      <c r="AC33" s="116">
        <v>1957714</v>
      </c>
      <c r="AD33" s="116">
        <v>396817.82</v>
      </c>
      <c r="AE33" s="116">
        <f t="shared" si="5"/>
        <v>14724829</v>
      </c>
      <c r="AF33" s="116">
        <f t="shared" si="5"/>
        <v>3076779.19</v>
      </c>
      <c r="AG33" s="74"/>
      <c r="AH33" s="74"/>
    </row>
    <row r="34" spans="1:35">
      <c r="A34" s="571">
        <v>12</v>
      </c>
      <c r="B34" s="608" t="s">
        <v>674</v>
      </c>
      <c r="C34" s="580" t="s">
        <v>675</v>
      </c>
      <c r="D34" s="76" t="s">
        <v>2250</v>
      </c>
      <c r="E34" s="76" t="s">
        <v>2223</v>
      </c>
      <c r="F34" s="77" t="s">
        <v>2224</v>
      </c>
      <c r="G34" s="117">
        <v>473.10649999999998</v>
      </c>
      <c r="H34" s="117"/>
      <c r="I34" s="117">
        <v>407.22</v>
      </c>
      <c r="J34" s="117"/>
      <c r="K34" s="117">
        <v>544.21690000000001</v>
      </c>
      <c r="L34" s="117"/>
      <c r="M34" s="117">
        <v>545.38440000000003</v>
      </c>
      <c r="N34" s="117"/>
      <c r="O34" s="117">
        <v>471.1087</v>
      </c>
      <c r="P34" s="117"/>
      <c r="Q34" s="117">
        <v>403.46859999999998</v>
      </c>
      <c r="R34" s="117"/>
      <c r="S34" s="117">
        <v>329.53550000000001</v>
      </c>
      <c r="T34" s="117"/>
      <c r="U34" s="117">
        <v>370.89069999999998</v>
      </c>
      <c r="V34" s="117"/>
      <c r="W34" s="117">
        <v>429.04070000000002</v>
      </c>
      <c r="X34" s="117"/>
      <c r="Y34" s="117">
        <v>470.70530000000002</v>
      </c>
      <c r="Z34" s="117"/>
      <c r="AA34" s="117">
        <v>482.55900000000003</v>
      </c>
      <c r="AB34" s="117"/>
      <c r="AC34" s="117">
        <v>552.36699999999996</v>
      </c>
      <c r="AD34" s="117"/>
      <c r="AE34" s="150">
        <f>AC34+AA34+Y34+W34+U34+S34+Q34+O34+M34+K34+I34+G34</f>
        <v>5479.6033000000007</v>
      </c>
      <c r="AF34" s="151">
        <f>AD34+AB34+Z34+X34+V34+T34+R34+P34+N34+L34+J34+H34</f>
        <v>0</v>
      </c>
      <c r="AG34" s="76"/>
      <c r="AH34" s="76"/>
    </row>
    <row r="35" spans="1:35">
      <c r="A35" s="573"/>
      <c r="B35" s="609"/>
      <c r="C35" s="582"/>
      <c r="D35" s="76" t="s">
        <v>2237</v>
      </c>
      <c r="E35" s="76" t="s">
        <v>2226</v>
      </c>
      <c r="F35" s="77" t="s">
        <v>2228</v>
      </c>
      <c r="G35" s="117">
        <v>3776.6062999999999</v>
      </c>
      <c r="H35" s="117"/>
      <c r="I35" s="117">
        <v>2874.6761999999999</v>
      </c>
      <c r="J35" s="117"/>
      <c r="K35" s="117">
        <v>4401.0052999999998</v>
      </c>
      <c r="L35" s="117"/>
      <c r="M35" s="117">
        <v>3677.4050999999999</v>
      </c>
      <c r="N35" s="117"/>
      <c r="O35" s="117">
        <v>2550.4299999999998</v>
      </c>
      <c r="P35" s="117"/>
      <c r="Q35" s="117">
        <v>2712.1419999999998</v>
      </c>
      <c r="R35" s="117"/>
      <c r="S35" s="117">
        <v>2024.1996999999999</v>
      </c>
      <c r="T35" s="117"/>
      <c r="U35" s="117">
        <v>2582.0408000000002</v>
      </c>
      <c r="V35" s="117"/>
      <c r="W35" s="117">
        <v>3192.7174</v>
      </c>
      <c r="X35" s="117"/>
      <c r="Y35" s="117">
        <v>3401.8359</v>
      </c>
      <c r="Z35" s="117"/>
      <c r="AA35" s="117">
        <v>3493.0176000000001</v>
      </c>
      <c r="AB35" s="117"/>
      <c r="AC35" s="117">
        <v>3852.1093000000001</v>
      </c>
      <c r="AD35" s="117"/>
      <c r="AE35" s="150">
        <f>AC35+AA35+Y35+W35+U35+S35+Q35+O35+M35+K35+I35+G35</f>
        <v>38538.185600000004</v>
      </c>
      <c r="AF35" s="151">
        <f>AD35+AB35+Z35+X35+V35+T35+R35+P35+N35+L35+J35+H35</f>
        <v>0</v>
      </c>
      <c r="AG35" s="76"/>
      <c r="AH35" s="76"/>
    </row>
    <row r="36" spans="1:35">
      <c r="A36" s="74">
        <v>13</v>
      </c>
      <c r="B36" s="73" t="s">
        <v>682</v>
      </c>
      <c r="C36" s="74" t="s">
        <v>683</v>
      </c>
      <c r="D36" s="74"/>
      <c r="E36" s="74"/>
      <c r="F36" s="73" t="s">
        <v>2228</v>
      </c>
      <c r="G36" s="116">
        <v>3411.68</v>
      </c>
      <c r="H36" s="116">
        <v>12778596.76</v>
      </c>
      <c r="I36" s="116">
        <v>3012.94</v>
      </c>
      <c r="J36" s="116">
        <v>15092697.57</v>
      </c>
      <c r="K36" s="116">
        <v>3415.36</v>
      </c>
      <c r="L36" s="116">
        <v>17612616.98</v>
      </c>
      <c r="M36" s="116">
        <v>3653.3</v>
      </c>
      <c r="N36" s="116">
        <v>20013445.969999999</v>
      </c>
      <c r="O36" s="116">
        <v>3714.81</v>
      </c>
      <c r="P36" s="116">
        <v>18313122.039999999</v>
      </c>
      <c r="Q36" s="116">
        <v>4881.55</v>
      </c>
      <c r="R36" s="116">
        <v>23349113.809999999</v>
      </c>
      <c r="S36" s="116">
        <v>4759.7719999999999</v>
      </c>
      <c r="T36" s="116">
        <v>17159805.140000001</v>
      </c>
      <c r="U36" s="116">
        <v>4872.1239999999998</v>
      </c>
      <c r="V36" s="116">
        <v>22012282.620000001</v>
      </c>
      <c r="W36" s="116">
        <v>4941.7089999999998</v>
      </c>
      <c r="X36" s="116">
        <v>23889717.899999999</v>
      </c>
      <c r="Y36" s="116">
        <v>4115.0879999999997</v>
      </c>
      <c r="Z36" s="116">
        <v>24247457.98</v>
      </c>
      <c r="AA36" s="116">
        <v>4001.6459999999997</v>
      </c>
      <c r="AB36" s="116">
        <v>28890011.969999999</v>
      </c>
      <c r="AC36" s="116">
        <v>4289.7290000000003</v>
      </c>
      <c r="AD36" s="116">
        <v>32152751.579999998</v>
      </c>
      <c r="AE36" s="116">
        <f t="shared" ref="AE36:AF36" si="6">AC36+AA36+Y36+W36+U36+S36+Q36+O36+M36+K36+I36+G36</f>
        <v>49069.708000000006</v>
      </c>
      <c r="AF36" s="116">
        <f t="shared" si="6"/>
        <v>255511620.31999996</v>
      </c>
      <c r="AG36" s="74"/>
      <c r="AH36" s="74"/>
    </row>
    <row r="37" spans="1:35">
      <c r="A37" s="571">
        <v>14</v>
      </c>
      <c r="B37" s="574" t="s">
        <v>96</v>
      </c>
      <c r="C37" s="571" t="s">
        <v>688</v>
      </c>
      <c r="D37" s="76" t="s">
        <v>2250</v>
      </c>
      <c r="E37" s="76" t="s">
        <v>2223</v>
      </c>
      <c r="F37" s="77" t="s">
        <v>2224</v>
      </c>
      <c r="G37" s="117">
        <v>424.13799999999998</v>
      </c>
      <c r="H37" s="117">
        <v>7589949.9790000003</v>
      </c>
      <c r="I37" s="117">
        <v>33.643999999999998</v>
      </c>
      <c r="J37" s="117">
        <v>601083.65</v>
      </c>
      <c r="K37" s="117">
        <v>54.95</v>
      </c>
      <c r="L37" s="117">
        <v>1128171.42</v>
      </c>
      <c r="M37" s="117">
        <v>860.12199999999996</v>
      </c>
      <c r="N37" s="117">
        <v>17885185.350000001</v>
      </c>
      <c r="O37" s="117">
        <v>251.47499999999999</v>
      </c>
      <c r="P37" s="117">
        <v>4921295.34</v>
      </c>
      <c r="Q37" s="117">
        <v>121.88200000000001</v>
      </c>
      <c r="R37" s="117">
        <v>2267497.6</v>
      </c>
      <c r="S37" s="117">
        <v>918.73699999999997</v>
      </c>
      <c r="T37" s="117">
        <v>16794874.800000001</v>
      </c>
      <c r="U37" s="117">
        <v>280.66000000000003</v>
      </c>
      <c r="V37" s="117">
        <v>3848151.2</v>
      </c>
      <c r="W37" s="117">
        <v>0</v>
      </c>
      <c r="X37" s="117">
        <v>0</v>
      </c>
      <c r="Y37" s="117">
        <v>258.67500000000001</v>
      </c>
      <c r="Z37" s="117">
        <v>3248245.75</v>
      </c>
      <c r="AA37" s="117">
        <v>0</v>
      </c>
      <c r="AB37" s="117">
        <v>0</v>
      </c>
      <c r="AC37" s="117">
        <v>0</v>
      </c>
      <c r="AD37" s="117">
        <v>0</v>
      </c>
      <c r="AE37" s="150">
        <f>AC37+AA37+Y37+W37+U37+S37+Q37+O37+M37+K37+I37+G37</f>
        <v>3204.2829999999994</v>
      </c>
      <c r="AF37" s="151">
        <f>AD37+AB37+Z37+X37+V37+T37+R37+P37+N37+L37+J37+H37</f>
        <v>58284455.089000009</v>
      </c>
      <c r="AG37" s="76" t="s">
        <v>2254</v>
      </c>
      <c r="AH37" s="76" t="s">
        <v>1194</v>
      </c>
      <c r="AI37" s="5" t="s">
        <v>2255</v>
      </c>
    </row>
    <row r="38" spans="1:35">
      <c r="A38" s="573"/>
      <c r="B38" s="575"/>
      <c r="C38" s="573"/>
      <c r="D38" s="76" t="s">
        <v>2237</v>
      </c>
      <c r="E38" s="76" t="s">
        <v>2226</v>
      </c>
      <c r="F38" s="77" t="s">
        <v>2228</v>
      </c>
      <c r="G38" s="117">
        <v>1840.8861100000001</v>
      </c>
      <c r="H38" s="117">
        <v>17714193.609999999</v>
      </c>
      <c r="I38" s="117">
        <v>4425.9939999999997</v>
      </c>
      <c r="J38" s="117">
        <v>43301467.130000003</v>
      </c>
      <c r="K38" s="117">
        <v>1511.829</v>
      </c>
      <c r="L38" s="117">
        <v>14327141.129999999</v>
      </c>
      <c r="M38" s="117">
        <v>2399.4550000000004</v>
      </c>
      <c r="N38" s="117">
        <v>20799313.729999997</v>
      </c>
      <c r="O38" s="117">
        <v>2176.299</v>
      </c>
      <c r="P38" s="117">
        <v>22181316</v>
      </c>
      <c r="Q38" s="117">
        <v>2649.3490000000002</v>
      </c>
      <c r="R38" s="117">
        <v>25299414.450000003</v>
      </c>
      <c r="S38" s="117">
        <v>1905.7249999999999</v>
      </c>
      <c r="T38" s="117">
        <v>17379119</v>
      </c>
      <c r="U38" s="117">
        <v>3011.8159999999998</v>
      </c>
      <c r="V38" s="117">
        <v>23129391.004000001</v>
      </c>
      <c r="W38" s="117">
        <v>961.38599999999997</v>
      </c>
      <c r="X38" s="117">
        <v>7509951.1030000001</v>
      </c>
      <c r="Y38" s="117">
        <v>2449.7240000000002</v>
      </c>
      <c r="Z38" s="117">
        <v>20121419.7447</v>
      </c>
      <c r="AA38" s="117">
        <v>1134874411.684</v>
      </c>
      <c r="AB38" s="117">
        <v>35607326.859799996</v>
      </c>
      <c r="AC38" s="117">
        <v>136415</v>
      </c>
      <c r="AD38" s="117">
        <v>1055016.79</v>
      </c>
      <c r="AE38" s="150">
        <f>AC38+AA38+Y38+W38+U38+S38+Q38+O38+M38+K38+I38+G38</f>
        <v>1135034159.1471097</v>
      </c>
      <c r="AF38" s="151">
        <f>AD38+AB38+Z38+X38+V38+T38+R38+P38+N38+L38+J38+H38</f>
        <v>248425070.55149996</v>
      </c>
      <c r="AG38" s="76" t="s">
        <v>2254</v>
      </c>
      <c r="AH38" s="76" t="s">
        <v>1194</v>
      </c>
      <c r="AI38" s="5" t="s">
        <v>2255</v>
      </c>
    </row>
    <row r="39" spans="1:35">
      <c r="A39" s="74">
        <v>15</v>
      </c>
      <c r="B39" s="73" t="s">
        <v>691</v>
      </c>
      <c r="C39" s="74" t="s">
        <v>692</v>
      </c>
      <c r="D39" s="74" t="s">
        <v>619</v>
      </c>
      <c r="E39" s="74" t="s">
        <v>619</v>
      </c>
      <c r="F39" s="74" t="s">
        <v>619</v>
      </c>
      <c r="G39" s="74" t="s">
        <v>619</v>
      </c>
      <c r="H39" s="74" t="s">
        <v>619</v>
      </c>
      <c r="I39" s="74" t="s">
        <v>619</v>
      </c>
      <c r="J39" s="74" t="s">
        <v>619</v>
      </c>
      <c r="K39" s="74" t="s">
        <v>619</v>
      </c>
      <c r="L39" s="74" t="s">
        <v>619</v>
      </c>
      <c r="M39" s="74" t="s">
        <v>619</v>
      </c>
      <c r="N39" s="74" t="s">
        <v>619</v>
      </c>
      <c r="O39" s="74" t="s">
        <v>619</v>
      </c>
      <c r="P39" s="74" t="s">
        <v>619</v>
      </c>
      <c r="Q39" s="74" t="s">
        <v>619</v>
      </c>
      <c r="R39" s="74" t="s">
        <v>619</v>
      </c>
      <c r="S39" s="74" t="s">
        <v>619</v>
      </c>
      <c r="T39" s="74" t="s">
        <v>619</v>
      </c>
      <c r="U39" s="74" t="s">
        <v>619</v>
      </c>
      <c r="V39" s="74" t="s">
        <v>619</v>
      </c>
      <c r="W39" s="74" t="s">
        <v>619</v>
      </c>
      <c r="X39" s="74" t="s">
        <v>619</v>
      </c>
      <c r="Y39" s="74" t="s">
        <v>619</v>
      </c>
      <c r="Z39" s="74" t="s">
        <v>619</v>
      </c>
      <c r="AA39" s="74" t="s">
        <v>619</v>
      </c>
      <c r="AB39" s="74" t="s">
        <v>619</v>
      </c>
      <c r="AC39" s="74" t="s">
        <v>619</v>
      </c>
      <c r="AD39" s="74" t="s">
        <v>619</v>
      </c>
      <c r="AE39" s="116"/>
      <c r="AF39" s="116"/>
      <c r="AG39" s="74"/>
      <c r="AH39" s="74"/>
    </row>
    <row r="40" spans="1:35">
      <c r="A40" s="571">
        <v>16</v>
      </c>
      <c r="B40" s="574" t="s">
        <v>700</v>
      </c>
      <c r="C40" s="571" t="s">
        <v>701</v>
      </c>
      <c r="D40" s="76" t="s">
        <v>2250</v>
      </c>
      <c r="E40" s="76" t="s">
        <v>2223</v>
      </c>
      <c r="F40" s="77" t="s">
        <v>2224</v>
      </c>
      <c r="G40" s="117">
        <v>266.39777551403381</v>
      </c>
      <c r="H40" s="117"/>
      <c r="I40" s="117">
        <v>209.90297920250956</v>
      </c>
      <c r="J40" s="117"/>
      <c r="K40" s="117">
        <v>209.09938995411682</v>
      </c>
      <c r="L40" s="117"/>
      <c r="M40" s="117">
        <v>206.60086960101194</v>
      </c>
      <c r="N40" s="117"/>
      <c r="O40" s="117">
        <v>230.00187186218486</v>
      </c>
      <c r="P40" s="117"/>
      <c r="Q40" s="117">
        <v>155.30441760490146</v>
      </c>
      <c r="R40" s="117"/>
      <c r="S40" s="117">
        <v>223.5</v>
      </c>
      <c r="T40" s="117"/>
      <c r="U40" s="117">
        <v>281.39591224182783</v>
      </c>
      <c r="V40" s="117"/>
      <c r="W40" s="117">
        <v>281.8</v>
      </c>
      <c r="X40" s="117"/>
      <c r="Y40" s="117">
        <v>314.7</v>
      </c>
      <c r="Z40" s="117"/>
      <c r="AA40" s="117">
        <v>263</v>
      </c>
      <c r="AB40" s="117"/>
      <c r="AC40" s="117">
        <v>212.39715767032041</v>
      </c>
      <c r="AD40" s="117"/>
      <c r="AE40" s="150">
        <f>AC40+AA40+Y40+W40+U40+S40+Q40+O40+M40+K40+I40+G40</f>
        <v>2854.1003736509065</v>
      </c>
      <c r="AF40" s="151">
        <f>AD40+AB40+Z40+X40+V40+T40+R40+P40+N40+L40+J40+H40</f>
        <v>0</v>
      </c>
      <c r="AG40" s="76"/>
      <c r="AH40" s="76"/>
    </row>
    <row r="41" spans="1:35">
      <c r="A41" s="573"/>
      <c r="B41" s="575"/>
      <c r="C41" s="573"/>
      <c r="D41" s="76" t="s">
        <v>2237</v>
      </c>
      <c r="E41" s="76" t="s">
        <v>2226</v>
      </c>
      <c r="F41" s="77" t="s">
        <v>2228</v>
      </c>
      <c r="G41" s="117">
        <v>1174.4659999999997</v>
      </c>
      <c r="H41" s="117"/>
      <c r="I41" s="117">
        <v>1081.2830000000001</v>
      </c>
      <c r="J41" s="117"/>
      <c r="K41" s="117">
        <v>1029.2019999999998</v>
      </c>
      <c r="L41" s="117"/>
      <c r="M41" s="117">
        <v>865.00299999999993</v>
      </c>
      <c r="N41" s="117"/>
      <c r="O41" s="117">
        <v>801.86200000000019</v>
      </c>
      <c r="P41" s="117"/>
      <c r="Q41" s="117">
        <v>563.95799999999986</v>
      </c>
      <c r="R41" s="117"/>
      <c r="S41" s="117">
        <v>762.5</v>
      </c>
      <c r="T41" s="117"/>
      <c r="U41" s="117">
        <v>651.79800000000012</v>
      </c>
      <c r="V41" s="117"/>
      <c r="W41" s="117">
        <v>773</v>
      </c>
      <c r="X41" s="117"/>
      <c r="Y41" s="117">
        <v>753.21600000000012</v>
      </c>
      <c r="Z41" s="117"/>
      <c r="AA41" s="117">
        <v>618.46899999999982</v>
      </c>
      <c r="AB41" s="117"/>
      <c r="AC41" s="117">
        <v>827.56499999999983</v>
      </c>
      <c r="AD41" s="117"/>
      <c r="AE41" s="150">
        <f>AC41+AA41+Y41+W41+U41+S41+Q41+O41+M41+K41+I41+G41</f>
        <v>9902.3220000000001</v>
      </c>
      <c r="AF41" s="151">
        <f>AD41+AB41+Z41+X41+V41+T41+R41+P41+N41+L41+J41+H41</f>
        <v>0</v>
      </c>
      <c r="AG41" s="76"/>
      <c r="AH41" s="76"/>
    </row>
    <row r="42" spans="1:35">
      <c r="A42" s="576">
        <v>17</v>
      </c>
      <c r="B42" s="578" t="s">
        <v>102</v>
      </c>
      <c r="C42" s="576" t="s">
        <v>707</v>
      </c>
      <c r="D42" s="74" t="s">
        <v>2250</v>
      </c>
      <c r="E42" s="74" t="s">
        <v>2223</v>
      </c>
      <c r="F42" s="73" t="s">
        <v>2224</v>
      </c>
      <c r="G42" s="116">
        <v>439.1</v>
      </c>
      <c r="H42" s="116">
        <v>9891344.4454064332</v>
      </c>
      <c r="I42" s="116">
        <v>391.02</v>
      </c>
      <c r="J42" s="116">
        <v>8970486.7936931513</v>
      </c>
      <c r="K42" s="116">
        <v>454.83</v>
      </c>
      <c r="L42" s="116">
        <v>12196895.272063319</v>
      </c>
      <c r="M42" s="116">
        <v>445.69</v>
      </c>
      <c r="N42" s="116">
        <v>10307869.283472661</v>
      </c>
      <c r="O42" s="116">
        <v>517.97</v>
      </c>
      <c r="P42" s="116">
        <v>15271217.59514863</v>
      </c>
      <c r="Q42" s="116">
        <v>354.01</v>
      </c>
      <c r="R42" s="116">
        <v>11424897.745281458</v>
      </c>
      <c r="S42" s="116">
        <v>324.89</v>
      </c>
      <c r="T42" s="116">
        <v>12348831.981440546</v>
      </c>
      <c r="U42" s="116">
        <v>255.44</v>
      </c>
      <c r="V42" s="116">
        <v>8341005.9547546841</v>
      </c>
      <c r="W42" s="116">
        <v>285.23</v>
      </c>
      <c r="X42" s="116">
        <v>9578706.716486264</v>
      </c>
      <c r="Y42" s="116">
        <v>213.75</v>
      </c>
      <c r="Z42" s="116">
        <v>7015073.4211612074</v>
      </c>
      <c r="AA42" s="116">
        <v>120.92</v>
      </c>
      <c r="AB42" s="116">
        <v>4004432.5432877829</v>
      </c>
      <c r="AC42" s="116">
        <v>158</v>
      </c>
      <c r="AD42" s="116">
        <v>5025002.8101863936</v>
      </c>
      <c r="AE42" s="116">
        <f t="shared" ref="AE42:AF43" si="7">AC42+AA42+Y42+W42+U42+S42+Q42+O42+M42+K42+I42+G42</f>
        <v>3960.85</v>
      </c>
      <c r="AF42" s="116">
        <f t="shared" si="7"/>
        <v>114375764.56238252</v>
      </c>
      <c r="AG42" s="74"/>
      <c r="AH42" s="74" t="s">
        <v>1496</v>
      </c>
    </row>
    <row r="43" spans="1:35">
      <c r="A43" s="577"/>
      <c r="B43" s="579"/>
      <c r="C43" s="577"/>
      <c r="D43" s="74" t="s">
        <v>2237</v>
      </c>
      <c r="E43" s="74" t="s">
        <v>2226</v>
      </c>
      <c r="F43" s="73" t="s">
        <v>2228</v>
      </c>
      <c r="G43" s="116">
        <v>2821</v>
      </c>
      <c r="H43" s="116">
        <v>15480727.273593498</v>
      </c>
      <c r="I43" s="116">
        <v>2514</v>
      </c>
      <c r="J43" s="116">
        <v>13959382.05806247</v>
      </c>
      <c r="K43" s="116">
        <v>2406</v>
      </c>
      <c r="L43" s="116">
        <v>14993906.418001069</v>
      </c>
      <c r="M43" s="116">
        <v>2368</v>
      </c>
      <c r="N43" s="116">
        <v>15278125.714363262</v>
      </c>
      <c r="O43" s="116">
        <v>2905</v>
      </c>
      <c r="P43" s="116">
        <v>19663417.748933807</v>
      </c>
      <c r="Q43" s="116">
        <v>2541</v>
      </c>
      <c r="R43" s="116">
        <v>17280022.078076515</v>
      </c>
      <c r="S43" s="116">
        <v>2558</v>
      </c>
      <c r="T43" s="116">
        <v>19931979.397482309</v>
      </c>
      <c r="U43" s="116">
        <v>2550</v>
      </c>
      <c r="V43" s="116">
        <v>21455533.500545621</v>
      </c>
      <c r="W43" s="116">
        <v>2801</v>
      </c>
      <c r="X43" s="116">
        <v>24425622.212860029</v>
      </c>
      <c r="Y43" s="116">
        <v>2337</v>
      </c>
      <c r="Z43" s="116">
        <v>19473365.560140084</v>
      </c>
      <c r="AA43" s="116">
        <v>2252</v>
      </c>
      <c r="AB43" s="116">
        <v>18938309.424453665</v>
      </c>
      <c r="AC43" s="116">
        <v>2300</v>
      </c>
      <c r="AD43" s="116">
        <v>18925596.881280627</v>
      </c>
      <c r="AE43" s="116">
        <f t="shared" si="7"/>
        <v>30353</v>
      </c>
      <c r="AF43" s="116">
        <f t="shared" si="7"/>
        <v>219805988.26779297</v>
      </c>
      <c r="AG43" s="74"/>
      <c r="AH43" s="74" t="s">
        <v>1496</v>
      </c>
    </row>
    <row r="44" spans="1:35">
      <c r="A44" s="571">
        <v>19</v>
      </c>
      <c r="B44" s="574" t="s">
        <v>229</v>
      </c>
      <c r="C44" s="571" t="s">
        <v>710</v>
      </c>
      <c r="D44" s="76" t="s">
        <v>2250</v>
      </c>
      <c r="E44" s="76" t="s">
        <v>2223</v>
      </c>
      <c r="F44" s="77" t="s">
        <v>2224</v>
      </c>
      <c r="G44" s="117">
        <v>300</v>
      </c>
      <c r="H44" s="117">
        <v>4249800</v>
      </c>
      <c r="I44" s="117">
        <v>440</v>
      </c>
      <c r="J44" s="117">
        <v>8136480</v>
      </c>
      <c r="K44" s="117">
        <v>420</v>
      </c>
      <c r="L44" s="117">
        <v>8899800</v>
      </c>
      <c r="M44" s="117">
        <v>450</v>
      </c>
      <c r="N44" s="117">
        <v>9241200</v>
      </c>
      <c r="O44" s="117">
        <v>450</v>
      </c>
      <c r="P44" s="117">
        <v>9137250</v>
      </c>
      <c r="Q44" s="117">
        <v>450</v>
      </c>
      <c r="R44" s="117">
        <v>9685800</v>
      </c>
      <c r="S44" s="117">
        <v>450</v>
      </c>
      <c r="T44" s="117">
        <v>10214100</v>
      </c>
      <c r="U44" s="117">
        <v>450</v>
      </c>
      <c r="V44" s="117">
        <v>10143000</v>
      </c>
      <c r="W44" s="117">
        <v>310</v>
      </c>
      <c r="X44" s="117">
        <v>6858130</v>
      </c>
      <c r="Y44" s="117">
        <v>450</v>
      </c>
      <c r="Z44" s="117">
        <v>10285650</v>
      </c>
      <c r="AA44" s="117">
        <v>440</v>
      </c>
      <c r="AB44" s="117">
        <v>10904080</v>
      </c>
      <c r="AC44" s="117">
        <v>420</v>
      </c>
      <c r="AD44" s="117">
        <v>11350080</v>
      </c>
      <c r="AE44" s="150">
        <f>AC44+AA44+Y44+W44+U44+S44+Q44+O44+M44+K44+I44+G44</f>
        <v>5030</v>
      </c>
      <c r="AF44" s="151">
        <f>AD44+AB44+Z44+X44+V44+T44+R44+P44+N44+L44+J44+H44</f>
        <v>109105370</v>
      </c>
      <c r="AG44" s="76"/>
      <c r="AH44" s="76"/>
    </row>
    <row r="45" spans="1:35">
      <c r="A45" s="573"/>
      <c r="B45" s="575"/>
      <c r="C45" s="573"/>
      <c r="D45" s="76" t="s">
        <v>2237</v>
      </c>
      <c r="E45" s="76" t="s">
        <v>2226</v>
      </c>
      <c r="F45" s="77" t="s">
        <v>2228</v>
      </c>
      <c r="G45" s="117">
        <v>3205</v>
      </c>
      <c r="H45" s="117">
        <v>31293620</v>
      </c>
      <c r="I45" s="117">
        <v>4230</v>
      </c>
      <c r="J45" s="117">
        <v>42096960</v>
      </c>
      <c r="K45" s="117">
        <v>3587</v>
      </c>
      <c r="L45" s="117">
        <v>35762390</v>
      </c>
      <c r="M45" s="117">
        <v>2709</v>
      </c>
      <c r="N45" s="117">
        <v>27016857</v>
      </c>
      <c r="O45" s="117">
        <v>5099</v>
      </c>
      <c r="P45" s="117">
        <v>47930600</v>
      </c>
      <c r="Q45" s="117">
        <v>5297</v>
      </c>
      <c r="R45" s="117">
        <v>49791800</v>
      </c>
      <c r="S45" s="117">
        <v>5300</v>
      </c>
      <c r="T45" s="117">
        <v>48071000</v>
      </c>
      <c r="U45" s="117">
        <v>5200</v>
      </c>
      <c r="V45" s="117">
        <v>39150800</v>
      </c>
      <c r="W45" s="117">
        <v>3522</v>
      </c>
      <c r="X45" s="117">
        <v>28087950</v>
      </c>
      <c r="Y45" s="117">
        <v>3500</v>
      </c>
      <c r="Z45" s="117">
        <v>27065500</v>
      </c>
      <c r="AA45" s="117">
        <v>5100</v>
      </c>
      <c r="AB45" s="117">
        <v>38862000</v>
      </c>
      <c r="AC45" s="117">
        <v>4540</v>
      </c>
      <c r="AD45" s="117">
        <v>36447120</v>
      </c>
      <c r="AE45" s="150">
        <f>AC45+AA45+Y45+W45+U45+S45+Q45+O45+M45+K45+I45+G45</f>
        <v>51289</v>
      </c>
      <c r="AF45" s="151">
        <f>AD45+AB45+Z45+X45+V45+T45+R45+P45+N45+L45+J45+H45</f>
        <v>451576597</v>
      </c>
      <c r="AG45" s="76"/>
      <c r="AH45" s="76"/>
    </row>
    <row r="46" spans="1:35">
      <c r="A46" s="74">
        <v>20</v>
      </c>
      <c r="B46" s="73" t="s">
        <v>713</v>
      </c>
      <c r="C46" s="74" t="s">
        <v>714</v>
      </c>
      <c r="D46" s="74" t="s">
        <v>2237</v>
      </c>
      <c r="E46" s="74" t="s">
        <v>2226</v>
      </c>
      <c r="F46" s="73" t="s">
        <v>2228</v>
      </c>
      <c r="G46" s="116">
        <v>3783.201</v>
      </c>
      <c r="H46" s="116">
        <v>29240171.368949998</v>
      </c>
      <c r="I46" s="116">
        <v>2794.027</v>
      </c>
      <c r="J46" s="116">
        <v>21594894.981649999</v>
      </c>
      <c r="K46" s="116">
        <v>3777.0659999999998</v>
      </c>
      <c r="L46" s="116">
        <v>29192754.260699999</v>
      </c>
      <c r="M46" s="116">
        <v>4210.37</v>
      </c>
      <c r="N46" s="116">
        <v>32541739.2115</v>
      </c>
      <c r="O46" s="116">
        <v>4362.1390000000001</v>
      </c>
      <c r="P46" s="116">
        <v>33714754.22405</v>
      </c>
      <c r="Q46" s="116">
        <v>4005.8890000000001</v>
      </c>
      <c r="R46" s="116">
        <v>30961315.78655</v>
      </c>
      <c r="S46" s="116">
        <v>3651.6529999999998</v>
      </c>
      <c r="T46" s="116">
        <v>28223443.454349998</v>
      </c>
      <c r="U46" s="116">
        <v>3567.326</v>
      </c>
      <c r="V46" s="116">
        <v>27571684.287700001</v>
      </c>
      <c r="W46" s="116">
        <v>3828.99</v>
      </c>
      <c r="X46" s="116">
        <v>29594072.260499999</v>
      </c>
      <c r="Y46" s="116">
        <v>4129.1090000000004</v>
      </c>
      <c r="Z46" s="116">
        <v>31913677.005550001</v>
      </c>
      <c r="AA46" s="116">
        <v>3376.7190000000001</v>
      </c>
      <c r="AB46" s="116">
        <v>26098492.315049998</v>
      </c>
      <c r="AC46" s="116">
        <v>3520.9859999999999</v>
      </c>
      <c r="AD46" s="116">
        <v>27213524.7447</v>
      </c>
      <c r="AE46" s="116">
        <f t="shared" ref="AE46:AF46" si="8">AC46+AA46+Y46+W46+U46+S46+Q46+O46+M46+K46+I46+G46</f>
        <v>45007.474999999999</v>
      </c>
      <c r="AF46" s="116">
        <f t="shared" si="8"/>
        <v>347860523.90124995</v>
      </c>
      <c r="AG46" s="74"/>
      <c r="AH46" s="74"/>
    </row>
    <row r="47" spans="1:35">
      <c r="A47" s="571">
        <v>21</v>
      </c>
      <c r="B47" s="574" t="s">
        <v>717</v>
      </c>
      <c r="C47" s="571" t="s">
        <v>718</v>
      </c>
      <c r="D47" s="76" t="s">
        <v>2250</v>
      </c>
      <c r="E47" s="76" t="s">
        <v>2223</v>
      </c>
      <c r="F47" s="77" t="s">
        <v>2224</v>
      </c>
      <c r="G47" s="117">
        <v>90.438000000000002</v>
      </c>
      <c r="H47" s="117"/>
      <c r="I47" s="117">
        <v>90.299000000000007</v>
      </c>
      <c r="J47" s="117"/>
      <c r="K47" s="117">
        <v>80.387</v>
      </c>
      <c r="L47" s="117"/>
      <c r="M47" s="117">
        <v>91.403999999999996</v>
      </c>
      <c r="N47" s="117"/>
      <c r="O47" s="117">
        <v>92.088999999999999</v>
      </c>
      <c r="P47" s="117"/>
      <c r="Q47" s="117">
        <v>90.045000000000002</v>
      </c>
      <c r="R47" s="117"/>
      <c r="S47" s="117">
        <v>90.39</v>
      </c>
      <c r="T47" s="117"/>
      <c r="U47" s="117">
        <v>90.183999999999997</v>
      </c>
      <c r="V47" s="117"/>
      <c r="W47" s="117">
        <v>95.143000000000001</v>
      </c>
      <c r="X47" s="117"/>
      <c r="Y47" s="117">
        <v>95.634</v>
      </c>
      <c r="Z47" s="117"/>
      <c r="AA47" s="117">
        <v>100.645</v>
      </c>
      <c r="AB47" s="117"/>
      <c r="AC47" s="117">
        <v>105.235</v>
      </c>
      <c r="AD47" s="117"/>
      <c r="AE47" s="150">
        <f>AC47+AA47+Y47+W47+U47+S47+Q47+O47+M47+K47+I47+G47</f>
        <v>1111.893</v>
      </c>
      <c r="AF47" s="151">
        <f>AD47+AB47+Z47+X47+V47+T47+R47+P47+N47+L47+J47+H47</f>
        <v>0</v>
      </c>
      <c r="AG47" s="76"/>
      <c r="AH47" s="76"/>
    </row>
    <row r="48" spans="1:35">
      <c r="A48" s="573"/>
      <c r="B48" s="575"/>
      <c r="C48" s="573"/>
      <c r="D48" s="76" t="s">
        <v>2237</v>
      </c>
      <c r="E48" s="76" t="s">
        <v>2226</v>
      </c>
      <c r="F48" s="77" t="s">
        <v>2228</v>
      </c>
      <c r="G48" s="117">
        <v>2031.8209999999999</v>
      </c>
      <c r="H48" s="117"/>
      <c r="I48" s="117">
        <v>2468.096</v>
      </c>
      <c r="J48" s="117"/>
      <c r="K48" s="117">
        <v>2518.9079999999999</v>
      </c>
      <c r="L48" s="117"/>
      <c r="M48" s="117">
        <v>2932.35</v>
      </c>
      <c r="N48" s="117"/>
      <c r="O48" s="117">
        <v>2597.826</v>
      </c>
      <c r="P48" s="117"/>
      <c r="Q48" s="117">
        <v>3152.9110000000001</v>
      </c>
      <c r="R48" s="117"/>
      <c r="S48" s="117">
        <v>3160.9769999999999</v>
      </c>
      <c r="T48" s="117"/>
      <c r="U48" s="117">
        <v>3169.7080000000001</v>
      </c>
      <c r="V48" s="117"/>
      <c r="W48" s="117">
        <v>2134.4560000000001</v>
      </c>
      <c r="X48" s="117"/>
      <c r="Y48" s="117">
        <v>1201.866</v>
      </c>
      <c r="Z48" s="117"/>
      <c r="AA48" s="117">
        <v>2923.3760000000002</v>
      </c>
      <c r="AB48" s="117"/>
      <c r="AC48" s="117">
        <v>3402.8069999999998</v>
      </c>
      <c r="AD48" s="117"/>
      <c r="AE48" s="150">
        <f>AC48+AA48+Y48+W48+U48+S48+Q48+O48+M48+K48+I48+G48</f>
        <v>31695.102000000003</v>
      </c>
      <c r="AF48" s="151">
        <f>AD48+AB48+Z48+X48+V48+T48+R48+P48+N48+L48+J48+H48</f>
        <v>0</v>
      </c>
      <c r="AG48" s="76"/>
      <c r="AH48" s="76"/>
    </row>
    <row r="49" spans="1:34">
      <c r="A49" s="74">
        <v>22</v>
      </c>
      <c r="B49" s="73" t="s">
        <v>721</v>
      </c>
      <c r="C49" s="74" t="s">
        <v>722</v>
      </c>
      <c r="D49" s="74" t="s">
        <v>2237</v>
      </c>
      <c r="E49" s="74" t="s">
        <v>2226</v>
      </c>
      <c r="F49" s="73" t="s">
        <v>2228</v>
      </c>
      <c r="G49" s="116">
        <v>3236.57</v>
      </c>
      <c r="H49" s="116"/>
      <c r="I49" s="116">
        <v>2800.87</v>
      </c>
      <c r="J49" s="116"/>
      <c r="K49" s="116">
        <v>3054.8</v>
      </c>
      <c r="L49" s="116"/>
      <c r="M49" s="116">
        <v>3008.63</v>
      </c>
      <c r="N49" s="116"/>
      <c r="O49" s="116">
        <v>3684.68</v>
      </c>
      <c r="P49" s="116"/>
      <c r="Q49" s="116">
        <v>3614.2</v>
      </c>
      <c r="R49" s="116"/>
      <c r="S49" s="116">
        <v>3611.06</v>
      </c>
      <c r="T49" s="116"/>
      <c r="U49" s="116">
        <v>3645.89</v>
      </c>
      <c r="V49" s="116"/>
      <c r="W49" s="116">
        <v>3344.27</v>
      </c>
      <c r="X49" s="116"/>
      <c r="Y49" s="116">
        <v>3194.84</v>
      </c>
      <c r="Z49" s="116"/>
      <c r="AA49" s="116">
        <v>2739.25</v>
      </c>
      <c r="AB49" s="116"/>
      <c r="AC49" s="116">
        <v>2145.06</v>
      </c>
      <c r="AD49" s="116"/>
      <c r="AE49" s="116">
        <f t="shared" ref="AE49:AF49" si="9">AC49+AA49+Y49+W49+U49+S49+Q49+O49+M49+K49+I49+G49</f>
        <v>38080.120000000003</v>
      </c>
      <c r="AF49" s="116">
        <f t="shared" si="9"/>
        <v>0</v>
      </c>
      <c r="AG49" s="74"/>
      <c r="AH49" s="74"/>
    </row>
    <row r="50" spans="1:34">
      <c r="A50" s="76">
        <v>23</v>
      </c>
      <c r="B50" s="77" t="s">
        <v>161</v>
      </c>
      <c r="C50" s="76" t="s">
        <v>726</v>
      </c>
      <c r="D50" s="76" t="s">
        <v>619</v>
      </c>
      <c r="E50" s="76"/>
      <c r="F50" s="7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76"/>
      <c r="AH50" s="76"/>
    </row>
    <row r="51" spans="1:34">
      <c r="A51" s="74">
        <v>24</v>
      </c>
      <c r="B51" s="73" t="s">
        <v>729</v>
      </c>
      <c r="C51" s="74" t="s">
        <v>730</v>
      </c>
      <c r="D51" s="74" t="s">
        <v>2245</v>
      </c>
      <c r="E51" s="74" t="s">
        <v>2226</v>
      </c>
      <c r="F51" s="73" t="s">
        <v>2246</v>
      </c>
      <c r="G51" s="116">
        <v>4732</v>
      </c>
      <c r="H51" s="116">
        <v>5939969.3000000007</v>
      </c>
      <c r="I51" s="116">
        <v>4244.62</v>
      </c>
      <c r="J51" s="116">
        <v>5394109.330000001</v>
      </c>
      <c r="K51" s="116">
        <v>4938.95</v>
      </c>
      <c r="L51" s="116">
        <v>6476889.1600000011</v>
      </c>
      <c r="M51" s="116">
        <v>5226.13</v>
      </c>
      <c r="N51" s="116">
        <v>6331860.0700000003</v>
      </c>
      <c r="O51" s="116">
        <v>4525.25</v>
      </c>
      <c r="P51" s="116">
        <v>6598723.54</v>
      </c>
      <c r="Q51" s="116">
        <v>4750.8900000000003</v>
      </c>
      <c r="R51" s="116">
        <v>6843529.29</v>
      </c>
      <c r="S51" s="116">
        <v>5644.94</v>
      </c>
      <c r="T51" s="116">
        <v>6528192.330000001</v>
      </c>
      <c r="U51" s="116">
        <v>5368.99</v>
      </c>
      <c r="V51" s="116">
        <v>6950529.3900000006</v>
      </c>
      <c r="W51" s="116">
        <v>5276</v>
      </c>
      <c r="X51" s="116">
        <v>7191299.8600000022</v>
      </c>
      <c r="Y51" s="116">
        <v>5678.28</v>
      </c>
      <c r="Z51" s="116">
        <v>6900653.8399999989</v>
      </c>
      <c r="AA51" s="116">
        <v>5548.9</v>
      </c>
      <c r="AB51" s="116">
        <v>6795351.5100000007</v>
      </c>
      <c r="AC51" s="116">
        <v>5690.8720000000003</v>
      </c>
      <c r="AD51" s="116">
        <v>8224542.4899999984</v>
      </c>
      <c r="AE51" s="116">
        <f t="shared" ref="AE51:AF51" si="10">AC51+AA51+Y51+W51+U51+S51+Q51+O51+M51+K51+I51+G51</f>
        <v>61625.822</v>
      </c>
      <c r="AF51" s="116">
        <f t="shared" si="10"/>
        <v>80175650.109999999</v>
      </c>
      <c r="AG51" s="74"/>
      <c r="AH51" s="74"/>
    </row>
    <row r="52" spans="1:34">
      <c r="A52" s="571">
        <v>25</v>
      </c>
      <c r="B52" s="574" t="s">
        <v>128</v>
      </c>
      <c r="C52" s="571" t="s">
        <v>736</v>
      </c>
      <c r="D52" s="76" t="s">
        <v>2250</v>
      </c>
      <c r="E52" s="76" t="s">
        <v>2223</v>
      </c>
      <c r="F52" s="77" t="s">
        <v>2224</v>
      </c>
      <c r="G52" s="117">
        <v>309.53253699999999</v>
      </c>
      <c r="H52" s="117">
        <v>11724798.800000001</v>
      </c>
      <c r="I52" s="117">
        <v>140.69701499999999</v>
      </c>
      <c r="J52" s="117">
        <v>5251149.08</v>
      </c>
      <c r="K52" s="117">
        <v>18.600553000000001</v>
      </c>
      <c r="L52" s="117">
        <v>733837.94</v>
      </c>
      <c r="M52" s="117">
        <v>65.689854999999994</v>
      </c>
      <c r="N52" s="117">
        <v>3395414.47</v>
      </c>
      <c r="O52" s="117">
        <v>179.135479</v>
      </c>
      <c r="P52" s="117">
        <v>10874176.15</v>
      </c>
      <c r="Q52" s="117">
        <v>319.85933599999998</v>
      </c>
      <c r="R52" s="117">
        <v>16980487.870000001</v>
      </c>
      <c r="S52" s="117">
        <v>301.23259100000001</v>
      </c>
      <c r="T52" s="117">
        <v>16342359.6</v>
      </c>
      <c r="U52" s="117">
        <v>268.07548200000002</v>
      </c>
      <c r="V52" s="117">
        <v>15033115.42</v>
      </c>
      <c r="W52" s="117">
        <v>177.49903800000001</v>
      </c>
      <c r="X52" s="117">
        <v>10367976.51</v>
      </c>
      <c r="Y52" s="117">
        <v>208.30111600000001</v>
      </c>
      <c r="Z52" s="117">
        <v>12735346.859999999</v>
      </c>
      <c r="AA52" s="117">
        <v>42.319389000000001</v>
      </c>
      <c r="AB52" s="117">
        <v>2529575.2400000002</v>
      </c>
      <c r="AC52" s="117">
        <v>73.238128000000003</v>
      </c>
      <c r="AD52" s="117">
        <v>4022618.07</v>
      </c>
      <c r="AE52" s="150">
        <f>AC52+AA52+Y52+W52+U52+S52+Q52+O52+M52+K52+I52+G52</f>
        <v>2104.180519</v>
      </c>
      <c r="AF52" s="151">
        <f>AD52+AB52+Z52+X52+V52+T52+R52+P52+N52+L52+J52+H52</f>
        <v>109990856.01000001</v>
      </c>
      <c r="AG52" s="76"/>
      <c r="AH52" s="76"/>
    </row>
    <row r="53" spans="1:34">
      <c r="A53" s="573"/>
      <c r="B53" s="575"/>
      <c r="C53" s="573"/>
      <c r="D53" s="76" t="s">
        <v>2237</v>
      </c>
      <c r="E53" s="76" t="s">
        <v>2226</v>
      </c>
      <c r="F53" s="77" t="s">
        <v>2228</v>
      </c>
      <c r="G53" s="117">
        <v>2417.944</v>
      </c>
      <c r="H53" s="117">
        <v>20668513.397509549</v>
      </c>
      <c r="I53" s="117">
        <v>2871.8420000000001</v>
      </c>
      <c r="J53" s="117">
        <v>23418787.883601826</v>
      </c>
      <c r="K53" s="117">
        <v>3315.1289999999999</v>
      </c>
      <c r="L53" s="117">
        <v>29815833.139501866</v>
      </c>
      <c r="M53" s="117">
        <v>2027.4849999999999</v>
      </c>
      <c r="N53" s="117">
        <v>18906922.070105147</v>
      </c>
      <c r="O53" s="117">
        <v>2014.8938000000001</v>
      </c>
      <c r="P53" s="117">
        <v>19801377.638690162</v>
      </c>
      <c r="Q53" s="117">
        <v>2466.7008000000001</v>
      </c>
      <c r="R53" s="117">
        <v>22235091.948672384</v>
      </c>
      <c r="S53" s="117">
        <v>2214.5805</v>
      </c>
      <c r="T53" s="117">
        <v>17296030.437505726</v>
      </c>
      <c r="U53" s="117">
        <v>2012.3987999999999</v>
      </c>
      <c r="V53" s="117">
        <v>13187075.384647727</v>
      </c>
      <c r="W53" s="117">
        <v>1758.4683</v>
      </c>
      <c r="X53" s="117">
        <v>11732458.396351961</v>
      </c>
      <c r="Y53" s="117">
        <v>2271.2800000000002</v>
      </c>
      <c r="Z53" s="117">
        <v>15681194.495527441</v>
      </c>
      <c r="AA53" s="117">
        <v>3598.9848000000002</v>
      </c>
      <c r="AB53" s="117">
        <v>25354254.191477545</v>
      </c>
      <c r="AC53" s="117">
        <v>3558.4047999999998</v>
      </c>
      <c r="AD53" s="117">
        <v>25105446.172440041</v>
      </c>
      <c r="AE53" s="150">
        <f>AC53+AA53+Y53+W53+U53+S53+Q53+O53+M53+K53+I53+G53</f>
        <v>30528.111800000002</v>
      </c>
      <c r="AF53" s="151">
        <f>AD53+AB53+Z53+X53+V53+T53+R53+P53+N53+L53+J53+H53</f>
        <v>243202985.15603134</v>
      </c>
      <c r="AG53" s="76"/>
      <c r="AH53" s="76"/>
    </row>
    <row r="54" spans="1:34">
      <c r="A54" s="576">
        <v>26</v>
      </c>
      <c r="B54" s="578" t="s">
        <v>740</v>
      </c>
      <c r="C54" s="576" t="s">
        <v>741</v>
      </c>
      <c r="D54" s="74" t="s">
        <v>2256</v>
      </c>
      <c r="E54" s="74" t="s">
        <v>2244</v>
      </c>
      <c r="F54" s="73" t="s">
        <v>2257</v>
      </c>
      <c r="G54" s="116">
        <v>1598.5600000000004</v>
      </c>
      <c r="H54" s="116">
        <v>4695499.1276845541</v>
      </c>
      <c r="I54" s="116">
        <v>1819.53</v>
      </c>
      <c r="J54" s="116">
        <v>3430378.153343936</v>
      </c>
      <c r="K54" s="116">
        <v>1674.8899999999996</v>
      </c>
      <c r="L54" s="116">
        <v>3366230.257212474</v>
      </c>
      <c r="M54" s="116">
        <v>2187.36</v>
      </c>
      <c r="N54" s="116">
        <v>3994459.7292115795</v>
      </c>
      <c r="O54" s="116">
        <v>2632.51</v>
      </c>
      <c r="P54" s="116">
        <v>2482423.0287264544</v>
      </c>
      <c r="Q54" s="116">
        <v>1988.0399999999995</v>
      </c>
      <c r="R54" s="116">
        <v>2826358.3651675591</v>
      </c>
      <c r="S54" s="116">
        <v>1897.19</v>
      </c>
      <c r="T54" s="116">
        <v>3995038.8755071238</v>
      </c>
      <c r="U54" s="116">
        <v>1209.3800000000001</v>
      </c>
      <c r="V54" s="116">
        <v>4357696.9754648618</v>
      </c>
      <c r="W54" s="116">
        <v>1787.2</v>
      </c>
      <c r="X54" s="116">
        <v>3983206.8823317671</v>
      </c>
      <c r="Y54" s="116">
        <v>1765.8600000000001</v>
      </c>
      <c r="Z54" s="116">
        <v>3687161.0700919414</v>
      </c>
      <c r="AA54" s="116">
        <v>1256.8700000000001</v>
      </c>
      <c r="AB54" s="116">
        <v>3102042.9529415481</v>
      </c>
      <c r="AC54" s="116">
        <v>1983.16</v>
      </c>
      <c r="AD54" s="116">
        <v>4776099.4346550433</v>
      </c>
      <c r="AE54" s="116">
        <f t="shared" ref="AE54:AF55" si="11">AC54+AA54+Y54+W54+U54+S54+Q54+O54+M54+K54+I54+G54</f>
        <v>21800.55</v>
      </c>
      <c r="AF54" s="116">
        <f t="shared" si="11"/>
        <v>44696594.852338843</v>
      </c>
      <c r="AG54" s="74"/>
      <c r="AH54" s="74"/>
    </row>
    <row r="55" spans="1:34">
      <c r="A55" s="577"/>
      <c r="B55" s="579"/>
      <c r="C55" s="577"/>
      <c r="D55" s="74" t="s">
        <v>2258</v>
      </c>
      <c r="E55" s="74" t="s">
        <v>2259</v>
      </c>
      <c r="F55" s="73" t="s">
        <v>2260</v>
      </c>
      <c r="G55" s="116">
        <v>1768.404</v>
      </c>
      <c r="H55" s="116">
        <v>2125403.4984617792</v>
      </c>
      <c r="I55" s="116">
        <v>1511.3219999999999</v>
      </c>
      <c r="J55" s="116">
        <v>1841530.2613961569</v>
      </c>
      <c r="K55" s="116">
        <v>1890.2130000000002</v>
      </c>
      <c r="L55" s="116">
        <v>2235002.5836039553</v>
      </c>
      <c r="M55" s="116">
        <v>1574.9780000000001</v>
      </c>
      <c r="N55" s="116">
        <v>2220990.4764351822</v>
      </c>
      <c r="O55" s="116">
        <v>1629.182</v>
      </c>
      <c r="P55" s="116">
        <v>2630192.4018111229</v>
      </c>
      <c r="Q55" s="116">
        <v>1984.0129999999999</v>
      </c>
      <c r="R55" s="116">
        <v>2673796.634619094</v>
      </c>
      <c r="S55" s="116">
        <v>1554.396</v>
      </c>
      <c r="T55" s="116">
        <v>1894424.7050198582</v>
      </c>
      <c r="U55" s="116">
        <v>1244.03</v>
      </c>
      <c r="V55" s="116">
        <v>1141248.9675698089</v>
      </c>
      <c r="W55" s="116">
        <v>1664.806</v>
      </c>
      <c r="X55" s="116">
        <v>2068729.9749774965</v>
      </c>
      <c r="Y55" s="116">
        <v>2032.4050000000002</v>
      </c>
      <c r="Z55" s="116">
        <v>2105983.468590958</v>
      </c>
      <c r="AA55" s="116">
        <v>2104.31</v>
      </c>
      <c r="AB55" s="116">
        <v>2030554.6429764552</v>
      </c>
      <c r="AC55" s="116">
        <v>1768.404</v>
      </c>
      <c r="AD55" s="116">
        <v>1589129.7662046063</v>
      </c>
      <c r="AE55" s="116">
        <f t="shared" si="11"/>
        <v>20726.463</v>
      </c>
      <c r="AF55" s="116">
        <f t="shared" si="11"/>
        <v>24556987.381666474</v>
      </c>
      <c r="AG55" s="74"/>
      <c r="AH55" s="74"/>
    </row>
    <row r="56" spans="1:34">
      <c r="A56" s="571">
        <v>27</v>
      </c>
      <c r="B56" s="574" t="s">
        <v>115</v>
      </c>
      <c r="C56" s="571" t="s">
        <v>743</v>
      </c>
      <c r="D56" s="76" t="s">
        <v>2250</v>
      </c>
      <c r="E56" s="76" t="s">
        <v>2223</v>
      </c>
      <c r="F56" s="77" t="s">
        <v>2224</v>
      </c>
      <c r="G56" s="117">
        <v>278</v>
      </c>
      <c r="H56" s="117">
        <v>2204914.48</v>
      </c>
      <c r="I56" s="117"/>
      <c r="J56" s="117"/>
      <c r="K56" s="117"/>
      <c r="L56" s="117"/>
      <c r="M56" s="117">
        <v>73</v>
      </c>
      <c r="N56" s="117">
        <v>578988.32999999996</v>
      </c>
      <c r="O56" s="117">
        <v>117</v>
      </c>
      <c r="P56" s="117">
        <v>927967.6</v>
      </c>
      <c r="Q56" s="117">
        <v>576</v>
      </c>
      <c r="R56" s="117">
        <v>4568455.8899999997</v>
      </c>
      <c r="S56" s="117"/>
      <c r="T56" s="117"/>
      <c r="U56" s="117"/>
      <c r="V56" s="117"/>
      <c r="W56" s="117"/>
      <c r="X56" s="117"/>
      <c r="Y56" s="117"/>
      <c r="Z56" s="117"/>
      <c r="AA56" s="117">
        <v>36</v>
      </c>
      <c r="AB56" s="117">
        <v>285528.49</v>
      </c>
      <c r="AC56" s="117"/>
      <c r="AD56" s="117"/>
      <c r="AE56" s="150">
        <f>AC56+AA56+Y56+W56+U56+S56+Q56+O56+M56+K56+I56+G56</f>
        <v>1080</v>
      </c>
      <c r="AF56" s="151">
        <f>AD56+AB56+Z56+X56+V56+T56+R56+P56+N56+L56+J56+H56</f>
        <v>8565854.7899999991</v>
      </c>
      <c r="AG56" s="76"/>
      <c r="AH56" s="76"/>
    </row>
    <row r="57" spans="1:34">
      <c r="A57" s="572"/>
      <c r="B57" s="583"/>
      <c r="C57" s="572"/>
      <c r="D57" s="76" t="s">
        <v>2237</v>
      </c>
      <c r="E57" s="76" t="s">
        <v>2226</v>
      </c>
      <c r="F57" s="77" t="s">
        <v>2228</v>
      </c>
      <c r="G57" s="117">
        <v>1299</v>
      </c>
      <c r="H57" s="117">
        <v>7406135.3899999997</v>
      </c>
      <c r="I57" s="117">
        <v>1468</v>
      </c>
      <c r="J57" s="117">
        <v>8369674.1799999997</v>
      </c>
      <c r="K57" s="117">
        <v>2009</v>
      </c>
      <c r="L57" s="117">
        <v>11454138.57</v>
      </c>
      <c r="M57" s="117">
        <v>2226</v>
      </c>
      <c r="N57" s="117">
        <v>12691345.18</v>
      </c>
      <c r="O57" s="117">
        <v>2153</v>
      </c>
      <c r="P57" s="117">
        <v>12275142.039999999</v>
      </c>
      <c r="Q57" s="117">
        <v>1249</v>
      </c>
      <c r="R57" s="117">
        <v>7121064.75</v>
      </c>
      <c r="S57" s="117">
        <v>4437</v>
      </c>
      <c r="T57" s="117">
        <v>25297169.16</v>
      </c>
      <c r="U57" s="117">
        <v>2878</v>
      </c>
      <c r="V57" s="117">
        <v>16408666.41</v>
      </c>
      <c r="W57" s="117">
        <v>3736</v>
      </c>
      <c r="X57" s="117">
        <v>21300478.699999999</v>
      </c>
      <c r="Y57" s="117">
        <v>5912</v>
      </c>
      <c r="Z57" s="117">
        <v>33706753.240000002</v>
      </c>
      <c r="AA57" s="117">
        <v>2484</v>
      </c>
      <c r="AB57" s="117">
        <v>14162309.710000001</v>
      </c>
      <c r="AC57" s="117">
        <v>2920</v>
      </c>
      <c r="AD57" s="117">
        <v>16648125.75</v>
      </c>
      <c r="AE57" s="150">
        <f t="shared" ref="AE57:AF62" si="12">AC57+AA57+Y57+W57+U57+S57+Q57+O57+M57+K57+I57+G57</f>
        <v>32771</v>
      </c>
      <c r="AF57" s="151">
        <f t="shared" si="12"/>
        <v>186841003.07999998</v>
      </c>
      <c r="AG57" s="76"/>
      <c r="AH57" s="76"/>
    </row>
    <row r="58" spans="1:34">
      <c r="A58" s="572"/>
      <c r="B58" s="583"/>
      <c r="C58" s="572"/>
      <c r="D58" s="76" t="s">
        <v>2261</v>
      </c>
      <c r="E58" s="76" t="s">
        <v>2226</v>
      </c>
      <c r="F58" s="77" t="s">
        <v>2233</v>
      </c>
      <c r="G58" s="117">
        <v>5085.09</v>
      </c>
      <c r="H58" s="117">
        <v>210032.09999999998</v>
      </c>
      <c r="I58" s="117">
        <v>17046.439999999999</v>
      </c>
      <c r="J58" s="117">
        <v>1159801.92</v>
      </c>
      <c r="K58" s="117">
        <v>40187.18</v>
      </c>
      <c r="L58" s="117">
        <v>1271238.23</v>
      </c>
      <c r="M58" s="117">
        <v>24212.58</v>
      </c>
      <c r="N58" s="117">
        <v>946715.32000000007</v>
      </c>
      <c r="O58" s="117">
        <v>22780.42</v>
      </c>
      <c r="P58" s="117">
        <v>710624.04</v>
      </c>
      <c r="Q58" s="117">
        <v>24250.83</v>
      </c>
      <c r="R58" s="117">
        <v>707127.95</v>
      </c>
      <c r="S58" s="117">
        <v>30970.66</v>
      </c>
      <c r="T58" s="117">
        <v>864572.51</v>
      </c>
      <c r="U58" s="117">
        <v>23901.26</v>
      </c>
      <c r="V58" s="117">
        <v>693296.61</v>
      </c>
      <c r="W58" s="117">
        <v>34556.879999999997</v>
      </c>
      <c r="X58" s="117">
        <v>954845.55999999994</v>
      </c>
      <c r="Y58" s="117">
        <v>22097.27</v>
      </c>
      <c r="Z58" s="117">
        <v>1238917.04</v>
      </c>
      <c r="AA58" s="117">
        <v>24759.67</v>
      </c>
      <c r="AB58" s="117">
        <v>956403.89000000013</v>
      </c>
      <c r="AC58" s="117">
        <v>24342.26</v>
      </c>
      <c r="AD58" s="117">
        <v>847908.02</v>
      </c>
      <c r="AE58" s="150">
        <f t="shared" si="12"/>
        <v>294190.53999999998</v>
      </c>
      <c r="AF58" s="151">
        <f t="shared" si="12"/>
        <v>10561483.189999999</v>
      </c>
      <c r="AG58" s="76"/>
      <c r="AH58" s="76"/>
    </row>
    <row r="59" spans="1:34">
      <c r="A59" s="572"/>
      <c r="B59" s="583"/>
      <c r="C59" s="572"/>
      <c r="D59" s="76" t="s">
        <v>2262</v>
      </c>
      <c r="E59" s="76" t="s">
        <v>2226</v>
      </c>
      <c r="F59" s="77" t="s">
        <v>2263</v>
      </c>
      <c r="G59" s="117"/>
      <c r="H59" s="117"/>
      <c r="I59" s="117">
        <v>312</v>
      </c>
      <c r="J59" s="117">
        <v>2435668.56</v>
      </c>
      <c r="K59" s="117">
        <v>78</v>
      </c>
      <c r="L59" s="117">
        <v>619295.43000000005</v>
      </c>
      <c r="M59" s="117"/>
      <c r="N59" s="117"/>
      <c r="O59" s="117"/>
      <c r="P59" s="117"/>
      <c r="Q59" s="117"/>
      <c r="R59" s="117"/>
      <c r="S59" s="117"/>
      <c r="T59" s="117"/>
      <c r="U59" s="117">
        <v>432</v>
      </c>
      <c r="V59" s="117">
        <v>2599030.7999999998</v>
      </c>
      <c r="W59" s="117">
        <v>72</v>
      </c>
      <c r="X59" s="117">
        <v>458125.2</v>
      </c>
      <c r="Y59" s="117"/>
      <c r="Z59" s="117"/>
      <c r="AA59" s="117"/>
      <c r="AB59" s="117"/>
      <c r="AC59" s="117"/>
      <c r="AD59" s="117"/>
      <c r="AE59" s="150">
        <f t="shared" si="12"/>
        <v>894</v>
      </c>
      <c r="AF59" s="151">
        <f t="shared" si="12"/>
        <v>6112119.9900000002</v>
      </c>
      <c r="AG59" s="76"/>
      <c r="AH59" s="76"/>
    </row>
    <row r="60" spans="1:34">
      <c r="A60" s="573"/>
      <c r="B60" s="575"/>
      <c r="C60" s="573"/>
      <c r="D60" s="76" t="s">
        <v>2262</v>
      </c>
      <c r="E60" s="76" t="s">
        <v>2223</v>
      </c>
      <c r="F60" s="77" t="s">
        <v>2264</v>
      </c>
      <c r="G60" s="117">
        <v>125</v>
      </c>
      <c r="H60" s="117">
        <v>298370.98</v>
      </c>
      <c r="I60" s="117"/>
      <c r="J60" s="117"/>
      <c r="K60" s="117"/>
      <c r="L60" s="117"/>
      <c r="M60" s="117"/>
      <c r="N60" s="117"/>
      <c r="O60" s="117">
        <v>434</v>
      </c>
      <c r="P60" s="117">
        <v>1035944.05</v>
      </c>
      <c r="Q60" s="117"/>
      <c r="R60" s="117"/>
      <c r="S60" s="117">
        <v>203</v>
      </c>
      <c r="T60" s="117">
        <v>484554.5</v>
      </c>
      <c r="U60" s="117"/>
      <c r="V60" s="117"/>
      <c r="W60" s="117"/>
      <c r="X60" s="117"/>
      <c r="Y60" s="117"/>
      <c r="Z60" s="117"/>
      <c r="AA60" s="117"/>
      <c r="AB60" s="117"/>
      <c r="AC60" s="117"/>
      <c r="AD60" s="117"/>
      <c r="AE60" s="150">
        <f t="shared" si="12"/>
        <v>762</v>
      </c>
      <c r="AF60" s="151">
        <f t="shared" si="12"/>
        <v>1818869.53</v>
      </c>
      <c r="AG60" s="76"/>
      <c r="AH60" s="76"/>
    </row>
    <row r="61" spans="1:34">
      <c r="A61" s="576">
        <v>28</v>
      </c>
      <c r="B61" s="578" t="s">
        <v>747</v>
      </c>
      <c r="C61" s="576" t="s">
        <v>748</v>
      </c>
      <c r="D61" s="576"/>
      <c r="E61" s="576"/>
      <c r="F61" s="73" t="s">
        <v>2265</v>
      </c>
      <c r="G61" s="116">
        <v>2020.4649999999999</v>
      </c>
      <c r="H61" s="116"/>
      <c r="I61" s="116">
        <v>1901.1780000000001</v>
      </c>
      <c r="J61" s="116"/>
      <c r="K61" s="116">
        <v>1935</v>
      </c>
      <c r="L61" s="116"/>
      <c r="M61" s="116">
        <v>1853.366</v>
      </c>
      <c r="N61" s="116"/>
      <c r="O61" s="116">
        <v>2021.8309999999999</v>
      </c>
      <c r="P61" s="116"/>
      <c r="Q61" s="116">
        <v>2236.2462</v>
      </c>
      <c r="R61" s="116"/>
      <c r="S61" s="116">
        <v>1855.866</v>
      </c>
      <c r="T61" s="116"/>
      <c r="U61" s="116">
        <v>1924.1189999999999</v>
      </c>
      <c r="V61" s="116"/>
      <c r="W61" s="116">
        <v>2080.7750000000001</v>
      </c>
      <c r="X61" s="116"/>
      <c r="Y61" s="116">
        <v>1886.3807999999999</v>
      </c>
      <c r="Z61" s="116"/>
      <c r="AA61" s="116">
        <v>2350</v>
      </c>
      <c r="AB61" s="116"/>
      <c r="AC61" s="116">
        <v>1650.433</v>
      </c>
      <c r="AD61" s="116"/>
      <c r="AE61" s="116">
        <f t="shared" si="12"/>
        <v>23715.66</v>
      </c>
      <c r="AF61" s="116">
        <f t="shared" si="12"/>
        <v>0</v>
      </c>
      <c r="AG61" s="74"/>
      <c r="AH61" s="74"/>
    </row>
    <row r="62" spans="1:34">
      <c r="A62" s="577"/>
      <c r="B62" s="579"/>
      <c r="C62" s="577"/>
      <c r="D62" s="577"/>
      <c r="E62" s="577"/>
      <c r="F62" s="73" t="s">
        <v>2266</v>
      </c>
      <c r="G62" s="116">
        <v>128.69999999999999</v>
      </c>
      <c r="H62" s="116"/>
      <c r="I62" s="116">
        <v>145.4</v>
      </c>
      <c r="J62" s="116"/>
      <c r="K62" s="116">
        <v>145.30000000000001</v>
      </c>
      <c r="L62" s="116"/>
      <c r="M62" s="116">
        <v>125.7</v>
      </c>
      <c r="N62" s="116"/>
      <c r="O62" s="116">
        <v>90.3</v>
      </c>
      <c r="P62" s="116"/>
      <c r="Q62" s="116">
        <v>83.9</v>
      </c>
      <c r="R62" s="116"/>
      <c r="S62" s="116">
        <v>96.05</v>
      </c>
      <c r="T62" s="116"/>
      <c r="U62" s="116">
        <v>110.2</v>
      </c>
      <c r="V62" s="116"/>
      <c r="W62" s="116">
        <v>123.7</v>
      </c>
      <c r="X62" s="116"/>
      <c r="Y62" s="116">
        <v>143.1</v>
      </c>
      <c r="Z62" s="116"/>
      <c r="AA62" s="116">
        <v>112.1</v>
      </c>
      <c r="AB62" s="116"/>
      <c r="AC62" s="116">
        <v>114.07</v>
      </c>
      <c r="AD62" s="116"/>
      <c r="AE62" s="116">
        <f t="shared" si="12"/>
        <v>1418.52</v>
      </c>
      <c r="AF62" s="116">
        <f t="shared" si="12"/>
        <v>0</v>
      </c>
      <c r="AG62" s="74"/>
      <c r="AH62" s="74"/>
    </row>
    <row r="63" spans="1:34">
      <c r="A63" s="571">
        <v>29</v>
      </c>
      <c r="B63" s="574" t="s">
        <v>752</v>
      </c>
      <c r="C63" s="571" t="s">
        <v>753</v>
      </c>
      <c r="D63" s="76" t="s">
        <v>2267</v>
      </c>
      <c r="E63" s="76" t="s">
        <v>2268</v>
      </c>
      <c r="F63" s="77" t="s">
        <v>2269</v>
      </c>
      <c r="G63" s="117">
        <v>273.35120000000001</v>
      </c>
      <c r="H63" s="117"/>
      <c r="I63" s="117">
        <v>270.0727</v>
      </c>
      <c r="J63" s="117"/>
      <c r="K63" s="117">
        <v>267.03359999999998</v>
      </c>
      <c r="L63" s="117"/>
      <c r="M63" s="117">
        <v>276.11849999999998</v>
      </c>
      <c r="N63" s="117"/>
      <c r="O63" s="117">
        <v>281.4006</v>
      </c>
      <c r="P63" s="117"/>
      <c r="Q63" s="117">
        <v>276.99180000000001</v>
      </c>
      <c r="R63" s="117"/>
      <c r="S63" s="117">
        <v>277.73559999999998</v>
      </c>
      <c r="T63" s="117"/>
      <c r="U63" s="117">
        <v>275.57440000000003</v>
      </c>
      <c r="V63" s="117"/>
      <c r="W63" s="117">
        <v>285.41699999999997</v>
      </c>
      <c r="X63" s="117"/>
      <c r="Y63" s="117">
        <v>228.2346</v>
      </c>
      <c r="Z63" s="117"/>
      <c r="AA63" s="117">
        <v>226.7808</v>
      </c>
      <c r="AB63" s="117"/>
      <c r="AC63" s="117">
        <v>212.76179999999999</v>
      </c>
      <c r="AD63" s="117"/>
      <c r="AE63" s="150">
        <f>AC63+AA63+Y63+W63+U63+S63+Q63+O63+M63+K63+I63+G63</f>
        <v>3151.4726000000005</v>
      </c>
      <c r="AF63" s="151"/>
      <c r="AG63" s="76"/>
      <c r="AH63" s="76"/>
    </row>
    <row r="64" spans="1:34">
      <c r="A64" s="572"/>
      <c r="B64" s="583"/>
      <c r="C64" s="572"/>
      <c r="D64" s="76" t="s">
        <v>2270</v>
      </c>
      <c r="E64" s="76" t="s">
        <v>2226</v>
      </c>
      <c r="F64" s="77" t="s">
        <v>2231</v>
      </c>
      <c r="G64" s="117">
        <v>1073.2427</v>
      </c>
      <c r="H64" s="117"/>
      <c r="I64" s="117">
        <v>2082.8917000000001</v>
      </c>
      <c r="J64" s="117"/>
      <c r="K64" s="117"/>
      <c r="L64" s="117"/>
      <c r="M64" s="117"/>
      <c r="N64" s="117"/>
      <c r="O64" s="117"/>
      <c r="P64" s="117"/>
      <c r="Q64" s="117"/>
      <c r="R64" s="117"/>
      <c r="S64" s="117"/>
      <c r="T64" s="117"/>
      <c r="U64" s="117"/>
      <c r="V64" s="117"/>
      <c r="W64" s="117"/>
      <c r="X64" s="117"/>
      <c r="Y64" s="117"/>
      <c r="Z64" s="117"/>
      <c r="AA64" s="117"/>
      <c r="AB64" s="117"/>
      <c r="AC64" s="117"/>
      <c r="AD64" s="117"/>
      <c r="AE64" s="150">
        <f>AC64+AA64+Y64+W64+U64+S64+Q64+O64+M64+K64+I64+G64</f>
        <v>3156.1343999999999</v>
      </c>
      <c r="AF64" s="151"/>
      <c r="AG64" s="76"/>
      <c r="AH64" s="76"/>
    </row>
    <row r="65" spans="1:34">
      <c r="A65" s="573"/>
      <c r="B65" s="575"/>
      <c r="C65" s="573"/>
      <c r="D65" s="76" t="s">
        <v>2237</v>
      </c>
      <c r="E65" s="76" t="s">
        <v>2226</v>
      </c>
      <c r="F65" s="77" t="s">
        <v>2228</v>
      </c>
      <c r="G65" s="117">
        <v>21236.838</v>
      </c>
      <c r="H65" s="117"/>
      <c r="I65" s="117">
        <v>22359.442500000001</v>
      </c>
      <c r="J65" s="117"/>
      <c r="K65" s="117">
        <v>21942.316999999999</v>
      </c>
      <c r="L65" s="117"/>
      <c r="M65" s="117">
        <v>22068.570500000002</v>
      </c>
      <c r="N65" s="117"/>
      <c r="O65" s="117">
        <v>22069.678</v>
      </c>
      <c r="P65" s="117"/>
      <c r="Q65" s="117">
        <v>22028.717000000001</v>
      </c>
      <c r="R65" s="117"/>
      <c r="S65" s="117">
        <v>22312.967000000001</v>
      </c>
      <c r="T65" s="117"/>
      <c r="U65" s="117">
        <v>22236.892</v>
      </c>
      <c r="V65" s="117"/>
      <c r="W65" s="117">
        <v>22198.932000000001</v>
      </c>
      <c r="X65" s="117"/>
      <c r="Y65" s="117">
        <v>19349.427</v>
      </c>
      <c r="Z65" s="117"/>
      <c r="AA65" s="117">
        <v>17551.786</v>
      </c>
      <c r="AB65" s="117"/>
      <c r="AC65" s="117">
        <v>15233.127</v>
      </c>
      <c r="AD65" s="117"/>
      <c r="AE65" s="150">
        <f>AC65+AA65+Y65+W65+U65+S65+Q65+O65+M65+K65+I65+G65</f>
        <v>250588.69400000002</v>
      </c>
      <c r="AF65" s="151"/>
      <c r="AG65" s="76"/>
      <c r="AH65" s="76"/>
    </row>
    <row r="66" spans="1:34">
      <c r="A66" s="74">
        <v>31</v>
      </c>
      <c r="B66" s="73" t="s">
        <v>760</v>
      </c>
      <c r="C66" s="74" t="s">
        <v>761</v>
      </c>
      <c r="D66" s="74" t="s">
        <v>619</v>
      </c>
      <c r="E66" s="74" t="s">
        <v>619</v>
      </c>
      <c r="F66" s="73" t="s">
        <v>619</v>
      </c>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74"/>
      <c r="AH66" s="74"/>
    </row>
    <row r="67" spans="1:34">
      <c r="A67" s="76">
        <v>32</v>
      </c>
      <c r="B67" s="77" t="s">
        <v>763</v>
      </c>
      <c r="C67" s="76" t="s">
        <v>764</v>
      </c>
      <c r="D67" s="76" t="s">
        <v>2237</v>
      </c>
      <c r="E67" s="76" t="s">
        <v>2226</v>
      </c>
      <c r="F67" s="77" t="s">
        <v>2228</v>
      </c>
      <c r="G67" s="117">
        <v>2058.2199999999998</v>
      </c>
      <c r="H67" s="117"/>
      <c r="I67" s="117">
        <v>1971.02</v>
      </c>
      <c r="J67" s="117"/>
      <c r="K67" s="117">
        <v>1966.39</v>
      </c>
      <c r="L67" s="117"/>
      <c r="M67" s="117">
        <v>2429.34</v>
      </c>
      <c r="N67" s="117"/>
      <c r="O67" s="117">
        <v>2529.56</v>
      </c>
      <c r="P67" s="117"/>
      <c r="Q67" s="117">
        <v>2524.34</v>
      </c>
      <c r="R67" s="117"/>
      <c r="S67" s="117">
        <v>2734.45</v>
      </c>
      <c r="T67" s="117"/>
      <c r="U67" s="117">
        <v>2803.38</v>
      </c>
      <c r="V67" s="117"/>
      <c r="W67" s="117">
        <v>2645.91</v>
      </c>
      <c r="X67" s="117"/>
      <c r="Y67" s="117">
        <v>2806.76</v>
      </c>
      <c r="Z67" s="117"/>
      <c r="AA67" s="117">
        <v>2787.17</v>
      </c>
      <c r="AB67" s="117"/>
      <c r="AC67" s="117">
        <v>2854.36</v>
      </c>
      <c r="AD67" s="117"/>
      <c r="AE67" s="150">
        <f>AC67+AA67+Y67+W67+U67+S67+Q67+O67+M67+K67+I67+G67</f>
        <v>30110.900000000005</v>
      </c>
      <c r="AF67" s="151"/>
      <c r="AG67" s="76"/>
      <c r="AH67" s="76"/>
    </row>
    <row r="68" spans="1:34">
      <c r="A68" s="74">
        <v>33</v>
      </c>
      <c r="B68" s="73" t="s">
        <v>767</v>
      </c>
      <c r="C68" s="74" t="s">
        <v>768</v>
      </c>
      <c r="D68" s="74" t="s">
        <v>619</v>
      </c>
      <c r="E68" s="74" t="s">
        <v>619</v>
      </c>
      <c r="F68" s="73" t="s">
        <v>619</v>
      </c>
      <c r="G68" s="116"/>
      <c r="H68" s="116"/>
      <c r="I68" s="116"/>
      <c r="J68" s="116"/>
      <c r="K68" s="116"/>
      <c r="L68" s="116"/>
      <c r="M68" s="116"/>
      <c r="N68" s="116"/>
      <c r="O68" s="116"/>
      <c r="P68" s="116"/>
      <c r="Q68" s="116"/>
      <c r="R68" s="116"/>
      <c r="S68" s="116"/>
      <c r="T68" s="116"/>
      <c r="U68" s="116"/>
      <c r="V68" s="116"/>
      <c r="W68" s="116"/>
      <c r="X68" s="116"/>
      <c r="Y68" s="116"/>
      <c r="Z68" s="116"/>
      <c r="AA68" s="116"/>
      <c r="AB68" s="116"/>
      <c r="AC68" s="116"/>
      <c r="AD68" s="116"/>
      <c r="AE68" s="116"/>
      <c r="AF68" s="116"/>
      <c r="AG68" s="74"/>
      <c r="AH68" s="74"/>
    </row>
    <row r="69" spans="1:34">
      <c r="A69" s="571">
        <v>34</v>
      </c>
      <c r="B69" s="608" t="s">
        <v>774</v>
      </c>
      <c r="C69" s="571" t="s">
        <v>775</v>
      </c>
      <c r="D69" s="76" t="s">
        <v>2250</v>
      </c>
      <c r="E69" s="76" t="s">
        <v>2223</v>
      </c>
      <c r="F69" s="77" t="s">
        <v>2224</v>
      </c>
      <c r="G69" s="117">
        <v>104.69199999999999</v>
      </c>
      <c r="H69" s="117"/>
      <c r="I69" s="117">
        <v>125.839</v>
      </c>
      <c r="J69" s="117"/>
      <c r="K69" s="117">
        <v>108.468</v>
      </c>
      <c r="L69" s="117"/>
      <c r="M69" s="117">
        <v>104.127</v>
      </c>
      <c r="N69" s="117"/>
      <c r="O69" s="117">
        <v>100.938</v>
      </c>
      <c r="P69" s="117"/>
      <c r="Q69" s="117">
        <v>103.116</v>
      </c>
      <c r="R69" s="117"/>
      <c r="S69" s="117">
        <v>98.447999999999993</v>
      </c>
      <c r="T69" s="117"/>
      <c r="U69" s="117">
        <v>78.555000000000007</v>
      </c>
      <c r="V69" s="117"/>
      <c r="W69" s="117">
        <v>100.119</v>
      </c>
      <c r="X69" s="117"/>
      <c r="Y69" s="117">
        <v>102.648</v>
      </c>
      <c r="Z69" s="117"/>
      <c r="AA69" s="117">
        <v>95.414000000000001</v>
      </c>
      <c r="AB69" s="117"/>
      <c r="AC69" s="117"/>
      <c r="AD69" s="117"/>
      <c r="AE69" s="150">
        <f>AC69+AA69+Y69+W69+U69+S69+Q69+O69+M69+K69+I69+G69</f>
        <v>1122.364</v>
      </c>
      <c r="AF69" s="151">
        <f>AD69+AB69+Z69+X69+V69+T69+R69+P69+N69+L69+J69+H69</f>
        <v>0</v>
      </c>
      <c r="AG69" s="76"/>
      <c r="AH69" s="76"/>
    </row>
    <row r="70" spans="1:34">
      <c r="A70" s="572"/>
      <c r="B70" s="610"/>
      <c r="C70" s="572"/>
      <c r="D70" s="76" t="s">
        <v>2271</v>
      </c>
      <c r="E70" s="76" t="s">
        <v>2226</v>
      </c>
      <c r="F70" s="77" t="s">
        <v>2242</v>
      </c>
      <c r="G70" s="117"/>
      <c r="H70" s="117"/>
      <c r="I70" s="117"/>
      <c r="J70" s="117"/>
      <c r="K70" s="117"/>
      <c r="L70" s="117"/>
      <c r="M70" s="117"/>
      <c r="N70" s="117"/>
      <c r="O70" s="117">
        <v>671.46</v>
      </c>
      <c r="P70" s="117"/>
      <c r="Q70" s="117">
        <v>1242.33</v>
      </c>
      <c r="R70" s="117"/>
      <c r="S70" s="117">
        <v>1639.13</v>
      </c>
      <c r="T70" s="117"/>
      <c r="U70" s="117">
        <v>1570.09</v>
      </c>
      <c r="V70" s="117"/>
      <c r="W70" s="117">
        <v>1532</v>
      </c>
      <c r="X70" s="117"/>
      <c r="Y70" s="117">
        <v>1310.19</v>
      </c>
      <c r="Z70" s="117"/>
      <c r="AA70" s="117">
        <v>358.41</v>
      </c>
      <c r="AB70" s="117"/>
      <c r="AC70" s="117"/>
      <c r="AD70" s="117"/>
      <c r="AE70" s="150">
        <f t="shared" ref="AE70:AF71" si="13">AC70+AA70+Y70+W70+U70+S70+Q70+O70+M70+K70+I70+G70</f>
        <v>8323.61</v>
      </c>
      <c r="AF70" s="151">
        <f t="shared" si="13"/>
        <v>0</v>
      </c>
      <c r="AG70" s="76"/>
      <c r="AH70" s="76"/>
    </row>
    <row r="71" spans="1:34">
      <c r="A71" s="573"/>
      <c r="B71" s="609"/>
      <c r="C71" s="573"/>
      <c r="D71" s="76" t="s">
        <v>2237</v>
      </c>
      <c r="E71" s="76" t="s">
        <v>2226</v>
      </c>
      <c r="F71" s="77" t="s">
        <v>2228</v>
      </c>
      <c r="G71" s="117">
        <v>1344.1479999999999</v>
      </c>
      <c r="H71" s="117"/>
      <c r="I71" s="117">
        <v>1413.2370000000001</v>
      </c>
      <c r="J71" s="117"/>
      <c r="K71" s="117">
        <v>1400.2249999999999</v>
      </c>
      <c r="L71" s="117"/>
      <c r="M71" s="117">
        <v>1564.441</v>
      </c>
      <c r="N71" s="117"/>
      <c r="O71" s="117">
        <v>1537.954</v>
      </c>
      <c r="P71" s="117"/>
      <c r="Q71" s="117">
        <v>1595.49</v>
      </c>
      <c r="R71" s="117"/>
      <c r="S71" s="117">
        <v>1466.462</v>
      </c>
      <c r="T71" s="117"/>
      <c r="U71" s="117">
        <v>1520.18</v>
      </c>
      <c r="V71" s="117"/>
      <c r="W71" s="117">
        <v>1580.1890000000001</v>
      </c>
      <c r="X71" s="117"/>
      <c r="Y71" s="117">
        <v>1532.3030000000001</v>
      </c>
      <c r="Z71" s="117"/>
      <c r="AA71" s="117">
        <v>1515.306</v>
      </c>
      <c r="AB71" s="117"/>
      <c r="AC71" s="117">
        <v>1442.6489999999999</v>
      </c>
      <c r="AD71" s="117"/>
      <c r="AE71" s="150">
        <f t="shared" si="13"/>
        <v>17912.584000000003</v>
      </c>
      <c r="AF71" s="151">
        <f t="shared" si="13"/>
        <v>0</v>
      </c>
      <c r="AG71" s="76"/>
      <c r="AH71" s="76"/>
    </row>
    <row r="72" spans="1:34">
      <c r="A72" s="74">
        <v>36</v>
      </c>
      <c r="B72" s="73" t="s">
        <v>778</v>
      </c>
      <c r="C72" s="74" t="s">
        <v>779</v>
      </c>
      <c r="D72" s="74" t="s">
        <v>619</v>
      </c>
      <c r="E72" s="74" t="s">
        <v>619</v>
      </c>
      <c r="F72" s="73" t="s">
        <v>619</v>
      </c>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E72" s="116"/>
      <c r="AF72" s="116"/>
      <c r="AG72" s="74"/>
      <c r="AH72" s="74"/>
    </row>
    <row r="73" spans="1:34">
      <c r="A73" s="76">
        <v>37</v>
      </c>
      <c r="B73" s="77" t="s">
        <v>783</v>
      </c>
      <c r="C73" s="76" t="s">
        <v>784</v>
      </c>
      <c r="D73" s="76" t="s">
        <v>619</v>
      </c>
      <c r="E73" s="76" t="s">
        <v>619</v>
      </c>
      <c r="F73" s="77" t="s">
        <v>619</v>
      </c>
      <c r="G73" s="117"/>
      <c r="H73" s="117"/>
      <c r="I73" s="117"/>
      <c r="J73" s="117"/>
      <c r="K73" s="117"/>
      <c r="L73" s="117"/>
      <c r="M73" s="117"/>
      <c r="N73" s="117"/>
      <c r="O73" s="117"/>
      <c r="P73" s="117"/>
      <c r="Q73" s="117"/>
      <c r="R73" s="117"/>
      <c r="S73" s="117"/>
      <c r="T73" s="117"/>
      <c r="U73" s="117"/>
      <c r="V73" s="117"/>
      <c r="W73" s="117"/>
      <c r="X73" s="117"/>
      <c r="Y73" s="117"/>
      <c r="Z73" s="117"/>
      <c r="AA73" s="117"/>
      <c r="AB73" s="117"/>
      <c r="AC73" s="117"/>
      <c r="AD73" s="117"/>
      <c r="AE73" s="117"/>
      <c r="AF73" s="117"/>
      <c r="AG73" s="76"/>
      <c r="AH73" s="76"/>
    </row>
    <row r="74" spans="1:34">
      <c r="A74" s="576">
        <v>38</v>
      </c>
      <c r="B74" s="578" t="s">
        <v>786</v>
      </c>
      <c r="C74" s="576" t="s">
        <v>787</v>
      </c>
      <c r="D74" s="74"/>
      <c r="E74" s="74" t="s">
        <v>2272</v>
      </c>
      <c r="F74" s="73"/>
      <c r="G74" s="116">
        <v>1372.24</v>
      </c>
      <c r="H74" s="116">
        <v>9774.5</v>
      </c>
      <c r="I74" s="116">
        <v>1441.17</v>
      </c>
      <c r="J74" s="116">
        <v>9940</v>
      </c>
      <c r="K74" s="116">
        <v>1848.75</v>
      </c>
      <c r="L74" s="116">
        <v>10236.700000000001</v>
      </c>
      <c r="M74" s="116">
        <v>1719.77</v>
      </c>
      <c r="N74" s="116">
        <v>10182.299999999999</v>
      </c>
      <c r="O74" s="116">
        <v>1633.78</v>
      </c>
      <c r="P74" s="116">
        <v>9362.1</v>
      </c>
      <c r="Q74" s="116">
        <v>1590.79</v>
      </c>
      <c r="R74" s="116">
        <v>9032</v>
      </c>
      <c r="S74" s="116">
        <v>1633.78</v>
      </c>
      <c r="T74" s="116">
        <v>7529.1</v>
      </c>
      <c r="U74" s="116">
        <v>1719.77</v>
      </c>
      <c r="V74" s="116">
        <v>7960.2</v>
      </c>
      <c r="W74" s="116">
        <v>1568.43</v>
      </c>
      <c r="X74" s="116">
        <v>7733.8</v>
      </c>
      <c r="Y74" s="116">
        <v>1300.1500000000001</v>
      </c>
      <c r="Z74" s="116">
        <v>7620.2</v>
      </c>
      <c r="AA74" s="116">
        <v>1135.05</v>
      </c>
      <c r="AB74" s="116">
        <v>8028.9</v>
      </c>
      <c r="AC74" s="116">
        <v>1650.98</v>
      </c>
      <c r="AD74" s="116">
        <v>8366.7999999999993</v>
      </c>
      <c r="AE74" s="116">
        <f t="shared" ref="AE74:AF75" si="14">AC74+AA74+Y74+W74+U74+S74+Q74+O74+M74+K74+I74+G74</f>
        <v>18614.660000000003</v>
      </c>
      <c r="AF74" s="116">
        <f t="shared" si="14"/>
        <v>105766.59999999999</v>
      </c>
      <c r="AG74" s="74"/>
      <c r="AH74" s="74"/>
    </row>
    <row r="75" spans="1:34">
      <c r="A75" s="577"/>
      <c r="B75" s="579"/>
      <c r="C75" s="577"/>
      <c r="D75" s="74"/>
      <c r="E75" s="74" t="s">
        <v>2273</v>
      </c>
      <c r="F75" s="73"/>
      <c r="G75" s="116">
        <v>1558.806</v>
      </c>
      <c r="H75" s="116">
        <v>70575</v>
      </c>
      <c r="I75" s="116">
        <v>1700.5150000000001</v>
      </c>
      <c r="J75" s="116">
        <v>71620.3</v>
      </c>
      <c r="K75" s="116">
        <v>1133.6769999999999</v>
      </c>
      <c r="L75" s="116">
        <v>80482.600000000006</v>
      </c>
      <c r="M75" s="116">
        <v>1149.548</v>
      </c>
      <c r="N75" s="116">
        <v>81809.5</v>
      </c>
      <c r="O75" s="116">
        <v>1105.335</v>
      </c>
      <c r="P75" s="116">
        <v>77546.3</v>
      </c>
      <c r="Q75" s="116">
        <v>1055.453</v>
      </c>
      <c r="R75" s="116">
        <v>71979.600000000006</v>
      </c>
      <c r="S75" s="116">
        <v>1033.913</v>
      </c>
      <c r="T75" s="116">
        <v>55786</v>
      </c>
      <c r="U75" s="116">
        <v>947.75400000000002</v>
      </c>
      <c r="V75" s="116">
        <v>49285.4</v>
      </c>
      <c r="W75" s="116">
        <v>1061.0989999999999</v>
      </c>
      <c r="X75" s="116">
        <v>51583.5</v>
      </c>
      <c r="Y75" s="116">
        <v>577.80489999999998</v>
      </c>
      <c r="Z75" s="116">
        <v>51580.2</v>
      </c>
      <c r="AA75" s="116">
        <v>577.80489999999998</v>
      </c>
      <c r="AB75" s="116">
        <v>51582.6</v>
      </c>
      <c r="AC75" s="116">
        <v>1066.7170000000001</v>
      </c>
      <c r="AD75" s="116">
        <v>51559.7</v>
      </c>
      <c r="AE75" s="116">
        <f t="shared" si="14"/>
        <v>12968.426799999999</v>
      </c>
      <c r="AF75" s="116">
        <f t="shared" si="14"/>
        <v>765390.70000000007</v>
      </c>
      <c r="AG75" s="74"/>
      <c r="AH75" s="74"/>
    </row>
    <row r="76" spans="1:34">
      <c r="A76" s="76">
        <v>39</v>
      </c>
      <c r="B76" s="77" t="s">
        <v>549</v>
      </c>
      <c r="C76" s="76" t="s">
        <v>789</v>
      </c>
      <c r="D76" s="76" t="s">
        <v>619</v>
      </c>
      <c r="E76" s="76" t="s">
        <v>619</v>
      </c>
      <c r="F76" s="77" t="s">
        <v>619</v>
      </c>
      <c r="G76" s="117"/>
      <c r="H76" s="117"/>
      <c r="I76" s="117"/>
      <c r="J76" s="117"/>
      <c r="K76" s="117"/>
      <c r="L76" s="117"/>
      <c r="M76" s="117"/>
      <c r="N76" s="117"/>
      <c r="O76" s="117"/>
      <c r="P76" s="117"/>
      <c r="Q76" s="117"/>
      <c r="R76" s="117"/>
      <c r="S76" s="117"/>
      <c r="T76" s="117"/>
      <c r="U76" s="117"/>
      <c r="V76" s="117"/>
      <c r="W76" s="117"/>
      <c r="X76" s="117"/>
      <c r="Y76" s="117"/>
      <c r="Z76" s="117"/>
      <c r="AA76" s="117"/>
      <c r="AB76" s="117"/>
      <c r="AC76" s="117"/>
      <c r="AD76" s="117"/>
      <c r="AE76" s="117"/>
      <c r="AF76" s="117"/>
      <c r="AG76" s="76"/>
      <c r="AH76" s="76"/>
    </row>
    <row r="77" spans="1:34">
      <c r="A77" s="74">
        <v>41</v>
      </c>
      <c r="B77" s="73" t="s">
        <v>227</v>
      </c>
      <c r="C77" s="74" t="s">
        <v>790</v>
      </c>
      <c r="D77" s="74" t="s">
        <v>619</v>
      </c>
      <c r="E77" s="74" t="s">
        <v>619</v>
      </c>
      <c r="F77" s="73" t="s">
        <v>619</v>
      </c>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74"/>
      <c r="AH77" s="74"/>
    </row>
    <row r="78" spans="1:34">
      <c r="A78" s="571">
        <v>42</v>
      </c>
      <c r="B78" s="574" t="s">
        <v>792</v>
      </c>
      <c r="C78" s="571" t="s">
        <v>793</v>
      </c>
      <c r="D78" s="76" t="s">
        <v>2274</v>
      </c>
      <c r="E78" s="76" t="s">
        <v>2223</v>
      </c>
      <c r="F78" s="77" t="s">
        <v>2275</v>
      </c>
      <c r="G78" s="117">
        <v>525.26</v>
      </c>
      <c r="H78" s="117">
        <v>1715178.1</v>
      </c>
      <c r="I78" s="117">
        <v>0</v>
      </c>
      <c r="J78" s="117">
        <v>0</v>
      </c>
      <c r="K78" s="117">
        <v>348.4</v>
      </c>
      <c r="L78" s="117">
        <v>978460.44</v>
      </c>
      <c r="M78" s="117">
        <v>156</v>
      </c>
      <c r="N78" s="117">
        <v>554520</v>
      </c>
      <c r="O78" s="117">
        <v>0</v>
      </c>
      <c r="P78" s="117">
        <v>0</v>
      </c>
      <c r="Q78" s="117">
        <v>0</v>
      </c>
      <c r="R78" s="117">
        <v>0</v>
      </c>
      <c r="S78" s="117">
        <v>0</v>
      </c>
      <c r="T78" s="117">
        <v>0</v>
      </c>
      <c r="U78" s="117">
        <v>0</v>
      </c>
      <c r="V78" s="117">
        <v>0</v>
      </c>
      <c r="W78" s="117">
        <v>0</v>
      </c>
      <c r="X78" s="117">
        <v>0</v>
      </c>
      <c r="Y78" s="117">
        <v>0</v>
      </c>
      <c r="Z78" s="117">
        <v>0</v>
      </c>
      <c r="AA78" s="117">
        <v>0</v>
      </c>
      <c r="AB78" s="117">
        <v>0</v>
      </c>
      <c r="AC78" s="117">
        <v>0</v>
      </c>
      <c r="AD78" s="117">
        <v>0</v>
      </c>
      <c r="AE78" s="150">
        <f t="shared" ref="AE78:AF79" si="15">AC78+AA78+Y78+W78+U78+S78+Q78+O78+M78+K78+I78+G78</f>
        <v>1029.6599999999999</v>
      </c>
      <c r="AF78" s="151">
        <f t="shared" si="15"/>
        <v>3248158.54</v>
      </c>
      <c r="AG78" s="76"/>
      <c r="AH78" s="76"/>
    </row>
    <row r="79" spans="1:34">
      <c r="A79" s="573"/>
      <c r="B79" s="575"/>
      <c r="C79" s="573"/>
      <c r="D79" s="76" t="s">
        <v>2276</v>
      </c>
      <c r="E79" s="76" t="s">
        <v>2226</v>
      </c>
      <c r="F79" s="77" t="s">
        <v>2232</v>
      </c>
      <c r="G79" s="117">
        <v>1612.67</v>
      </c>
      <c r="H79" s="117">
        <v>9337633.3599999994</v>
      </c>
      <c r="I79" s="117">
        <v>1110.79</v>
      </c>
      <c r="J79" s="117">
        <v>6683521.0899999999</v>
      </c>
      <c r="K79" s="117">
        <v>1042.07</v>
      </c>
      <c r="L79" s="117">
        <v>6273668.6699999999</v>
      </c>
      <c r="M79" s="117">
        <v>1370.73</v>
      </c>
      <c r="N79" s="117">
        <v>8462087.1799999997</v>
      </c>
      <c r="O79" s="117">
        <v>1295.58</v>
      </c>
      <c r="P79" s="117">
        <v>7961066.3600000003</v>
      </c>
      <c r="Q79" s="117">
        <v>1000.74</v>
      </c>
      <c r="R79" s="117">
        <v>5831724.2300000004</v>
      </c>
      <c r="S79" s="117">
        <v>1259.8399999999999</v>
      </c>
      <c r="T79" s="117">
        <v>7166088.8499999996</v>
      </c>
      <c r="U79" s="117">
        <v>1379.37</v>
      </c>
      <c r="V79" s="117">
        <v>65573373.829999998</v>
      </c>
      <c r="W79" s="117">
        <v>1740.8710000000001</v>
      </c>
      <c r="X79" s="117">
        <v>8665995.7815227285</v>
      </c>
      <c r="Y79" s="117">
        <v>1454.55</v>
      </c>
      <c r="Z79" s="117">
        <v>7106281.1600000001</v>
      </c>
      <c r="AA79" s="117">
        <v>1222.24</v>
      </c>
      <c r="AB79" s="117">
        <v>5857682.9699999997</v>
      </c>
      <c r="AC79" s="117">
        <v>961.37</v>
      </c>
      <c r="AD79" s="117">
        <v>4845412.66</v>
      </c>
      <c r="AE79" s="150">
        <f t="shared" si="15"/>
        <v>15450.820999999998</v>
      </c>
      <c r="AF79" s="151">
        <f t="shared" si="15"/>
        <v>143764536.14152271</v>
      </c>
      <c r="AG79" s="76"/>
      <c r="AH79" s="76"/>
    </row>
    <row r="80" spans="1:34">
      <c r="A80" s="74">
        <v>45</v>
      </c>
      <c r="B80" s="73" t="s">
        <v>801</v>
      </c>
      <c r="C80" s="74" t="s">
        <v>802</v>
      </c>
      <c r="D80" s="74" t="s">
        <v>619</v>
      </c>
      <c r="E80" s="74" t="s">
        <v>619</v>
      </c>
      <c r="F80" s="73" t="s">
        <v>619</v>
      </c>
      <c r="G80" s="116"/>
      <c r="H80" s="116"/>
      <c r="I80" s="116"/>
      <c r="J80" s="116"/>
      <c r="K80" s="116"/>
      <c r="L80" s="116"/>
      <c r="M80" s="116"/>
      <c r="N80" s="116"/>
      <c r="O80" s="116"/>
      <c r="P80" s="116"/>
      <c r="Q80" s="116"/>
      <c r="R80" s="116"/>
      <c r="S80" s="116"/>
      <c r="T80" s="116"/>
      <c r="U80" s="116"/>
      <c r="V80" s="116"/>
      <c r="W80" s="116"/>
      <c r="X80" s="116"/>
      <c r="Y80" s="116"/>
      <c r="Z80" s="116"/>
      <c r="AA80" s="116"/>
      <c r="AB80" s="116"/>
      <c r="AC80" s="116"/>
      <c r="AD80" s="116"/>
      <c r="AE80" s="116"/>
      <c r="AF80" s="116"/>
      <c r="AG80" s="74"/>
      <c r="AH80" s="74"/>
    </row>
    <row r="81" spans="1:34">
      <c r="A81" s="76">
        <v>46</v>
      </c>
      <c r="B81" s="77" t="s">
        <v>176</v>
      </c>
      <c r="C81" s="76" t="s">
        <v>804</v>
      </c>
      <c r="D81" s="76" t="s">
        <v>619</v>
      </c>
      <c r="E81" s="76" t="s">
        <v>619</v>
      </c>
      <c r="F81" s="77" t="s">
        <v>619</v>
      </c>
      <c r="G81" s="117"/>
      <c r="H81" s="117"/>
      <c r="I81" s="117"/>
      <c r="J81" s="117"/>
      <c r="K81" s="117"/>
      <c r="L81" s="117"/>
      <c r="M81" s="117"/>
      <c r="N81" s="117"/>
      <c r="O81" s="117"/>
      <c r="P81" s="117"/>
      <c r="Q81" s="117"/>
      <c r="R81" s="117"/>
      <c r="S81" s="117"/>
      <c r="T81" s="117"/>
      <c r="U81" s="117"/>
      <c r="V81" s="117"/>
      <c r="W81" s="117"/>
      <c r="X81" s="117"/>
      <c r="Y81" s="117"/>
      <c r="Z81" s="117"/>
      <c r="AA81" s="117"/>
      <c r="AB81" s="117"/>
      <c r="AC81" s="117"/>
      <c r="AD81" s="117"/>
      <c r="AE81" s="117"/>
      <c r="AF81" s="117"/>
      <c r="AG81" s="76"/>
      <c r="AH81" s="76"/>
    </row>
    <row r="82" spans="1:34">
      <c r="A82" s="74">
        <v>47</v>
      </c>
      <c r="B82" s="73" t="s">
        <v>806</v>
      </c>
      <c r="C82" s="74" t="s">
        <v>807</v>
      </c>
      <c r="D82" s="74" t="s">
        <v>2237</v>
      </c>
      <c r="E82" s="74" t="s">
        <v>2226</v>
      </c>
      <c r="F82" s="73" t="s">
        <v>2277</v>
      </c>
      <c r="G82" s="116">
        <v>1330.46</v>
      </c>
      <c r="H82" s="116">
        <v>9427081.0288395993</v>
      </c>
      <c r="I82" s="116">
        <v>1004.71</v>
      </c>
      <c r="J82" s="116">
        <v>8176473.5962858899</v>
      </c>
      <c r="K82" s="116">
        <v>1062.3800000000001</v>
      </c>
      <c r="L82" s="116">
        <v>7139036.9198525203</v>
      </c>
      <c r="M82" s="116">
        <v>1210.95</v>
      </c>
      <c r="N82" s="116">
        <v>7939611.8795451</v>
      </c>
      <c r="O82" s="116">
        <v>935.48</v>
      </c>
      <c r="P82" s="116">
        <v>7152429.48280364</v>
      </c>
      <c r="Q82" s="116">
        <v>1202.998</v>
      </c>
      <c r="R82" s="116">
        <v>8295702.9500000002</v>
      </c>
      <c r="S82" s="116">
        <v>1303.8699999999999</v>
      </c>
      <c r="T82" s="116">
        <v>8141229.6699999999</v>
      </c>
      <c r="U82" s="116">
        <v>1227.546</v>
      </c>
      <c r="V82" s="116">
        <v>7731784.5487172501</v>
      </c>
      <c r="W82" s="116">
        <v>1193.52</v>
      </c>
      <c r="X82" s="116">
        <v>8124469.81752967</v>
      </c>
      <c r="Y82" s="116">
        <v>1299.3389999999999</v>
      </c>
      <c r="Z82" s="116">
        <v>7327272.8784207599</v>
      </c>
      <c r="AA82" s="116">
        <v>1091.52</v>
      </c>
      <c r="AB82" s="116">
        <v>5732565.3225050196</v>
      </c>
      <c r="AC82" s="116">
        <v>1072.7560000000001</v>
      </c>
      <c r="AD82" s="116">
        <v>5457692.8596516699</v>
      </c>
      <c r="AE82" s="116">
        <f t="shared" ref="AE82:AF85" si="16">AC82+AA82+Y82+W82+U82+S82+Q82+O82+M82+K82+I82+G82</f>
        <v>13935.528999999999</v>
      </c>
      <c r="AF82" s="116">
        <f t="shared" si="16"/>
        <v>90645350.954151139</v>
      </c>
      <c r="AG82" s="74"/>
      <c r="AH82" s="74"/>
    </row>
    <row r="83" spans="1:34">
      <c r="A83" s="76">
        <v>48</v>
      </c>
      <c r="B83" s="77" t="s">
        <v>812</v>
      </c>
      <c r="C83" s="76" t="s">
        <v>813</v>
      </c>
      <c r="D83" s="76" t="s">
        <v>2278</v>
      </c>
      <c r="E83" s="76" t="s">
        <v>2279</v>
      </c>
      <c r="F83" s="77" t="s">
        <v>2280</v>
      </c>
      <c r="G83" s="117">
        <v>268188.65000000002</v>
      </c>
      <c r="H83" s="117">
        <v>3486452.45</v>
      </c>
      <c r="I83" s="117">
        <v>239515.06</v>
      </c>
      <c r="J83" s="117">
        <v>2874180.7199999997</v>
      </c>
      <c r="K83" s="117">
        <v>303420.57</v>
      </c>
      <c r="L83" s="117">
        <v>3944467.41</v>
      </c>
      <c r="M83" s="117">
        <v>292599.75</v>
      </c>
      <c r="N83" s="117">
        <v>4096396.5</v>
      </c>
      <c r="O83" s="117">
        <v>316819.38</v>
      </c>
      <c r="P83" s="117">
        <v>3801832.56</v>
      </c>
      <c r="Q83" s="117">
        <v>316730.71999999997</v>
      </c>
      <c r="R83" s="117">
        <v>4117499.3599999994</v>
      </c>
      <c r="S83" s="117">
        <v>245825.11</v>
      </c>
      <c r="T83" s="117">
        <v>3687376.65</v>
      </c>
      <c r="U83" s="117">
        <v>293295.89</v>
      </c>
      <c r="V83" s="117">
        <v>3812846.5700000003</v>
      </c>
      <c r="W83" s="117">
        <v>242337.83</v>
      </c>
      <c r="X83" s="117">
        <v>3392729.6199999996</v>
      </c>
      <c r="Y83" s="117">
        <v>240198.1</v>
      </c>
      <c r="Z83" s="117">
        <v>3122575.3000000003</v>
      </c>
      <c r="AA83" s="117">
        <v>174949.38</v>
      </c>
      <c r="AB83" s="117">
        <v>2449291.3200000003</v>
      </c>
      <c r="AC83" s="117">
        <v>139857.64000000001</v>
      </c>
      <c r="AD83" s="117">
        <v>1818149.3200000003</v>
      </c>
      <c r="AE83" s="150">
        <f t="shared" si="16"/>
        <v>3073738.0799999996</v>
      </c>
      <c r="AF83" s="151">
        <f t="shared" si="16"/>
        <v>40603797.780000001</v>
      </c>
      <c r="AG83" s="76"/>
      <c r="AH83" s="76"/>
    </row>
    <row r="84" spans="1:34">
      <c r="A84" s="74">
        <v>51</v>
      </c>
      <c r="B84" s="73" t="s">
        <v>816</v>
      </c>
      <c r="C84" s="74" t="s">
        <v>817</v>
      </c>
      <c r="D84" s="74" t="s">
        <v>2237</v>
      </c>
      <c r="E84" s="74" t="s">
        <v>2226</v>
      </c>
      <c r="F84" s="73" t="s">
        <v>2228</v>
      </c>
      <c r="G84" s="116">
        <v>1138.8</v>
      </c>
      <c r="H84" s="116" t="s">
        <v>2281</v>
      </c>
      <c r="I84" s="116">
        <v>1053.3</v>
      </c>
      <c r="J84" s="116" t="s">
        <v>2282</v>
      </c>
      <c r="K84" s="116">
        <v>1008.4</v>
      </c>
      <c r="L84" s="116" t="s">
        <v>2283</v>
      </c>
      <c r="M84" s="116">
        <v>1056.8</v>
      </c>
      <c r="N84" s="116" t="s">
        <v>2284</v>
      </c>
      <c r="O84" s="116">
        <v>1109.3</v>
      </c>
      <c r="P84" s="116" t="s">
        <v>2285</v>
      </c>
      <c r="Q84" s="116">
        <v>1201.3</v>
      </c>
      <c r="R84" s="116" t="s">
        <v>2286</v>
      </c>
      <c r="S84" s="116">
        <v>1331.22</v>
      </c>
      <c r="T84" s="116" t="s">
        <v>2287</v>
      </c>
      <c r="U84" s="116">
        <v>1220.29</v>
      </c>
      <c r="V84" s="116" t="s">
        <v>2288</v>
      </c>
      <c r="W84" s="116">
        <v>1251.19</v>
      </c>
      <c r="X84" s="116" t="s">
        <v>2289</v>
      </c>
      <c r="Y84" s="116">
        <v>1206.1400000000001</v>
      </c>
      <c r="Z84" s="116" t="s">
        <v>2290</v>
      </c>
      <c r="AA84" s="116">
        <v>840</v>
      </c>
      <c r="AB84" s="116" t="s">
        <v>2291</v>
      </c>
      <c r="AC84" s="116">
        <v>1300.83</v>
      </c>
      <c r="AD84" s="116" t="s">
        <v>2292</v>
      </c>
      <c r="AE84" s="116">
        <f t="shared" si="16"/>
        <v>13717.569999999996</v>
      </c>
      <c r="AF84" s="116">
        <f t="shared" si="16"/>
        <v>116901003.88999999</v>
      </c>
      <c r="AG84" s="74"/>
      <c r="AH84" s="74"/>
    </row>
    <row r="85" spans="1:34">
      <c r="A85" s="76">
        <v>52</v>
      </c>
      <c r="B85" s="77" t="s">
        <v>818</v>
      </c>
      <c r="C85" s="76" t="s">
        <v>819</v>
      </c>
      <c r="D85" s="76" t="s">
        <v>2245</v>
      </c>
      <c r="E85" s="76" t="s">
        <v>2226</v>
      </c>
      <c r="F85" s="77" t="s">
        <v>2246</v>
      </c>
      <c r="G85" s="117">
        <v>4246.689586231013</v>
      </c>
      <c r="H85" s="117"/>
      <c r="I85" s="117">
        <v>2720.5921503808681</v>
      </c>
      <c r="J85" s="117"/>
      <c r="K85" s="117">
        <v>2308.1721691656203</v>
      </c>
      <c r="L85" s="117"/>
      <c r="M85" s="117">
        <v>2261.758344890924</v>
      </c>
      <c r="N85" s="117"/>
      <c r="O85" s="117">
        <v>1908.6887284894065</v>
      </c>
      <c r="P85" s="117"/>
      <c r="Q85" s="117">
        <v>1373.7820097711046</v>
      </c>
      <c r="R85" s="117"/>
      <c r="S85" s="117">
        <v>2674.1088637699577</v>
      </c>
      <c r="T85" s="117"/>
      <c r="U85" s="117">
        <v>2169.452170850228</v>
      </c>
      <c r="V85" s="117"/>
      <c r="W85" s="117">
        <v>2746.1373165702512</v>
      </c>
      <c r="X85" s="117"/>
      <c r="Y85" s="117">
        <v>4183.0958506885463</v>
      </c>
      <c r="Z85" s="117"/>
      <c r="AA85" s="117">
        <v>2618.098622065233</v>
      </c>
      <c r="AB85" s="117"/>
      <c r="AC85" s="117">
        <v>3981.0144820117057</v>
      </c>
      <c r="AD85" s="117"/>
      <c r="AE85" s="150">
        <f t="shared" si="16"/>
        <v>33191.59029488486</v>
      </c>
      <c r="AF85" s="151">
        <f t="shared" si="16"/>
        <v>0</v>
      </c>
      <c r="AG85" s="76"/>
      <c r="AH85" s="76"/>
    </row>
    <row r="86" spans="1:34">
      <c r="A86" s="74">
        <v>53</v>
      </c>
      <c r="B86" s="73" t="s">
        <v>175</v>
      </c>
      <c r="C86" s="74" t="s">
        <v>824</v>
      </c>
      <c r="D86" s="74" t="s">
        <v>619</v>
      </c>
      <c r="E86" s="74" t="s">
        <v>619</v>
      </c>
      <c r="F86" s="73" t="s">
        <v>619</v>
      </c>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c r="AG86" s="74"/>
      <c r="AH86" s="74"/>
    </row>
    <row r="87" spans="1:34">
      <c r="A87" s="76">
        <v>54</v>
      </c>
      <c r="B87" s="77" t="s">
        <v>564</v>
      </c>
      <c r="C87" s="76" t="s">
        <v>562</v>
      </c>
      <c r="D87" s="76" t="s">
        <v>619</v>
      </c>
      <c r="E87" s="76" t="s">
        <v>619</v>
      </c>
      <c r="F87" s="77" t="s">
        <v>619</v>
      </c>
      <c r="G87" s="117"/>
      <c r="H87" s="117"/>
      <c r="I87" s="117"/>
      <c r="J87" s="117"/>
      <c r="K87" s="117"/>
      <c r="L87" s="117"/>
      <c r="M87" s="117"/>
      <c r="N87" s="117"/>
      <c r="O87" s="117"/>
      <c r="P87" s="117"/>
      <c r="Q87" s="117"/>
      <c r="R87" s="117"/>
      <c r="S87" s="117"/>
      <c r="T87" s="117"/>
      <c r="U87" s="117"/>
      <c r="V87" s="117"/>
      <c r="W87" s="117"/>
      <c r="X87" s="117"/>
      <c r="Y87" s="117"/>
      <c r="Z87" s="117"/>
      <c r="AA87" s="117"/>
      <c r="AB87" s="117"/>
      <c r="AC87" s="117"/>
      <c r="AD87" s="117"/>
      <c r="AE87" s="117"/>
      <c r="AF87" s="117"/>
      <c r="AG87" s="76"/>
      <c r="AH87" s="76"/>
    </row>
    <row r="88" spans="1:34">
      <c r="A88" s="74">
        <v>55</v>
      </c>
      <c r="B88" s="73" t="s">
        <v>827</v>
      </c>
      <c r="C88" s="74" t="s">
        <v>828</v>
      </c>
      <c r="D88" s="74" t="s">
        <v>2237</v>
      </c>
      <c r="E88" s="74" t="s">
        <v>2226</v>
      </c>
      <c r="F88" s="73" t="s">
        <v>2228</v>
      </c>
      <c r="G88" s="116">
        <v>917.97900000000004</v>
      </c>
      <c r="H88" s="116">
        <v>8769306.5099999998</v>
      </c>
      <c r="I88" s="116">
        <v>922.11699999999996</v>
      </c>
      <c r="J88" s="116">
        <v>8994821.4299999997</v>
      </c>
      <c r="K88" s="116">
        <v>813.33500000000004</v>
      </c>
      <c r="L88" s="116">
        <v>8013611.6900000004</v>
      </c>
      <c r="M88" s="116">
        <v>621.51099999999997</v>
      </c>
      <c r="N88" s="116">
        <v>6260626.04</v>
      </c>
      <c r="O88" s="116">
        <v>869.50199999999995</v>
      </c>
      <c r="P88" s="116">
        <v>8866641.3100000005</v>
      </c>
      <c r="Q88" s="116">
        <v>1037.0039999999999</v>
      </c>
      <c r="R88" s="116">
        <v>9752040.5899999999</v>
      </c>
      <c r="S88" s="116">
        <v>978.57399999999996</v>
      </c>
      <c r="T88" s="116">
        <v>8926757.6400000006</v>
      </c>
      <c r="U88" s="116">
        <v>965.01199999999994</v>
      </c>
      <c r="V88" s="116">
        <v>7966453.4500000002</v>
      </c>
      <c r="W88" s="116">
        <v>105.875</v>
      </c>
      <c r="X88" s="116">
        <v>7957475.9199999999</v>
      </c>
      <c r="Y88" s="116">
        <v>955.69299999999998</v>
      </c>
      <c r="Z88" s="116">
        <v>7439823.5499999998</v>
      </c>
      <c r="AA88" s="116">
        <v>792.19899999999996</v>
      </c>
      <c r="AB88" s="116">
        <v>7278847.5599999996</v>
      </c>
      <c r="AC88" s="116">
        <v>785.99800000000005</v>
      </c>
      <c r="AD88" s="116">
        <v>6227278.4800000004</v>
      </c>
      <c r="AE88" s="116">
        <f t="shared" ref="AE88:AF91" si="17">AC88+AA88+Y88+W88+U88+S88+Q88+O88+M88+K88+I88+G88</f>
        <v>9764.7989999999991</v>
      </c>
      <c r="AF88" s="116">
        <f t="shared" si="17"/>
        <v>96453684.170000002</v>
      </c>
      <c r="AG88" s="74"/>
      <c r="AH88" s="74"/>
    </row>
    <row r="89" spans="1:34">
      <c r="A89" s="571">
        <v>56</v>
      </c>
      <c r="B89" s="574" t="s">
        <v>177</v>
      </c>
      <c r="C89" s="571" t="s">
        <v>832</v>
      </c>
      <c r="D89" s="76" t="s">
        <v>2293</v>
      </c>
      <c r="E89" s="76" t="s">
        <v>2294</v>
      </c>
      <c r="F89" s="77" t="s">
        <v>2295</v>
      </c>
      <c r="G89" s="117">
        <v>35.601999999999997</v>
      </c>
      <c r="H89" s="117">
        <v>240673.58</v>
      </c>
      <c r="I89" s="117">
        <v>66.070999999999998</v>
      </c>
      <c r="J89" s="117">
        <v>212088.55</v>
      </c>
      <c r="K89" s="117">
        <v>92.777000000000001</v>
      </c>
      <c r="L89" s="117">
        <v>297826.42</v>
      </c>
      <c r="M89" s="117">
        <v>70.902000000000001</v>
      </c>
      <c r="N89" s="117">
        <v>227596.07</v>
      </c>
      <c r="O89" s="117">
        <v>28.748000000000001</v>
      </c>
      <c r="P89" s="117">
        <v>92283.65</v>
      </c>
      <c r="Q89" s="117">
        <v>99.766999999999996</v>
      </c>
      <c r="R89" s="117">
        <v>420022.02</v>
      </c>
      <c r="S89" s="117">
        <v>74.635000000000005</v>
      </c>
      <c r="T89" s="117">
        <v>314216.28999999998</v>
      </c>
      <c r="U89" s="117">
        <v>51.948</v>
      </c>
      <c r="V89" s="117">
        <v>218702.77</v>
      </c>
      <c r="W89" s="117">
        <v>78.665999999999997</v>
      </c>
      <c r="X89" s="117">
        <v>331185.13</v>
      </c>
      <c r="Y89" s="117">
        <v>51.658000000000001</v>
      </c>
      <c r="Z89" s="117">
        <v>208184.16</v>
      </c>
      <c r="AA89" s="117">
        <v>24.564</v>
      </c>
      <c r="AB89" s="117">
        <v>93346.62</v>
      </c>
      <c r="AC89" s="117">
        <v>37.246000000000002</v>
      </c>
      <c r="AD89" s="117">
        <v>141538.22</v>
      </c>
      <c r="AE89" s="150">
        <f t="shared" si="17"/>
        <v>712.58400000000006</v>
      </c>
      <c r="AF89" s="151">
        <f t="shared" si="17"/>
        <v>2797663.48</v>
      </c>
      <c r="AG89" s="76"/>
      <c r="AH89" s="76"/>
    </row>
    <row r="90" spans="1:34">
      <c r="A90" s="572"/>
      <c r="B90" s="583"/>
      <c r="C90" s="572"/>
      <c r="D90" s="76" t="s">
        <v>2296</v>
      </c>
      <c r="E90" s="76" t="s">
        <v>2297</v>
      </c>
      <c r="F90" s="77" t="s">
        <v>2298</v>
      </c>
      <c r="G90" s="117">
        <v>354.57900000000001</v>
      </c>
      <c r="H90" s="117">
        <v>1733894.74</v>
      </c>
      <c r="I90" s="117">
        <v>338.48899999999998</v>
      </c>
      <c r="J90" s="117">
        <v>1655215.61</v>
      </c>
      <c r="K90" s="117">
        <v>320.78100000000001</v>
      </c>
      <c r="L90" s="117">
        <v>1568621.06</v>
      </c>
      <c r="M90" s="117">
        <v>540.39700000000005</v>
      </c>
      <c r="N90" s="117">
        <v>2642541.33</v>
      </c>
      <c r="O90" s="117">
        <v>581.33799999999997</v>
      </c>
      <c r="P90" s="117">
        <v>3424085.53</v>
      </c>
      <c r="Q90" s="117">
        <v>747.94200000000001</v>
      </c>
      <c r="R90" s="117">
        <v>5594606.1600000001</v>
      </c>
      <c r="S90" s="117">
        <v>503.13099999999997</v>
      </c>
      <c r="T90" s="117">
        <v>3763419.9</v>
      </c>
      <c r="U90" s="117">
        <v>548.90499999999997</v>
      </c>
      <c r="V90" s="117">
        <v>3008002.69</v>
      </c>
      <c r="W90" s="117">
        <v>505.04199999999997</v>
      </c>
      <c r="X90" s="117">
        <v>2767631.8</v>
      </c>
      <c r="Y90" s="117">
        <v>733.64599999999996</v>
      </c>
      <c r="Z90" s="117">
        <v>3836970.67</v>
      </c>
      <c r="AA90" s="117">
        <v>254.47499999999999</v>
      </c>
      <c r="AB90" s="117">
        <v>763425.9</v>
      </c>
      <c r="AC90" s="117">
        <v>142.518</v>
      </c>
      <c r="AD90" s="117">
        <v>427554</v>
      </c>
      <c r="AE90" s="150">
        <f t="shared" si="17"/>
        <v>5571.2429999999986</v>
      </c>
      <c r="AF90" s="151">
        <f t="shared" si="17"/>
        <v>31185969.390000001</v>
      </c>
      <c r="AG90" s="76"/>
      <c r="AH90" s="76"/>
    </row>
    <row r="91" spans="1:34">
      <c r="A91" s="573"/>
      <c r="B91" s="575"/>
      <c r="C91" s="573"/>
      <c r="D91" s="76" t="s">
        <v>2299</v>
      </c>
      <c r="E91" s="76" t="s">
        <v>2300</v>
      </c>
      <c r="F91" s="77" t="s">
        <v>2301</v>
      </c>
      <c r="G91" s="117">
        <v>1.8480000000000001</v>
      </c>
      <c r="H91" s="117">
        <v>73332.479999999996</v>
      </c>
      <c r="I91" s="117">
        <v>0.85599999999999998</v>
      </c>
      <c r="J91" s="117">
        <v>5786.56</v>
      </c>
      <c r="K91" s="117">
        <v>4.3929999999999998</v>
      </c>
      <c r="L91" s="117">
        <v>29696.68</v>
      </c>
      <c r="M91" s="117">
        <v>2.5030000000000001</v>
      </c>
      <c r="N91" s="117">
        <v>16920.28</v>
      </c>
      <c r="O91" s="117">
        <v>2.09</v>
      </c>
      <c r="P91" s="117">
        <v>14128.4</v>
      </c>
      <c r="Q91" s="117">
        <v>1.363</v>
      </c>
      <c r="R91" s="117">
        <v>9213.8799999999992</v>
      </c>
      <c r="S91" s="117">
        <v>15.324999999999999</v>
      </c>
      <c r="T91" s="117">
        <v>103602.41</v>
      </c>
      <c r="U91" s="117"/>
      <c r="V91" s="117"/>
      <c r="W91" s="117">
        <v>11.500999999999999</v>
      </c>
      <c r="X91" s="117">
        <v>77746.759999999995</v>
      </c>
      <c r="Y91" s="117">
        <v>16.728000000000002</v>
      </c>
      <c r="Z91" s="117">
        <v>113081.28</v>
      </c>
      <c r="AA91" s="117">
        <v>15.923999999999999</v>
      </c>
      <c r="AB91" s="117">
        <v>95444</v>
      </c>
      <c r="AC91" s="117">
        <v>5.4020000000000001</v>
      </c>
      <c r="AD91" s="117">
        <v>32412</v>
      </c>
      <c r="AE91" s="150">
        <f t="shared" si="17"/>
        <v>77.932999999999993</v>
      </c>
      <c r="AF91" s="151">
        <f t="shared" si="17"/>
        <v>571364.73</v>
      </c>
      <c r="AG91" s="76"/>
      <c r="AH91" s="76"/>
    </row>
    <row r="92" spans="1:34">
      <c r="A92" s="74">
        <v>57</v>
      </c>
      <c r="B92" s="73" t="s">
        <v>182</v>
      </c>
      <c r="C92" s="74" t="s">
        <v>837</v>
      </c>
      <c r="D92" s="74" t="s">
        <v>619</v>
      </c>
      <c r="E92" s="74" t="s">
        <v>619</v>
      </c>
      <c r="F92" s="73" t="s">
        <v>619</v>
      </c>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74"/>
      <c r="AH92" s="74"/>
    </row>
    <row r="93" spans="1:34">
      <c r="A93" s="76">
        <v>58</v>
      </c>
      <c r="B93" s="77" t="s">
        <v>173</v>
      </c>
      <c r="C93" s="76" t="s">
        <v>840</v>
      </c>
      <c r="D93" s="76" t="s">
        <v>619</v>
      </c>
      <c r="E93" s="76" t="s">
        <v>619</v>
      </c>
      <c r="F93" s="77" t="s">
        <v>619</v>
      </c>
      <c r="G93" s="117"/>
      <c r="H93" s="117"/>
      <c r="I93" s="117"/>
      <c r="J93" s="117"/>
      <c r="K93" s="117"/>
      <c r="L93" s="117"/>
      <c r="M93" s="117"/>
      <c r="N93" s="117"/>
      <c r="O93" s="117"/>
      <c r="P93" s="117"/>
      <c r="Q93" s="117"/>
      <c r="R93" s="117"/>
      <c r="S93" s="117"/>
      <c r="T93" s="117"/>
      <c r="U93" s="117"/>
      <c r="V93" s="117"/>
      <c r="W93" s="117"/>
      <c r="X93" s="117"/>
      <c r="Y93" s="117"/>
      <c r="Z93" s="117"/>
      <c r="AA93" s="117"/>
      <c r="AB93" s="117"/>
      <c r="AC93" s="117"/>
      <c r="AD93" s="117"/>
      <c r="AE93" s="117"/>
      <c r="AF93" s="117"/>
      <c r="AG93" s="76"/>
      <c r="AH93" s="76"/>
    </row>
    <row r="94" spans="1:34">
      <c r="A94" s="74">
        <v>60</v>
      </c>
      <c r="B94" s="73" t="s">
        <v>842</v>
      </c>
      <c r="C94" s="74" t="s">
        <v>843</v>
      </c>
      <c r="D94" s="74" t="s">
        <v>619</v>
      </c>
      <c r="E94" s="74" t="s">
        <v>619</v>
      </c>
      <c r="F94" s="73" t="s">
        <v>619</v>
      </c>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74"/>
      <c r="AH94" s="74"/>
    </row>
    <row r="95" spans="1:34">
      <c r="A95" s="76">
        <v>61</v>
      </c>
      <c r="B95" s="77" t="s">
        <v>459</v>
      </c>
      <c r="C95" s="76" t="s">
        <v>847</v>
      </c>
      <c r="D95" s="76" t="s">
        <v>619</v>
      </c>
      <c r="E95" s="76" t="s">
        <v>619</v>
      </c>
      <c r="F95" s="77" t="s">
        <v>619</v>
      </c>
      <c r="G95" s="117"/>
      <c r="H95" s="117"/>
      <c r="I95" s="117"/>
      <c r="J95" s="117"/>
      <c r="K95" s="117"/>
      <c r="L95" s="117"/>
      <c r="M95" s="117"/>
      <c r="N95" s="117"/>
      <c r="O95" s="117"/>
      <c r="P95" s="117"/>
      <c r="Q95" s="117"/>
      <c r="R95" s="117"/>
      <c r="S95" s="117"/>
      <c r="T95" s="117"/>
      <c r="U95" s="117"/>
      <c r="V95" s="117"/>
      <c r="W95" s="117"/>
      <c r="X95" s="117"/>
      <c r="Y95" s="117"/>
      <c r="Z95" s="117"/>
      <c r="AA95" s="117"/>
      <c r="AB95" s="117"/>
      <c r="AC95" s="117"/>
      <c r="AD95" s="117"/>
      <c r="AE95" s="117"/>
      <c r="AF95" s="117"/>
      <c r="AG95" s="76"/>
      <c r="AH95" s="76"/>
    </row>
    <row r="96" spans="1:34">
      <c r="A96" s="74">
        <v>63</v>
      </c>
      <c r="B96" s="73" t="s">
        <v>851</v>
      </c>
      <c r="C96" s="74" t="s">
        <v>852</v>
      </c>
      <c r="D96" s="74" t="s">
        <v>619</v>
      </c>
      <c r="E96" s="74" t="s">
        <v>619</v>
      </c>
      <c r="F96" s="73" t="s">
        <v>619</v>
      </c>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c r="AE96" s="116"/>
      <c r="AF96" s="116"/>
      <c r="AG96" s="74"/>
      <c r="AH96" s="74"/>
    </row>
    <row r="97" spans="1:34">
      <c r="A97" s="76">
        <v>66</v>
      </c>
      <c r="B97" s="77" t="s">
        <v>28</v>
      </c>
      <c r="C97" s="76" t="s">
        <v>853</v>
      </c>
      <c r="D97" s="76" t="s">
        <v>619</v>
      </c>
      <c r="E97" s="76" t="s">
        <v>619</v>
      </c>
      <c r="F97" s="77" t="s">
        <v>619</v>
      </c>
      <c r="G97" s="117"/>
      <c r="H97" s="117"/>
      <c r="I97" s="117"/>
      <c r="J97" s="117"/>
      <c r="K97" s="117"/>
      <c r="L97" s="117"/>
      <c r="M97" s="117"/>
      <c r="N97" s="117"/>
      <c r="O97" s="117"/>
      <c r="P97" s="117"/>
      <c r="Q97" s="117"/>
      <c r="R97" s="117"/>
      <c r="S97" s="117"/>
      <c r="T97" s="117"/>
      <c r="U97" s="117"/>
      <c r="V97" s="117"/>
      <c r="W97" s="117"/>
      <c r="X97" s="117"/>
      <c r="Y97" s="117"/>
      <c r="Z97" s="117"/>
      <c r="AA97" s="117"/>
      <c r="AB97" s="117"/>
      <c r="AC97" s="117"/>
      <c r="AD97" s="117"/>
      <c r="AE97" s="117"/>
      <c r="AF97" s="117"/>
      <c r="AG97" s="76"/>
      <c r="AH97" s="76"/>
    </row>
    <row r="98" spans="1:34">
      <c r="A98" s="74">
        <v>68</v>
      </c>
      <c r="B98" s="73" t="s">
        <v>858</v>
      </c>
      <c r="C98" s="74" t="s">
        <v>859</v>
      </c>
      <c r="D98" s="74" t="s">
        <v>619</v>
      </c>
      <c r="E98" s="74" t="s">
        <v>619</v>
      </c>
      <c r="F98" s="73" t="s">
        <v>619</v>
      </c>
      <c r="G98" s="116"/>
      <c r="H98" s="116"/>
      <c r="I98" s="116"/>
      <c r="J98" s="116"/>
      <c r="K98" s="116"/>
      <c r="L98" s="116"/>
      <c r="M98" s="116"/>
      <c r="N98" s="116"/>
      <c r="O98" s="116"/>
      <c r="P98" s="116"/>
      <c r="Q98" s="116"/>
      <c r="R98" s="116"/>
      <c r="S98" s="116"/>
      <c r="T98" s="116"/>
      <c r="U98" s="116"/>
      <c r="V98" s="116"/>
      <c r="W98" s="116"/>
      <c r="X98" s="116"/>
      <c r="Y98" s="116"/>
      <c r="Z98" s="116"/>
      <c r="AA98" s="116"/>
      <c r="AB98" s="116"/>
      <c r="AC98" s="116"/>
      <c r="AD98" s="116"/>
      <c r="AE98" s="116"/>
      <c r="AF98" s="116"/>
      <c r="AG98" s="74"/>
      <c r="AH98" s="74"/>
    </row>
    <row r="99" spans="1:34">
      <c r="A99" s="76">
        <v>70</v>
      </c>
      <c r="B99" s="77" t="s">
        <v>860</v>
      </c>
      <c r="C99" s="76" t="s">
        <v>861</v>
      </c>
      <c r="D99" s="76" t="s">
        <v>2261</v>
      </c>
      <c r="E99" s="76" t="s">
        <v>2226</v>
      </c>
      <c r="F99" s="77" t="s">
        <v>2233</v>
      </c>
      <c r="G99" s="117">
        <v>2264</v>
      </c>
      <c r="H99" s="117"/>
      <c r="I99" s="117">
        <v>22706</v>
      </c>
      <c r="J99" s="117"/>
      <c r="K99" s="117">
        <v>38424</v>
      </c>
      <c r="L99" s="117"/>
      <c r="M99" s="117">
        <v>152469.4</v>
      </c>
      <c r="N99" s="117"/>
      <c r="O99" s="117">
        <v>281588</v>
      </c>
      <c r="P99" s="117"/>
      <c r="Q99" s="117">
        <v>229378</v>
      </c>
      <c r="R99" s="117"/>
      <c r="S99" s="117">
        <v>306849.34000000003</v>
      </c>
      <c r="T99" s="117"/>
      <c r="U99" s="117">
        <v>305132.62</v>
      </c>
      <c r="V99" s="117"/>
      <c r="W99" s="117">
        <v>375442.26</v>
      </c>
      <c r="X99" s="117"/>
      <c r="Y99" s="117">
        <v>124319.24</v>
      </c>
      <c r="Z99" s="117"/>
      <c r="AA99" s="117">
        <v>224448.62</v>
      </c>
      <c r="AB99" s="117"/>
      <c r="AC99" s="117">
        <v>217586.38</v>
      </c>
      <c r="AD99" s="117"/>
      <c r="AE99" s="150">
        <f t="shared" ref="AE99:AF99" si="18">AC99+AA99+Y99+W99+U99+S99+Q99+O99+M99+K99+I99+G99</f>
        <v>2280607.8600000003</v>
      </c>
      <c r="AF99" s="151">
        <f t="shared" si="18"/>
        <v>0</v>
      </c>
      <c r="AG99" s="76"/>
      <c r="AH99" s="76"/>
    </row>
    <row r="100" spans="1:34">
      <c r="A100" s="74">
        <v>71</v>
      </c>
      <c r="B100" s="73" t="s">
        <v>863</v>
      </c>
      <c r="C100" s="74" t="s">
        <v>864</v>
      </c>
      <c r="D100" s="74" t="s">
        <v>619</v>
      </c>
      <c r="E100" s="74" t="s">
        <v>619</v>
      </c>
      <c r="F100" s="73" t="s">
        <v>619</v>
      </c>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74"/>
      <c r="AH100" s="74"/>
    </row>
    <row r="101" spans="1:34">
      <c r="A101" s="76">
        <v>74</v>
      </c>
      <c r="B101" s="77" t="s">
        <v>867</v>
      </c>
      <c r="C101" s="76" t="s">
        <v>868</v>
      </c>
      <c r="D101" s="76" t="s">
        <v>619</v>
      </c>
      <c r="E101" s="76" t="s">
        <v>619</v>
      </c>
      <c r="F101" s="77" t="s">
        <v>619</v>
      </c>
      <c r="G101" s="117"/>
      <c r="H101" s="117"/>
      <c r="I101" s="117"/>
      <c r="J101" s="117"/>
      <c r="K101" s="117"/>
      <c r="L101" s="117"/>
      <c r="M101" s="117"/>
      <c r="N101" s="117"/>
      <c r="O101" s="117"/>
      <c r="P101" s="117"/>
      <c r="Q101" s="117"/>
      <c r="R101" s="117"/>
      <c r="S101" s="117"/>
      <c r="T101" s="117"/>
      <c r="U101" s="117"/>
      <c r="V101" s="117"/>
      <c r="W101" s="117"/>
      <c r="X101" s="117"/>
      <c r="Y101" s="117"/>
      <c r="Z101" s="117"/>
      <c r="AA101" s="117"/>
      <c r="AB101" s="117"/>
      <c r="AC101" s="117"/>
      <c r="AD101" s="117"/>
      <c r="AE101" s="117"/>
      <c r="AF101" s="117"/>
      <c r="AG101" s="76"/>
      <c r="AH101" s="76"/>
    </row>
    <row r="102" spans="1:34">
      <c r="A102" s="74">
        <v>75</v>
      </c>
      <c r="B102" s="73" t="s">
        <v>874</v>
      </c>
      <c r="C102" s="74" t="s">
        <v>875</v>
      </c>
      <c r="D102" s="74" t="s">
        <v>619</v>
      </c>
      <c r="E102" s="74" t="s">
        <v>619</v>
      </c>
      <c r="F102" s="73" t="s">
        <v>619</v>
      </c>
      <c r="G102" s="116"/>
      <c r="H102" s="116"/>
      <c r="I102" s="116"/>
      <c r="J102" s="116"/>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74"/>
      <c r="AH102" s="74"/>
    </row>
    <row r="103" spans="1:34">
      <c r="A103" s="76">
        <v>79</v>
      </c>
      <c r="B103" s="77" t="s">
        <v>877</v>
      </c>
      <c r="C103" s="76" t="s">
        <v>878</v>
      </c>
      <c r="D103" s="76" t="s">
        <v>619</v>
      </c>
      <c r="E103" s="76" t="s">
        <v>619</v>
      </c>
      <c r="F103" s="77" t="s">
        <v>619</v>
      </c>
      <c r="G103" s="117"/>
      <c r="H103" s="117"/>
      <c r="I103" s="117"/>
      <c r="J103" s="117"/>
      <c r="K103" s="117"/>
      <c r="L103" s="117"/>
      <c r="M103" s="117"/>
      <c r="N103" s="117"/>
      <c r="O103" s="117"/>
      <c r="P103" s="117"/>
      <c r="Q103" s="117"/>
      <c r="R103" s="117"/>
      <c r="S103" s="117"/>
      <c r="T103" s="117"/>
      <c r="U103" s="117"/>
      <c r="V103" s="117"/>
      <c r="W103" s="117"/>
      <c r="X103" s="117"/>
      <c r="Y103" s="117"/>
      <c r="Z103" s="117"/>
      <c r="AA103" s="117"/>
      <c r="AB103" s="117"/>
      <c r="AC103" s="117"/>
      <c r="AD103" s="117"/>
      <c r="AE103" s="117"/>
      <c r="AF103" s="117"/>
      <c r="AG103" s="76"/>
      <c r="AH103" s="76"/>
    </row>
    <row r="104" spans="1:34">
      <c r="A104" s="74">
        <v>80</v>
      </c>
      <c r="B104" s="73" t="s">
        <v>881</v>
      </c>
      <c r="C104" s="74" t="s">
        <v>882</v>
      </c>
      <c r="D104" s="74" t="s">
        <v>619</v>
      </c>
      <c r="E104" s="74" t="s">
        <v>619</v>
      </c>
      <c r="F104" s="73" t="s">
        <v>619</v>
      </c>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c r="AG104" s="74"/>
      <c r="AH104" s="74"/>
    </row>
    <row r="105" spans="1:34">
      <c r="A105" s="76">
        <v>85</v>
      </c>
      <c r="B105" s="77" t="s">
        <v>894</v>
      </c>
      <c r="C105" s="76" t="s">
        <v>895</v>
      </c>
      <c r="D105" s="76" t="s">
        <v>619</v>
      </c>
      <c r="E105" s="76" t="s">
        <v>619</v>
      </c>
      <c r="F105" s="77" t="s">
        <v>619</v>
      </c>
      <c r="G105" s="117"/>
      <c r="H105" s="117"/>
      <c r="I105" s="117"/>
      <c r="J105" s="117"/>
      <c r="K105" s="117"/>
      <c r="L105" s="117"/>
      <c r="M105" s="117"/>
      <c r="N105" s="117"/>
      <c r="O105" s="117"/>
      <c r="P105" s="117"/>
      <c r="Q105" s="117"/>
      <c r="R105" s="117"/>
      <c r="S105" s="117"/>
      <c r="T105" s="117"/>
      <c r="U105" s="117"/>
      <c r="V105" s="117"/>
      <c r="W105" s="117"/>
      <c r="X105" s="117"/>
      <c r="Y105" s="117"/>
      <c r="Z105" s="117"/>
      <c r="AA105" s="117"/>
      <c r="AB105" s="117"/>
      <c r="AC105" s="117"/>
      <c r="AD105" s="117"/>
      <c r="AE105" s="117"/>
      <c r="AF105" s="117"/>
      <c r="AG105" s="76"/>
      <c r="AH105" s="76"/>
    </row>
    <row r="106" spans="1:34">
      <c r="A106" s="576">
        <v>87</v>
      </c>
      <c r="B106" s="578" t="s">
        <v>197</v>
      </c>
      <c r="C106" s="576" t="s">
        <v>902</v>
      </c>
      <c r="D106" s="74" t="s">
        <v>2293</v>
      </c>
      <c r="E106" s="74" t="s">
        <v>2294</v>
      </c>
      <c r="F106" s="73" t="s">
        <v>2295</v>
      </c>
      <c r="G106" s="116">
        <v>0</v>
      </c>
      <c r="H106" s="116">
        <v>0</v>
      </c>
      <c r="I106" s="116">
        <v>1.5</v>
      </c>
      <c r="J106" s="116">
        <v>44670</v>
      </c>
      <c r="K106" s="116">
        <v>4</v>
      </c>
      <c r="L106" s="116">
        <v>128420</v>
      </c>
      <c r="M106" s="116">
        <v>2</v>
      </c>
      <c r="N106" s="116">
        <v>59700</v>
      </c>
      <c r="O106" s="116">
        <v>4</v>
      </c>
      <c r="P106" s="116">
        <v>120120</v>
      </c>
      <c r="Q106" s="116">
        <v>2</v>
      </c>
      <c r="R106" s="116">
        <v>62540</v>
      </c>
      <c r="S106" s="116">
        <v>2</v>
      </c>
      <c r="T106" s="116">
        <v>62180</v>
      </c>
      <c r="U106" s="116">
        <v>1</v>
      </c>
      <c r="V106" s="116">
        <v>31110</v>
      </c>
      <c r="W106" s="116">
        <v>1</v>
      </c>
      <c r="X106" s="116">
        <v>31110</v>
      </c>
      <c r="Y106" s="116">
        <v>3.5</v>
      </c>
      <c r="Z106" s="116">
        <v>131705</v>
      </c>
      <c r="AA106" s="116">
        <v>2.5</v>
      </c>
      <c r="AB106" s="116">
        <v>69670</v>
      </c>
      <c r="AC106" s="116">
        <v>0</v>
      </c>
      <c r="AD106" s="116"/>
      <c r="AE106" s="74">
        <f t="shared" ref="AE106:AF107" si="19">AC106+AA106+Y106+W106+U106+S106+Q106+O106+M106+K106+I106+G106</f>
        <v>23.5</v>
      </c>
      <c r="AF106" s="116">
        <f t="shared" si="19"/>
        <v>741225</v>
      </c>
      <c r="AG106" s="74" t="s">
        <v>2302</v>
      </c>
      <c r="AH106" s="74">
        <v>13081</v>
      </c>
    </row>
    <row r="107" spans="1:34">
      <c r="A107" s="577"/>
      <c r="B107" s="579"/>
      <c r="C107" s="577"/>
      <c r="D107" s="74" t="s">
        <v>2296</v>
      </c>
      <c r="E107" s="74" t="s">
        <v>2297</v>
      </c>
      <c r="F107" s="73" t="s">
        <v>2298</v>
      </c>
      <c r="G107" s="116">
        <v>0</v>
      </c>
      <c r="H107" s="116">
        <v>0</v>
      </c>
      <c r="I107" s="116">
        <v>43</v>
      </c>
      <c r="J107" s="116">
        <v>687670</v>
      </c>
      <c r="K107" s="116">
        <v>38</v>
      </c>
      <c r="L107" s="116">
        <v>664540</v>
      </c>
      <c r="M107" s="116">
        <v>32</v>
      </c>
      <c r="N107" s="116">
        <v>536300</v>
      </c>
      <c r="O107" s="116">
        <v>35</v>
      </c>
      <c r="P107" s="116">
        <v>554770</v>
      </c>
      <c r="Q107" s="116">
        <v>25</v>
      </c>
      <c r="R107" s="116">
        <v>334650</v>
      </c>
      <c r="S107" s="116">
        <v>28</v>
      </c>
      <c r="T107" s="116">
        <v>325640</v>
      </c>
      <c r="U107" s="116">
        <v>38</v>
      </c>
      <c r="V107" s="116">
        <v>358511</v>
      </c>
      <c r="W107" s="116">
        <v>14</v>
      </c>
      <c r="X107" s="116">
        <v>139800</v>
      </c>
      <c r="Y107" s="116">
        <v>48.5</v>
      </c>
      <c r="Z107" s="116">
        <v>526435</v>
      </c>
      <c r="AA107" s="116">
        <v>20.5</v>
      </c>
      <c r="AB107" s="116">
        <v>153175</v>
      </c>
      <c r="AC107" s="116">
        <v>15</v>
      </c>
      <c r="AD107" s="116">
        <v>135900</v>
      </c>
      <c r="AE107" s="74">
        <f t="shared" si="19"/>
        <v>337</v>
      </c>
      <c r="AF107" s="116">
        <f t="shared" si="19"/>
        <v>4417391</v>
      </c>
      <c r="AG107" s="74" t="s">
        <v>2302</v>
      </c>
      <c r="AH107" s="74">
        <v>13081</v>
      </c>
    </row>
    <row r="108" spans="1:34">
      <c r="A108" s="76">
        <v>89</v>
      </c>
      <c r="B108" s="77" t="s">
        <v>198</v>
      </c>
      <c r="C108" s="76" t="s">
        <v>907</v>
      </c>
      <c r="D108" s="76" t="s">
        <v>619</v>
      </c>
      <c r="E108" s="76" t="s">
        <v>619</v>
      </c>
      <c r="F108" s="77" t="s">
        <v>619</v>
      </c>
      <c r="G108" s="117"/>
      <c r="H108" s="117"/>
      <c r="I108" s="117"/>
      <c r="J108" s="117"/>
      <c r="K108" s="117"/>
      <c r="L108" s="117"/>
      <c r="M108" s="117"/>
      <c r="N108" s="117"/>
      <c r="O108" s="117"/>
      <c r="P108" s="117"/>
      <c r="Q108" s="117"/>
      <c r="R108" s="117"/>
      <c r="S108" s="117"/>
      <c r="T108" s="117"/>
      <c r="U108" s="117"/>
      <c r="V108" s="117"/>
      <c r="W108" s="117"/>
      <c r="X108" s="117"/>
      <c r="Y108" s="117"/>
      <c r="Z108" s="117"/>
      <c r="AA108" s="117"/>
      <c r="AB108" s="117"/>
      <c r="AC108" s="117"/>
      <c r="AD108" s="117"/>
      <c r="AE108" s="117"/>
      <c r="AF108" s="117"/>
      <c r="AG108" s="76"/>
      <c r="AH108" s="76"/>
    </row>
    <row r="109" spans="1:34">
      <c r="A109" s="74">
        <v>92</v>
      </c>
      <c r="B109" s="73" t="s">
        <v>912</v>
      </c>
      <c r="C109" s="74" t="s">
        <v>913</v>
      </c>
      <c r="D109" s="74" t="s">
        <v>619</v>
      </c>
      <c r="E109" s="74" t="s">
        <v>619</v>
      </c>
      <c r="F109" s="73" t="s">
        <v>619</v>
      </c>
      <c r="G109" s="116"/>
      <c r="H109" s="116"/>
      <c r="I109" s="116"/>
      <c r="J109" s="116"/>
      <c r="K109" s="116"/>
      <c r="L109" s="116"/>
      <c r="M109" s="116"/>
      <c r="N109" s="116"/>
      <c r="O109" s="116"/>
      <c r="P109" s="116"/>
      <c r="Q109" s="116"/>
      <c r="R109" s="116"/>
      <c r="S109" s="116"/>
      <c r="T109" s="116"/>
      <c r="U109" s="116"/>
      <c r="V109" s="116"/>
      <c r="W109" s="116"/>
      <c r="X109" s="116"/>
      <c r="Y109" s="116"/>
      <c r="Z109" s="116"/>
      <c r="AA109" s="116"/>
      <c r="AB109" s="116"/>
      <c r="AC109" s="116"/>
      <c r="AD109" s="116"/>
      <c r="AE109" s="116"/>
      <c r="AF109" s="116"/>
      <c r="AG109" s="74"/>
      <c r="AH109" s="74"/>
    </row>
    <row r="110" spans="1:34">
      <c r="A110" s="76">
        <v>95</v>
      </c>
      <c r="B110" s="77" t="s">
        <v>914</v>
      </c>
      <c r="C110" s="76" t="s">
        <v>915</v>
      </c>
      <c r="D110" s="76" t="s">
        <v>619</v>
      </c>
      <c r="E110" s="76" t="s">
        <v>619</v>
      </c>
      <c r="F110" s="77" t="s">
        <v>619</v>
      </c>
      <c r="G110" s="117"/>
      <c r="H110" s="117"/>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7"/>
      <c r="AF110" s="117"/>
      <c r="AG110" s="76"/>
      <c r="AH110" s="76"/>
    </row>
    <row r="111" spans="1:34">
      <c r="A111" s="74">
        <v>97</v>
      </c>
      <c r="B111" s="73" t="s">
        <v>917</v>
      </c>
      <c r="C111" s="74" t="s">
        <v>918</v>
      </c>
      <c r="D111" s="74" t="s">
        <v>2261</v>
      </c>
      <c r="E111" s="74" t="s">
        <v>2226</v>
      </c>
      <c r="F111" s="73" t="s">
        <v>2233</v>
      </c>
      <c r="G111" s="116">
        <v>4488.333333333333</v>
      </c>
      <c r="H111" s="116">
        <v>355760</v>
      </c>
      <c r="I111" s="116">
        <v>4488.333333333333</v>
      </c>
      <c r="J111" s="116">
        <v>355760</v>
      </c>
      <c r="K111" s="116">
        <v>4488.333333333333</v>
      </c>
      <c r="L111" s="116">
        <v>355760</v>
      </c>
      <c r="M111" s="116">
        <v>4488.333333333333</v>
      </c>
      <c r="N111" s="116">
        <v>355760</v>
      </c>
      <c r="O111" s="116">
        <v>4488.333333333333</v>
      </c>
      <c r="P111" s="116">
        <v>355760</v>
      </c>
      <c r="Q111" s="116">
        <v>4488.333333333333</v>
      </c>
      <c r="R111" s="116">
        <v>355760</v>
      </c>
      <c r="S111" s="116">
        <v>4488.333333333333</v>
      </c>
      <c r="T111" s="116">
        <v>355760</v>
      </c>
      <c r="U111" s="116">
        <v>4488.333333333333</v>
      </c>
      <c r="V111" s="116">
        <v>355760</v>
      </c>
      <c r="W111" s="116">
        <v>4488.333333333333</v>
      </c>
      <c r="X111" s="116">
        <v>355760</v>
      </c>
      <c r="Y111" s="116">
        <v>4488.333333333333</v>
      </c>
      <c r="Z111" s="116">
        <v>355760</v>
      </c>
      <c r="AA111" s="116">
        <v>4488.333333333333</v>
      </c>
      <c r="AB111" s="116">
        <v>355760</v>
      </c>
      <c r="AC111" s="116">
        <v>4488.333333333333</v>
      </c>
      <c r="AD111" s="116">
        <v>355760</v>
      </c>
      <c r="AE111" s="116">
        <f t="shared" ref="AE111:AF112" si="20">AC111+AA111+Y111+W111+U111+S111+Q111+O111+M111+K111+I111+G111</f>
        <v>53860.000000000007</v>
      </c>
      <c r="AF111" s="116">
        <f t="shared" si="20"/>
        <v>4269120</v>
      </c>
      <c r="AG111" s="74"/>
      <c r="AH111" s="74"/>
    </row>
    <row r="112" spans="1:34">
      <c r="A112" s="76">
        <v>98</v>
      </c>
      <c r="B112" s="77" t="s">
        <v>922</v>
      </c>
      <c r="C112" s="76" t="s">
        <v>923</v>
      </c>
      <c r="D112" s="76" t="s">
        <v>2261</v>
      </c>
      <c r="E112" s="76" t="s">
        <v>2226</v>
      </c>
      <c r="F112" s="77" t="s">
        <v>2233</v>
      </c>
      <c r="G112" s="117">
        <v>213.69</v>
      </c>
      <c r="H112" s="117">
        <v>6372.23</v>
      </c>
      <c r="I112" s="117"/>
      <c r="J112" s="117"/>
      <c r="K112" s="117"/>
      <c r="L112" s="117"/>
      <c r="M112" s="117"/>
      <c r="N112" s="117"/>
      <c r="O112" s="117">
        <v>163.88</v>
      </c>
      <c r="P112" s="117">
        <v>7515.45</v>
      </c>
      <c r="Q112" s="117">
        <v>814.75</v>
      </c>
      <c r="R112" s="117">
        <v>33254.83</v>
      </c>
      <c r="S112" s="117"/>
      <c r="T112" s="117"/>
      <c r="U112" s="117"/>
      <c r="V112" s="117"/>
      <c r="W112" s="117"/>
      <c r="X112" s="117"/>
      <c r="Y112" s="117"/>
      <c r="Z112" s="117"/>
      <c r="AA112" s="117"/>
      <c r="AB112" s="117"/>
      <c r="AC112" s="117"/>
      <c r="AD112" s="117"/>
      <c r="AE112" s="150">
        <f t="shared" si="20"/>
        <v>1192.32</v>
      </c>
      <c r="AF112" s="151">
        <f t="shared" si="20"/>
        <v>47142.509999999995</v>
      </c>
      <c r="AG112" s="76"/>
      <c r="AH112" s="76"/>
    </row>
    <row r="113" spans="1:34">
      <c r="A113" s="74">
        <v>105</v>
      </c>
      <c r="B113" s="73" t="s">
        <v>82</v>
      </c>
      <c r="C113" s="74" t="s">
        <v>926</v>
      </c>
      <c r="D113" s="74" t="s">
        <v>619</v>
      </c>
      <c r="E113" s="74" t="s">
        <v>619</v>
      </c>
      <c r="F113" s="73" t="s">
        <v>619</v>
      </c>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74"/>
      <c r="AH113" s="74"/>
    </row>
    <row r="114" spans="1:34">
      <c r="A114" s="76">
        <v>106</v>
      </c>
      <c r="B114" s="77" t="s">
        <v>72</v>
      </c>
      <c r="C114" s="76" t="s">
        <v>928</v>
      </c>
      <c r="D114" s="76" t="s">
        <v>2278</v>
      </c>
      <c r="E114" s="76" t="s">
        <v>2279</v>
      </c>
      <c r="F114" s="77" t="s">
        <v>2280</v>
      </c>
      <c r="G114" s="117"/>
      <c r="H114" s="117"/>
      <c r="I114" s="117">
        <v>19980.13</v>
      </c>
      <c r="J114" s="117">
        <v>792547</v>
      </c>
      <c r="K114" s="117">
        <v>30094.03</v>
      </c>
      <c r="L114" s="117">
        <v>896116</v>
      </c>
      <c r="M114" s="117"/>
      <c r="N114" s="117"/>
      <c r="O114" s="117"/>
      <c r="P114" s="117"/>
      <c r="Q114" s="117">
        <v>21848.03</v>
      </c>
      <c r="R114" s="117">
        <v>481956.5</v>
      </c>
      <c r="S114" s="117"/>
      <c r="T114" s="117"/>
      <c r="U114" s="117"/>
      <c r="V114" s="117"/>
      <c r="W114" s="117"/>
      <c r="X114" s="117"/>
      <c r="Y114" s="117"/>
      <c r="Z114" s="117"/>
      <c r="AA114" s="117"/>
      <c r="AB114" s="117"/>
      <c r="AC114" s="117">
        <v>25500</v>
      </c>
      <c r="AD114" s="117">
        <v>724223</v>
      </c>
      <c r="AE114" s="150">
        <f t="shared" ref="AE114:AF114" si="21">AC114+AA114+Y114+W114+U114+S114+Q114+O114+M114+K114+I114+G114</f>
        <v>97422.19</v>
      </c>
      <c r="AF114" s="151">
        <f t="shared" si="21"/>
        <v>2894842.5</v>
      </c>
      <c r="AG114" s="76"/>
      <c r="AH114" s="76"/>
    </row>
    <row r="115" spans="1:34">
      <c r="A115" s="74">
        <v>107</v>
      </c>
      <c r="B115" s="73" t="s">
        <v>92</v>
      </c>
      <c r="C115" s="74" t="s">
        <v>932</v>
      </c>
      <c r="D115" s="74" t="s">
        <v>619</v>
      </c>
      <c r="E115" s="74" t="s">
        <v>619</v>
      </c>
      <c r="F115" s="73" t="s">
        <v>619</v>
      </c>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74"/>
      <c r="AH115" s="74"/>
    </row>
    <row r="116" spans="1:34">
      <c r="A116" s="76">
        <v>49</v>
      </c>
      <c r="B116" s="77" t="s">
        <v>189</v>
      </c>
      <c r="C116" s="76" t="s">
        <v>934</v>
      </c>
      <c r="D116" s="76" t="s">
        <v>2303</v>
      </c>
      <c r="E116" s="76" t="s">
        <v>2223</v>
      </c>
      <c r="F116" s="77" t="s">
        <v>2229</v>
      </c>
      <c r="G116" s="117">
        <v>605</v>
      </c>
      <c r="H116" s="117">
        <v>4139712.5</v>
      </c>
      <c r="I116" s="117">
        <v>740</v>
      </c>
      <c r="J116" s="117">
        <v>5148920</v>
      </c>
      <c r="K116" s="117">
        <v>900</v>
      </c>
      <c r="L116" s="117">
        <v>6248282</v>
      </c>
      <c r="M116" s="117">
        <v>823</v>
      </c>
      <c r="N116" s="117">
        <v>5866498</v>
      </c>
      <c r="O116" s="117">
        <v>860</v>
      </c>
      <c r="P116" s="117">
        <v>5743682</v>
      </c>
      <c r="Q116" s="117">
        <v>816</v>
      </c>
      <c r="R116" s="117">
        <v>5159649.5999999996</v>
      </c>
      <c r="S116" s="117">
        <v>864</v>
      </c>
      <c r="T116" s="117">
        <v>4557600</v>
      </c>
      <c r="U116" s="117">
        <v>779</v>
      </c>
      <c r="V116" s="117">
        <v>4349157</v>
      </c>
      <c r="W116" s="117">
        <v>940</v>
      </c>
      <c r="X116" s="117">
        <v>5090100.8</v>
      </c>
      <c r="Y116" s="117">
        <v>921</v>
      </c>
      <c r="Z116" s="117">
        <v>4913535</v>
      </c>
      <c r="AA116" s="117">
        <v>675</v>
      </c>
      <c r="AB116" s="117">
        <v>3794175</v>
      </c>
      <c r="AC116" s="117">
        <v>635</v>
      </c>
      <c r="AD116" s="117">
        <v>3719830</v>
      </c>
      <c r="AE116" s="150">
        <f t="shared" ref="AE116:AF117" si="22">AC116+AA116+Y116+W116+U116+S116+Q116+O116+M116+K116+I116+G116</f>
        <v>9558</v>
      </c>
      <c r="AF116" s="151">
        <f t="shared" si="22"/>
        <v>58731141.899999999</v>
      </c>
      <c r="AG116" s="76"/>
      <c r="AH116" s="76"/>
    </row>
    <row r="117" spans="1:34">
      <c r="A117" s="74">
        <v>18</v>
      </c>
      <c r="B117" s="73" t="s">
        <v>3331</v>
      </c>
      <c r="C117" s="74" t="s">
        <v>2445</v>
      </c>
      <c r="D117" s="74" t="s">
        <v>2296</v>
      </c>
      <c r="E117" s="74" t="s">
        <v>2297</v>
      </c>
      <c r="F117" s="73" t="s">
        <v>2298</v>
      </c>
      <c r="G117" s="116">
        <v>1774.57</v>
      </c>
      <c r="H117" s="116">
        <v>29289538.81617647</v>
      </c>
      <c r="I117" s="116">
        <v>1778.61</v>
      </c>
      <c r="J117" s="116">
        <v>29532404.246590912</v>
      </c>
      <c r="K117" s="116">
        <v>1801.84</v>
      </c>
      <c r="L117" s="116">
        <v>31557512.690877192</v>
      </c>
      <c r="M117" s="116">
        <v>1897.79</v>
      </c>
      <c r="N117" s="116">
        <v>34631444.837735854</v>
      </c>
      <c r="O117" s="116">
        <v>1941.24</v>
      </c>
      <c r="P117" s="116">
        <v>34005620.61473684</v>
      </c>
      <c r="Q117" s="116">
        <v>1837.19</v>
      </c>
      <c r="R117" s="116">
        <v>27619996.920987654</v>
      </c>
      <c r="S117" s="116">
        <v>1868.5</v>
      </c>
      <c r="T117" s="116">
        <v>25142493.045977011</v>
      </c>
      <c r="U117" s="116">
        <v>1876.58</v>
      </c>
      <c r="V117" s="116">
        <v>20259644.962790698</v>
      </c>
      <c r="W117" s="116">
        <v>1845.27</v>
      </c>
      <c r="X117" s="116">
        <v>18604056.074999999</v>
      </c>
      <c r="Y117" s="116">
        <v>1913.95</v>
      </c>
      <c r="Z117" s="116">
        <v>17561032.933962263</v>
      </c>
      <c r="AA117" s="116">
        <v>1819.01</v>
      </c>
      <c r="AB117" s="116">
        <v>15212064.280434784</v>
      </c>
      <c r="AC117" s="116">
        <v>1815.98</v>
      </c>
      <c r="AD117" s="116">
        <v>14717307.246666666</v>
      </c>
      <c r="AE117" s="116">
        <f t="shared" si="22"/>
        <v>22170.53</v>
      </c>
      <c r="AF117" s="116">
        <f t="shared" si="22"/>
        <v>298133116.67193633</v>
      </c>
      <c r="AG117" s="74"/>
      <c r="AH117" s="74"/>
    </row>
    <row r="118" spans="1:34">
      <c r="A118" s="571"/>
      <c r="B118" s="608" t="s">
        <v>3704</v>
      </c>
      <c r="C118" s="571" t="s">
        <v>3705</v>
      </c>
      <c r="D118" s="76" t="s">
        <v>2293</v>
      </c>
      <c r="E118" s="76" t="s">
        <v>2294</v>
      </c>
      <c r="F118" s="77" t="s">
        <v>2295</v>
      </c>
      <c r="G118" s="117">
        <v>37042.800000000003</v>
      </c>
      <c r="H118" s="117">
        <v>1704824</v>
      </c>
      <c r="I118" s="117">
        <v>24880.6</v>
      </c>
      <c r="J118" s="117">
        <v>1031276</v>
      </c>
      <c r="K118" s="117">
        <v>61441.7</v>
      </c>
      <c r="L118" s="117">
        <v>2891878</v>
      </c>
      <c r="M118" s="117">
        <v>37041.800000000003</v>
      </c>
      <c r="N118" s="117">
        <v>1807990</v>
      </c>
      <c r="O118" s="117">
        <v>73090</v>
      </c>
      <c r="P118" s="117">
        <v>4606272</v>
      </c>
      <c r="Q118" s="117">
        <v>55570</v>
      </c>
      <c r="R118" s="117">
        <v>3586034</v>
      </c>
      <c r="S118" s="117">
        <v>24878.2</v>
      </c>
      <c r="T118" s="117">
        <v>1572683</v>
      </c>
      <c r="U118" s="117">
        <v>43396.7</v>
      </c>
      <c r="V118" s="117">
        <v>3057039</v>
      </c>
      <c r="W118" s="117">
        <v>93130.3</v>
      </c>
      <c r="X118" s="117">
        <v>5030626.54</v>
      </c>
      <c r="Y118" s="117">
        <v>56904.1</v>
      </c>
      <c r="Z118" s="117">
        <v>2549062.5</v>
      </c>
      <c r="AA118" s="117">
        <v>39542.800000000003</v>
      </c>
      <c r="AB118" s="117">
        <v>1772227</v>
      </c>
      <c r="AC118" s="117">
        <v>25537.1</v>
      </c>
      <c r="AD118" s="117">
        <v>1251843</v>
      </c>
      <c r="AE118" s="150">
        <f t="shared" ref="AE118" si="23">AC118+AA118+Y118+W118+U118+S118+Q118+O118+M118+K118+I118+G118</f>
        <v>572456.10000000009</v>
      </c>
      <c r="AF118" s="151">
        <f t="shared" ref="AF118" si="24">AD118+AB118+Z118+X118+V118+T118+R118+P118+N118+L118+J118+H118</f>
        <v>30861755.039999999</v>
      </c>
      <c r="AG118" s="76" t="s">
        <v>3711</v>
      </c>
      <c r="AH118" s="76"/>
    </row>
    <row r="119" spans="1:34" ht="20.7" customHeight="1">
      <c r="A119" s="573"/>
      <c r="B119" s="609"/>
      <c r="C119" s="573"/>
      <c r="D119" s="76" t="s">
        <v>2296</v>
      </c>
      <c r="E119" s="76" t="s">
        <v>2297</v>
      </c>
      <c r="F119" s="77" t="s">
        <v>2298</v>
      </c>
      <c r="G119" s="117">
        <v>49017.3</v>
      </c>
      <c r="H119" s="117">
        <v>896223</v>
      </c>
      <c r="I119" s="117">
        <v>73518.2</v>
      </c>
      <c r="J119" s="117">
        <v>1443401</v>
      </c>
      <c r="K119" s="117">
        <v>73522.899999999994</v>
      </c>
      <c r="L119" s="117">
        <v>1547273</v>
      </c>
      <c r="M119" s="117">
        <v>98051.8</v>
      </c>
      <c r="N119" s="117">
        <v>1939416</v>
      </c>
      <c r="O119" s="117">
        <v>98050.8</v>
      </c>
      <c r="P119" s="117">
        <v>1837640</v>
      </c>
      <c r="Q119" s="117">
        <v>24521.3</v>
      </c>
      <c r="R119" s="117">
        <v>393257</v>
      </c>
      <c r="S119" s="117">
        <v>49042.1</v>
      </c>
      <c r="T119" s="117">
        <v>760349</v>
      </c>
      <c r="U119" s="117">
        <v>49054.3</v>
      </c>
      <c r="V119" s="117">
        <v>568632</v>
      </c>
      <c r="W119" s="117">
        <v>24523.200000000001</v>
      </c>
      <c r="X119" s="117">
        <v>264066</v>
      </c>
      <c r="Y119" s="117">
        <v>24514.2</v>
      </c>
      <c r="Z119" s="117">
        <v>274718</v>
      </c>
      <c r="AA119" s="117">
        <v>24520.6</v>
      </c>
      <c r="AB119" s="117">
        <v>220927</v>
      </c>
      <c r="AC119" s="117">
        <v>24518</v>
      </c>
      <c r="AD119" s="117">
        <v>209111</v>
      </c>
      <c r="AE119" s="150">
        <f t="shared" ref="AE119" si="25">AC119+AA119+Y119+W119+U119+S119+Q119+O119+M119+K119+I119+G119</f>
        <v>612854.69999999995</v>
      </c>
      <c r="AF119" s="151">
        <f t="shared" ref="AF119" si="26">AD119+AB119+Z119+X119+V119+T119+R119+P119+N119+L119+J119+H119</f>
        <v>10355013</v>
      </c>
      <c r="AG119" s="76" t="s">
        <v>3711</v>
      </c>
      <c r="AH119" s="76"/>
    </row>
    <row r="120" spans="1:34">
      <c r="A120" s="74"/>
      <c r="B120" s="74" t="s">
        <v>3734</v>
      </c>
      <c r="C120" s="74" t="s">
        <v>1080</v>
      </c>
      <c r="D120" s="74" t="s">
        <v>2247</v>
      </c>
      <c r="E120" s="74" t="s">
        <v>2248</v>
      </c>
      <c r="F120" s="73" t="s">
        <v>2249</v>
      </c>
      <c r="G120" s="116">
        <v>67.8</v>
      </c>
      <c r="H120" s="116">
        <v>3186.6</v>
      </c>
      <c r="I120" s="116">
        <v>0</v>
      </c>
      <c r="J120" s="116"/>
      <c r="K120" s="116">
        <v>0</v>
      </c>
      <c r="L120" s="116"/>
      <c r="M120" s="116">
        <v>440.06</v>
      </c>
      <c r="N120" s="116">
        <v>20708.2</v>
      </c>
      <c r="O120" s="116">
        <v>286.5</v>
      </c>
      <c r="P120" s="116">
        <v>13465.5</v>
      </c>
      <c r="Q120" s="116">
        <v>432.1</v>
      </c>
      <c r="R120" s="116">
        <v>20308.7</v>
      </c>
      <c r="S120" s="116">
        <v>292.60000000000002</v>
      </c>
      <c r="T120" s="116">
        <v>13752.2</v>
      </c>
      <c r="U120" s="116">
        <v>236.8</v>
      </c>
      <c r="V120" s="116">
        <v>11129.6</v>
      </c>
      <c r="W120" s="116">
        <v>120</v>
      </c>
      <c r="X120" s="116">
        <v>5640</v>
      </c>
      <c r="Y120" s="116">
        <v>138.69999999999999</v>
      </c>
      <c r="Z120" s="116">
        <v>6518.9</v>
      </c>
      <c r="AA120" s="116">
        <v>175.18</v>
      </c>
      <c r="AB120" s="116">
        <v>8233.4599999999991</v>
      </c>
      <c r="AC120" s="116">
        <v>131.1</v>
      </c>
      <c r="AD120" s="116">
        <v>6161.7</v>
      </c>
      <c r="AE120" s="116">
        <v>2320.8399999999997</v>
      </c>
      <c r="AF120" s="116">
        <v>109104.86</v>
      </c>
      <c r="AG120" s="74" t="s">
        <v>3733</v>
      </c>
      <c r="AH120" s="74"/>
    </row>
    <row r="121" spans="1:34">
      <c r="A121" s="571"/>
      <c r="B121" s="571" t="s">
        <v>1878</v>
      </c>
      <c r="C121" s="571" t="s">
        <v>2461</v>
      </c>
      <c r="D121" s="76" t="s">
        <v>2293</v>
      </c>
      <c r="E121" s="76" t="s">
        <v>2294</v>
      </c>
      <c r="F121" s="77" t="s">
        <v>2295</v>
      </c>
      <c r="G121" s="117">
        <v>0</v>
      </c>
      <c r="H121" s="117">
        <v>0</v>
      </c>
      <c r="I121" s="117">
        <v>0</v>
      </c>
      <c r="J121" s="117">
        <v>0</v>
      </c>
      <c r="K121" s="117">
        <v>21</v>
      </c>
      <c r="L121" s="117">
        <v>1194</v>
      </c>
      <c r="M121" s="117">
        <v>0</v>
      </c>
      <c r="N121" s="117">
        <v>0</v>
      </c>
      <c r="O121" s="117">
        <v>23.5</v>
      </c>
      <c r="P121" s="117">
        <v>1395</v>
      </c>
      <c r="Q121" s="117">
        <v>22</v>
      </c>
      <c r="R121" s="117">
        <v>1593</v>
      </c>
      <c r="S121" s="117">
        <v>0</v>
      </c>
      <c r="T121" s="117">
        <v>0</v>
      </c>
      <c r="U121" s="117">
        <v>21.5</v>
      </c>
      <c r="V121" s="117">
        <v>956</v>
      </c>
      <c r="W121" s="117">
        <v>10</v>
      </c>
      <c r="X121" s="117">
        <v>470</v>
      </c>
      <c r="Y121" s="117">
        <v>18</v>
      </c>
      <c r="Z121" s="117">
        <v>789</v>
      </c>
      <c r="AA121" s="117">
        <v>9</v>
      </c>
      <c r="AB121" s="117">
        <v>415</v>
      </c>
      <c r="AC121" s="117">
        <v>19</v>
      </c>
      <c r="AD121" s="117">
        <v>902</v>
      </c>
      <c r="AE121" s="150">
        <f t="shared" ref="AE121:AE123" si="27">AC121+AA121+Y121+W121+U121+S121+Q121+O121+M121+K121+I121+G121</f>
        <v>144</v>
      </c>
      <c r="AF121" s="151">
        <f t="shared" ref="AF121:AF123" si="28">AD121+AB121+Z121+X121+V121+T121+R121+P121+N121+L121+J121+H121</f>
        <v>7714</v>
      </c>
      <c r="AG121" s="76"/>
      <c r="AH121" s="76"/>
    </row>
    <row r="122" spans="1:34">
      <c r="A122" s="572"/>
      <c r="B122" s="572"/>
      <c r="C122" s="572"/>
      <c r="D122" s="76" t="s">
        <v>2296</v>
      </c>
      <c r="E122" s="76" t="s">
        <v>2297</v>
      </c>
      <c r="F122" s="77" t="s">
        <v>2298</v>
      </c>
      <c r="G122" s="117">
        <v>130.33000000000001</v>
      </c>
      <c r="H122" s="117">
        <v>2546</v>
      </c>
      <c r="I122" s="117">
        <v>225.33</v>
      </c>
      <c r="J122" s="117">
        <v>4490</v>
      </c>
      <c r="K122" s="117">
        <v>255.66</v>
      </c>
      <c r="L122" s="117">
        <v>5382</v>
      </c>
      <c r="M122" s="117">
        <v>200.66</v>
      </c>
      <c r="N122" s="117">
        <v>3707</v>
      </c>
      <c r="O122" s="117">
        <v>225.66</v>
      </c>
      <c r="P122" s="117">
        <v>4532</v>
      </c>
      <c r="Q122" s="117">
        <v>125.33</v>
      </c>
      <c r="R122" s="117">
        <v>2122</v>
      </c>
      <c r="S122" s="117">
        <v>150.33000000000001</v>
      </c>
      <c r="T122" s="117">
        <v>1946</v>
      </c>
      <c r="U122" s="117">
        <v>200</v>
      </c>
      <c r="V122" s="117">
        <v>1734</v>
      </c>
      <c r="W122" s="117">
        <v>149.33000000000001</v>
      </c>
      <c r="X122" s="117">
        <v>1493</v>
      </c>
      <c r="Y122" s="117">
        <v>189.33</v>
      </c>
      <c r="Z122" s="117">
        <v>1585</v>
      </c>
      <c r="AA122" s="117">
        <v>204.5</v>
      </c>
      <c r="AB122" s="117">
        <v>1728</v>
      </c>
      <c r="AC122" s="117">
        <v>154.5</v>
      </c>
      <c r="AD122" s="117">
        <v>1595</v>
      </c>
      <c r="AE122" s="150">
        <f t="shared" si="27"/>
        <v>2210.96</v>
      </c>
      <c r="AF122" s="151">
        <f t="shared" si="28"/>
        <v>32860</v>
      </c>
      <c r="AG122" s="76"/>
      <c r="AH122" s="76"/>
    </row>
    <row r="123" spans="1:34">
      <c r="A123" s="573"/>
      <c r="B123" s="573"/>
      <c r="C123" s="573"/>
      <c r="D123" s="76" t="s">
        <v>2299</v>
      </c>
      <c r="E123" s="76" t="s">
        <v>2300</v>
      </c>
      <c r="F123" s="77" t="s">
        <v>2301</v>
      </c>
      <c r="G123" s="117">
        <v>0</v>
      </c>
      <c r="H123" s="117">
        <v>0</v>
      </c>
      <c r="I123" s="117">
        <v>0</v>
      </c>
      <c r="J123" s="117">
        <v>0</v>
      </c>
      <c r="K123" s="117">
        <v>0</v>
      </c>
      <c r="L123" s="117">
        <v>0</v>
      </c>
      <c r="M123" s="117">
        <v>22</v>
      </c>
      <c r="N123" s="117">
        <v>297</v>
      </c>
      <c r="O123" s="117">
        <v>0</v>
      </c>
      <c r="P123" s="117">
        <v>0</v>
      </c>
      <c r="Q123" s="117">
        <v>0</v>
      </c>
      <c r="R123" s="117">
        <v>0</v>
      </c>
      <c r="S123" s="117">
        <v>0</v>
      </c>
      <c r="T123" s="117">
        <v>0</v>
      </c>
      <c r="U123" s="117">
        <v>25.2</v>
      </c>
      <c r="V123" s="117">
        <v>229</v>
      </c>
      <c r="W123" s="117">
        <v>23</v>
      </c>
      <c r="X123" s="117">
        <v>248</v>
      </c>
      <c r="Y123" s="117">
        <v>0</v>
      </c>
      <c r="Z123" s="117">
        <v>0</v>
      </c>
      <c r="AA123" s="117">
        <v>49</v>
      </c>
      <c r="AB123" s="117">
        <v>489</v>
      </c>
      <c r="AC123" s="117">
        <v>0</v>
      </c>
      <c r="AD123" s="117">
        <v>0</v>
      </c>
      <c r="AE123" s="150">
        <f t="shared" si="27"/>
        <v>119.2</v>
      </c>
      <c r="AF123" s="151">
        <f t="shared" si="28"/>
        <v>1263</v>
      </c>
      <c r="AG123" s="76"/>
      <c r="AH123" s="76"/>
    </row>
    <row r="124" spans="1:34">
      <c r="A124" s="74"/>
      <c r="B124" s="74"/>
      <c r="C124" s="74"/>
      <c r="D124" s="74"/>
      <c r="E124" s="74"/>
      <c r="F124" s="73"/>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74"/>
      <c r="AH124" s="74"/>
    </row>
    <row r="125" spans="1:34">
      <c r="A125" s="76"/>
      <c r="B125" s="76"/>
      <c r="C125" s="76"/>
      <c r="D125" s="76"/>
      <c r="E125" s="76"/>
      <c r="F125" s="77"/>
      <c r="G125" s="117"/>
      <c r="H125" s="117"/>
      <c r="I125" s="117"/>
      <c r="J125" s="117"/>
      <c r="K125" s="117"/>
      <c r="L125" s="117"/>
      <c r="M125" s="117"/>
      <c r="N125" s="117"/>
      <c r="O125" s="117"/>
      <c r="P125" s="117"/>
      <c r="Q125" s="117"/>
      <c r="R125" s="117"/>
      <c r="S125" s="117"/>
      <c r="T125" s="117"/>
      <c r="U125" s="117"/>
      <c r="V125" s="117"/>
      <c r="W125" s="117"/>
      <c r="X125" s="117"/>
      <c r="Y125" s="117"/>
      <c r="Z125" s="117"/>
      <c r="AA125" s="117"/>
      <c r="AB125" s="117"/>
      <c r="AC125" s="117"/>
      <c r="AD125" s="117"/>
      <c r="AE125" s="150"/>
      <c r="AF125" s="151"/>
      <c r="AG125" s="76"/>
      <c r="AH125" s="76"/>
    </row>
    <row r="126" spans="1:34">
      <c r="A126" s="74"/>
      <c r="B126" s="74"/>
      <c r="C126" s="74"/>
      <c r="D126" s="74"/>
      <c r="E126" s="74"/>
      <c r="F126" s="73"/>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74"/>
      <c r="AH126" s="74"/>
    </row>
    <row r="127" spans="1:34">
      <c r="A127" s="76"/>
      <c r="B127" s="76"/>
      <c r="C127" s="76"/>
      <c r="D127" s="76"/>
      <c r="E127" s="76"/>
      <c r="F127" s="77"/>
      <c r="G127" s="117"/>
      <c r="H127" s="117"/>
      <c r="I127" s="117"/>
      <c r="J127" s="117"/>
      <c r="K127" s="117"/>
      <c r="L127" s="117"/>
      <c r="M127" s="117"/>
      <c r="N127" s="117"/>
      <c r="O127" s="117"/>
      <c r="P127" s="117"/>
      <c r="Q127" s="117"/>
      <c r="R127" s="117"/>
      <c r="S127" s="117"/>
      <c r="T127" s="117"/>
      <c r="U127" s="117"/>
      <c r="V127" s="117"/>
      <c r="W127" s="117"/>
      <c r="X127" s="117"/>
      <c r="Y127" s="117"/>
      <c r="Z127" s="117"/>
      <c r="AA127" s="117"/>
      <c r="AB127" s="117"/>
      <c r="AC127" s="117"/>
      <c r="AD127" s="117"/>
      <c r="AE127" s="150"/>
      <c r="AF127" s="151"/>
      <c r="AG127" s="76"/>
      <c r="AH127" s="76"/>
    </row>
    <row r="128" spans="1:34">
      <c r="A128" s="74"/>
      <c r="B128" s="74"/>
      <c r="C128" s="74"/>
      <c r="D128" s="74"/>
      <c r="E128" s="74"/>
      <c r="F128" s="73"/>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74"/>
      <c r="AH128" s="74"/>
    </row>
    <row r="129" spans="1:34">
      <c r="A129" s="76"/>
      <c r="B129" s="76"/>
      <c r="C129" s="76"/>
      <c r="D129" s="76"/>
      <c r="E129" s="76"/>
      <c r="F129" s="77"/>
      <c r="G129" s="117"/>
      <c r="H129" s="117"/>
      <c r="I129" s="117"/>
      <c r="J129" s="117"/>
      <c r="K129" s="117"/>
      <c r="L129" s="117"/>
      <c r="M129" s="117"/>
      <c r="N129" s="117"/>
      <c r="O129" s="117"/>
      <c r="P129" s="117"/>
      <c r="Q129" s="117"/>
      <c r="R129" s="117"/>
      <c r="S129" s="117"/>
      <c r="T129" s="117"/>
      <c r="U129" s="117"/>
      <c r="V129" s="117"/>
      <c r="W129" s="117"/>
      <c r="X129" s="117"/>
      <c r="Y129" s="117"/>
      <c r="Z129" s="117"/>
      <c r="AA129" s="117"/>
      <c r="AB129" s="117"/>
      <c r="AC129" s="117"/>
      <c r="AD129" s="117"/>
      <c r="AE129" s="150"/>
      <c r="AF129" s="151"/>
      <c r="AG129" s="76"/>
      <c r="AH129" s="76"/>
    </row>
  </sheetData>
  <mergeCells count="106">
    <mergeCell ref="A10:A11"/>
    <mergeCell ref="B10:B11"/>
    <mergeCell ref="C10:C11"/>
    <mergeCell ref="A12:A17"/>
    <mergeCell ref="B12:B17"/>
    <mergeCell ref="C12:C17"/>
    <mergeCell ref="A26:A29"/>
    <mergeCell ref="B26:B29"/>
    <mergeCell ref="C26:C29"/>
    <mergeCell ref="A18:A19"/>
    <mergeCell ref="B18:B19"/>
    <mergeCell ref="C18:C19"/>
    <mergeCell ref="A20:A21"/>
    <mergeCell ref="B20:B21"/>
    <mergeCell ref="C20:C21"/>
    <mergeCell ref="AE6:AF6"/>
    <mergeCell ref="AG6:AG7"/>
    <mergeCell ref="AH6:AH7"/>
    <mergeCell ref="A8:A9"/>
    <mergeCell ref="B8:B9"/>
    <mergeCell ref="C8:C9"/>
    <mergeCell ref="S6:T6"/>
    <mergeCell ref="U6:V6"/>
    <mergeCell ref="W6:X6"/>
    <mergeCell ref="Y6:Z6"/>
    <mergeCell ref="AA6:AB6"/>
    <mergeCell ref="AC6:AD6"/>
    <mergeCell ref="G6:H6"/>
    <mergeCell ref="I6:J6"/>
    <mergeCell ref="K6:L6"/>
    <mergeCell ref="M6:N6"/>
    <mergeCell ref="O6:P6"/>
    <mergeCell ref="Q6:R6"/>
    <mergeCell ref="A6:A7"/>
    <mergeCell ref="B6:B7"/>
    <mergeCell ref="C6:C7"/>
    <mergeCell ref="D6:D7"/>
    <mergeCell ref="E6:E7"/>
    <mergeCell ref="F6:F7"/>
    <mergeCell ref="AG20:AG21"/>
    <mergeCell ref="AH20:AH21"/>
    <mergeCell ref="A22:A23"/>
    <mergeCell ref="B22:B23"/>
    <mergeCell ref="C22:C23"/>
    <mergeCell ref="A30:A31"/>
    <mergeCell ref="B30:B31"/>
    <mergeCell ref="C30:C31"/>
    <mergeCell ref="A32:A33"/>
    <mergeCell ref="B32:B33"/>
    <mergeCell ref="C32:C33"/>
    <mergeCell ref="A34:A35"/>
    <mergeCell ref="B34:B35"/>
    <mergeCell ref="C34:C35"/>
    <mergeCell ref="A37:A38"/>
    <mergeCell ref="B37:B38"/>
    <mergeCell ref="C37:C38"/>
    <mergeCell ref="A40:A41"/>
    <mergeCell ref="B40:B41"/>
    <mergeCell ref="C40:C41"/>
    <mergeCell ref="A42:A43"/>
    <mergeCell ref="B42:B43"/>
    <mergeCell ref="C42:C43"/>
    <mergeCell ref="A44:A45"/>
    <mergeCell ref="B44:B45"/>
    <mergeCell ref="C44:C45"/>
    <mergeCell ref="A56:A60"/>
    <mergeCell ref="B56:B60"/>
    <mergeCell ref="C56:C60"/>
    <mergeCell ref="A47:A48"/>
    <mergeCell ref="B47:B48"/>
    <mergeCell ref="C47:C48"/>
    <mergeCell ref="A52:A53"/>
    <mergeCell ref="B52:B53"/>
    <mergeCell ref="C52:C53"/>
    <mergeCell ref="A54:A55"/>
    <mergeCell ref="B54:B55"/>
    <mergeCell ref="C54:C55"/>
    <mergeCell ref="D61:D62"/>
    <mergeCell ref="E61:E62"/>
    <mergeCell ref="A63:A65"/>
    <mergeCell ref="B63:B65"/>
    <mergeCell ref="C63:C65"/>
    <mergeCell ref="A74:A75"/>
    <mergeCell ref="B74:B75"/>
    <mergeCell ref="C74:C75"/>
    <mergeCell ref="A78:A79"/>
    <mergeCell ref="B78:B79"/>
    <mergeCell ref="C78:C79"/>
    <mergeCell ref="A69:A71"/>
    <mergeCell ref="B69:B71"/>
    <mergeCell ref="C69:C71"/>
    <mergeCell ref="A61:A62"/>
    <mergeCell ref="B61:B62"/>
    <mergeCell ref="C61:C62"/>
    <mergeCell ref="A89:A91"/>
    <mergeCell ref="B89:B91"/>
    <mergeCell ref="C89:C91"/>
    <mergeCell ref="A106:A107"/>
    <mergeCell ref="B106:B107"/>
    <mergeCell ref="C106:C107"/>
    <mergeCell ref="B121:B123"/>
    <mergeCell ref="A121:A123"/>
    <mergeCell ref="C121:C123"/>
    <mergeCell ref="C118:C119"/>
    <mergeCell ref="B118:B119"/>
    <mergeCell ref="A118:A11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2:AI133"/>
  <sheetViews>
    <sheetView zoomScaleNormal="100" workbookViewId="0">
      <selection activeCell="A2" sqref="A2"/>
    </sheetView>
  </sheetViews>
  <sheetFormatPr baseColWidth="10" defaultRowHeight="13.8"/>
  <cols>
    <col min="2" max="2" width="26.296875" customWidth="1"/>
    <col min="3" max="3" width="8.69921875" bestFit="1" customWidth="1"/>
    <col min="4" max="4" width="27.59765625" bestFit="1" customWidth="1"/>
    <col min="5" max="5" width="11.296875" bestFit="1" customWidth="1"/>
    <col min="6" max="6" width="12.59765625" bestFit="1" customWidth="1"/>
    <col min="7" max="7" width="11.296875" bestFit="1" customWidth="1"/>
    <col min="8" max="8" width="12.59765625" bestFit="1" customWidth="1"/>
    <col min="9" max="9" width="11.296875" bestFit="1" customWidth="1"/>
    <col min="10" max="10" width="12.59765625" bestFit="1" customWidth="1"/>
    <col min="11" max="11" width="11.296875" bestFit="1" customWidth="1"/>
    <col min="12" max="12" width="12.59765625" bestFit="1" customWidth="1"/>
    <col min="13" max="13" width="11.296875" bestFit="1" customWidth="1"/>
    <col min="14" max="14" width="12.3984375" bestFit="1" customWidth="1"/>
    <col min="15" max="15" width="11.296875" bestFit="1" customWidth="1"/>
    <col min="16" max="16" width="12.59765625" bestFit="1" customWidth="1"/>
    <col min="17" max="17" width="11.296875" bestFit="1" customWidth="1"/>
    <col min="18" max="18" width="12.59765625" bestFit="1" customWidth="1"/>
    <col min="19" max="19" width="11.296875" bestFit="1" customWidth="1"/>
    <col min="20" max="20" width="12.59765625" bestFit="1" customWidth="1"/>
    <col min="21" max="21" width="11.296875" bestFit="1" customWidth="1"/>
    <col min="22" max="22" width="12.59765625" bestFit="1" customWidth="1"/>
    <col min="23" max="23" width="11.296875" bestFit="1" customWidth="1"/>
    <col min="24" max="24" width="12.59765625" bestFit="1" customWidth="1"/>
    <col min="25" max="25" width="13.69921875" bestFit="1" customWidth="1"/>
    <col min="26" max="26" width="12.59765625" bestFit="1" customWidth="1"/>
    <col min="27" max="27" width="11" bestFit="1" customWidth="1"/>
    <col min="28" max="28" width="12.59765625" bestFit="1" customWidth="1"/>
    <col min="29" max="29" width="13.59765625" bestFit="1" customWidth="1"/>
    <col min="30" max="30" width="14.69921875" bestFit="1" customWidth="1"/>
    <col min="31" max="31" width="13.59765625" customWidth="1"/>
  </cols>
  <sheetData>
    <row r="2" spans="1:34" ht="18.600000000000001">
      <c r="A2" s="65" t="s">
        <v>2324</v>
      </c>
    </row>
    <row r="6" spans="1:34" ht="14.4" thickBot="1">
      <c r="A6" s="545" t="s">
        <v>609</v>
      </c>
      <c r="B6" s="545" t="s">
        <v>610</v>
      </c>
      <c r="C6" s="545" t="s">
        <v>611</v>
      </c>
      <c r="D6" s="545" t="s">
        <v>2217</v>
      </c>
      <c r="E6" s="611">
        <v>44562</v>
      </c>
      <c r="F6" s="545"/>
      <c r="G6" s="611">
        <v>44593</v>
      </c>
      <c r="H6" s="545"/>
      <c r="I6" s="611">
        <v>44621</v>
      </c>
      <c r="J6" s="545"/>
      <c r="K6" s="611">
        <v>44652</v>
      </c>
      <c r="L6" s="545"/>
      <c r="M6" s="611">
        <v>44682</v>
      </c>
      <c r="N6" s="545"/>
      <c r="O6" s="611">
        <v>44713</v>
      </c>
      <c r="P6" s="545"/>
      <c r="Q6" s="611">
        <v>44743</v>
      </c>
      <c r="R6" s="545"/>
      <c r="S6" s="611">
        <v>44774</v>
      </c>
      <c r="T6" s="545"/>
      <c r="U6" s="611">
        <v>44805</v>
      </c>
      <c r="V6" s="545"/>
      <c r="W6" s="611">
        <v>44835</v>
      </c>
      <c r="X6" s="545"/>
      <c r="Y6" s="611">
        <v>44866</v>
      </c>
      <c r="Z6" s="545"/>
      <c r="AA6" s="611">
        <v>44896</v>
      </c>
      <c r="AB6" s="545"/>
      <c r="AC6" s="545" t="s">
        <v>2218</v>
      </c>
      <c r="AD6" s="545"/>
      <c r="AE6" s="546" t="s">
        <v>2304</v>
      </c>
      <c r="AF6" s="546" t="s">
        <v>2305</v>
      </c>
      <c r="AG6" s="545" t="s">
        <v>2219</v>
      </c>
      <c r="AH6" s="545" t="s">
        <v>2220</v>
      </c>
    </row>
    <row r="7" spans="1:34">
      <c r="A7" s="546"/>
      <c r="B7" s="546"/>
      <c r="C7" s="546"/>
      <c r="D7" s="546"/>
      <c r="E7" s="148" t="s">
        <v>2221</v>
      </c>
      <c r="F7" s="149" t="s">
        <v>2222</v>
      </c>
      <c r="G7" s="148" t="s">
        <v>2221</v>
      </c>
      <c r="H7" s="149" t="s">
        <v>2222</v>
      </c>
      <c r="I7" s="148" t="s">
        <v>2221</v>
      </c>
      <c r="J7" s="149" t="s">
        <v>2222</v>
      </c>
      <c r="K7" s="148" t="s">
        <v>2221</v>
      </c>
      <c r="L7" s="149" t="s">
        <v>2222</v>
      </c>
      <c r="M7" s="148" t="s">
        <v>2221</v>
      </c>
      <c r="N7" s="149" t="s">
        <v>2222</v>
      </c>
      <c r="O7" s="148" t="s">
        <v>2221</v>
      </c>
      <c r="P7" s="149" t="s">
        <v>2222</v>
      </c>
      <c r="Q7" s="148" t="s">
        <v>2221</v>
      </c>
      <c r="R7" s="149" t="s">
        <v>2222</v>
      </c>
      <c r="S7" s="148" t="s">
        <v>2221</v>
      </c>
      <c r="T7" s="149" t="s">
        <v>2222</v>
      </c>
      <c r="U7" s="148" t="s">
        <v>2221</v>
      </c>
      <c r="V7" s="149" t="s">
        <v>2222</v>
      </c>
      <c r="W7" s="148" t="s">
        <v>2221</v>
      </c>
      <c r="X7" s="149" t="s">
        <v>2222</v>
      </c>
      <c r="Y7" s="148" t="s">
        <v>2221</v>
      </c>
      <c r="Z7" s="149" t="s">
        <v>2222</v>
      </c>
      <c r="AA7" s="148" t="s">
        <v>2221</v>
      </c>
      <c r="AB7" s="149" t="s">
        <v>2222</v>
      </c>
      <c r="AC7" s="69" t="s">
        <v>2221</v>
      </c>
      <c r="AD7" s="69" t="s">
        <v>2222</v>
      </c>
      <c r="AE7" s="547"/>
      <c r="AF7" s="547"/>
      <c r="AG7" s="546"/>
      <c r="AH7" s="546"/>
    </row>
    <row r="8" spans="1:34">
      <c r="A8" s="576">
        <v>1</v>
      </c>
      <c r="B8" s="576" t="s">
        <v>97</v>
      </c>
      <c r="C8" s="576" t="s">
        <v>618</v>
      </c>
      <c r="D8" s="73" t="s">
        <v>2224</v>
      </c>
      <c r="E8" s="116"/>
      <c r="F8" s="116">
        <v>194335984.31</v>
      </c>
      <c r="G8" s="116"/>
      <c r="H8" s="116">
        <v>129890317.69</v>
      </c>
      <c r="I8" s="116"/>
      <c r="J8" s="116">
        <v>154449889.09999999</v>
      </c>
      <c r="K8" s="116"/>
      <c r="L8" s="116">
        <v>123642050</v>
      </c>
      <c r="M8" s="116"/>
      <c r="N8" s="116">
        <v>94011973.559999898</v>
      </c>
      <c r="O8" s="116"/>
      <c r="P8" s="116">
        <v>171797081.87</v>
      </c>
      <c r="Q8" s="116"/>
      <c r="R8" s="116">
        <v>136099670.61000001</v>
      </c>
      <c r="S8" s="116"/>
      <c r="T8" s="116">
        <v>123509073.87</v>
      </c>
      <c r="U8" s="116"/>
      <c r="V8" s="116">
        <v>157005416.47999999</v>
      </c>
      <c r="W8" s="116"/>
      <c r="X8" s="116">
        <v>130476240.06999999</v>
      </c>
      <c r="Y8" s="116"/>
      <c r="Z8" s="116">
        <v>149099294.31</v>
      </c>
      <c r="AA8" s="116"/>
      <c r="AB8" s="116">
        <v>154048700.13</v>
      </c>
      <c r="AC8" s="116"/>
      <c r="AD8" s="116">
        <f>AB8+Z8+X8+V8+T8+R8+P8+N8+L8+J8+H8+F8</f>
        <v>1718365691.9999998</v>
      </c>
      <c r="AE8" s="74"/>
      <c r="AF8" s="74"/>
      <c r="AG8" s="74"/>
      <c r="AH8" s="74"/>
    </row>
    <row r="9" spans="1:34">
      <c r="A9" s="577"/>
      <c r="B9" s="577"/>
      <c r="C9" s="577"/>
      <c r="D9" s="73" t="s">
        <v>2227</v>
      </c>
      <c r="E9" s="116"/>
      <c r="F9" s="116">
        <v>99030497.739999995</v>
      </c>
      <c r="G9" s="116"/>
      <c r="H9" s="116">
        <v>100336946.69</v>
      </c>
      <c r="I9" s="116"/>
      <c r="J9" s="116">
        <v>90260068.480000004</v>
      </c>
      <c r="K9" s="116"/>
      <c r="L9" s="116">
        <v>102159683</v>
      </c>
      <c r="M9" s="116"/>
      <c r="N9" s="116">
        <v>91164994.649999902</v>
      </c>
      <c r="O9" s="116"/>
      <c r="P9" s="116">
        <v>80378982.549999997</v>
      </c>
      <c r="Q9" s="116"/>
      <c r="R9" s="116">
        <v>31357607.859999999</v>
      </c>
      <c r="S9" s="116"/>
      <c r="T9" s="116">
        <v>25432930.140000101</v>
      </c>
      <c r="U9" s="116"/>
      <c r="V9" s="116">
        <v>85490742</v>
      </c>
      <c r="W9" s="116"/>
      <c r="X9" s="116">
        <v>63895396</v>
      </c>
      <c r="Y9" s="116"/>
      <c r="Z9" s="116">
        <v>61467420</v>
      </c>
      <c r="AA9" s="116"/>
      <c r="AB9" s="116">
        <v>75658435</v>
      </c>
      <c r="AC9" s="116"/>
      <c r="AD9" s="116">
        <f>AB9+Z9+X9+V9+T9+R9+P9+N9+L9+J9+H9+F9</f>
        <v>906633704.11000013</v>
      </c>
      <c r="AE9" s="74"/>
      <c r="AF9" s="74"/>
      <c r="AG9" s="74"/>
      <c r="AH9" s="74"/>
    </row>
    <row r="10" spans="1:34">
      <c r="A10" s="571">
        <v>2</v>
      </c>
      <c r="B10" s="571" t="s">
        <v>624</v>
      </c>
      <c r="C10" s="571" t="s">
        <v>625</v>
      </c>
      <c r="D10" s="77" t="s">
        <v>2224</v>
      </c>
      <c r="E10" s="117">
        <v>2072</v>
      </c>
      <c r="F10" s="117">
        <v>19212753</v>
      </c>
      <c r="G10" s="117">
        <v>1999</v>
      </c>
      <c r="H10" s="117">
        <v>20154544</v>
      </c>
      <c r="I10" s="117">
        <v>1846</v>
      </c>
      <c r="J10" s="117">
        <v>19682495</v>
      </c>
      <c r="K10" s="117">
        <v>1196</v>
      </c>
      <c r="L10" s="117">
        <v>11406428</v>
      </c>
      <c r="M10" s="117">
        <v>1404</v>
      </c>
      <c r="N10" s="117">
        <v>12796788</v>
      </c>
      <c r="O10" s="117">
        <v>2355</v>
      </c>
      <c r="P10" s="117">
        <v>22634763</v>
      </c>
      <c r="Q10" s="117">
        <v>1348</v>
      </c>
      <c r="R10" s="117">
        <v>12105527</v>
      </c>
      <c r="S10" s="117">
        <v>10</v>
      </c>
      <c r="T10" s="117">
        <v>-689718</v>
      </c>
      <c r="U10" s="117"/>
      <c r="V10" s="117"/>
      <c r="W10" s="117"/>
      <c r="X10" s="117"/>
      <c r="Y10" s="117">
        <v>121</v>
      </c>
      <c r="Z10" s="117">
        <v>1023707</v>
      </c>
      <c r="AA10" s="117">
        <v>208.39363831824343</v>
      </c>
      <c r="AB10" s="117">
        <v>1774208</v>
      </c>
      <c r="AC10" s="117">
        <f>AA10+Y10+W10+U10+S10+Q10+O10+M10+K10+I10+G10+E10</f>
        <v>12559.393638318244</v>
      </c>
      <c r="AD10" s="117">
        <f>AB10+Z10+X10+V10+T10+R10+P10+N10+L10+J10+H10+F10</f>
        <v>120101495</v>
      </c>
      <c r="AE10" s="76"/>
      <c r="AF10" s="76"/>
      <c r="AG10" s="76"/>
      <c r="AH10" s="76"/>
    </row>
    <row r="11" spans="1:34">
      <c r="A11" s="573"/>
      <c r="B11" s="573"/>
      <c r="C11" s="573"/>
      <c r="D11" s="77" t="s">
        <v>2228</v>
      </c>
      <c r="E11" s="117">
        <v>15762</v>
      </c>
      <c r="F11" s="117">
        <v>61067271</v>
      </c>
      <c r="G11" s="117">
        <v>17531</v>
      </c>
      <c r="H11" s="117">
        <v>67309921</v>
      </c>
      <c r="I11" s="117">
        <v>18055</v>
      </c>
      <c r="J11" s="117">
        <v>71864928</v>
      </c>
      <c r="K11" s="117">
        <v>20249</v>
      </c>
      <c r="L11" s="117">
        <v>79930746</v>
      </c>
      <c r="M11" s="117">
        <v>22436</v>
      </c>
      <c r="N11" s="117">
        <v>89017964</v>
      </c>
      <c r="O11" s="117">
        <v>21364</v>
      </c>
      <c r="P11" s="117">
        <v>91714128</v>
      </c>
      <c r="Q11" s="117">
        <v>14948</v>
      </c>
      <c r="R11" s="117">
        <v>61672949</v>
      </c>
      <c r="S11" s="117">
        <v>70</v>
      </c>
      <c r="T11" s="117">
        <v>1696919</v>
      </c>
      <c r="U11" s="117"/>
      <c r="V11" s="117"/>
      <c r="W11" s="117"/>
      <c r="X11" s="117"/>
      <c r="Y11" s="117"/>
      <c r="Z11" s="117">
        <v>2</v>
      </c>
      <c r="AA11" s="117"/>
      <c r="AB11" s="117"/>
      <c r="AC11" s="117">
        <f>AA11+Y11+W11+U11+S11+Q11+O11+M11+K11+I11+G11+E11</f>
        <v>130415</v>
      </c>
      <c r="AD11" s="117">
        <f>AB11+Z11+X11+V11+T11+R11+P11+N11+L11+J11+H11+F11</f>
        <v>524274828</v>
      </c>
      <c r="AE11" s="76"/>
      <c r="AF11" s="76"/>
      <c r="AG11" s="76"/>
      <c r="AH11" s="76"/>
    </row>
    <row r="12" spans="1:34">
      <c r="A12" s="576">
        <v>3</v>
      </c>
      <c r="B12" s="588" t="s">
        <v>629</v>
      </c>
      <c r="C12" s="576" t="s">
        <v>630</v>
      </c>
      <c r="D12" s="153" t="s">
        <v>2229</v>
      </c>
      <c r="E12" s="116">
        <v>6805.3</v>
      </c>
      <c r="F12" s="116">
        <v>63858969.43</v>
      </c>
      <c r="G12" s="116">
        <v>6503.03</v>
      </c>
      <c r="H12" s="116">
        <v>61996344.75</v>
      </c>
      <c r="I12" s="116">
        <v>5600.41</v>
      </c>
      <c r="J12" s="116">
        <v>57415883.18</v>
      </c>
      <c r="K12" s="116">
        <v>6719.38</v>
      </c>
      <c r="L12" s="116">
        <v>16488983.57</v>
      </c>
      <c r="M12" s="116">
        <v>5470.64</v>
      </c>
      <c r="N12" s="116">
        <v>70563952.219999999</v>
      </c>
      <c r="O12" s="116">
        <v>7241.49</v>
      </c>
      <c r="P12" s="116">
        <v>80285818.370000005</v>
      </c>
      <c r="Q12" s="116">
        <v>6071</v>
      </c>
      <c r="R12" s="116">
        <v>26476692.379999999</v>
      </c>
      <c r="S12" s="116">
        <v>5154.8599999999997</v>
      </c>
      <c r="T12" s="116">
        <v>37717735.170000002</v>
      </c>
      <c r="U12" s="116">
        <v>6284.49</v>
      </c>
      <c r="V12" s="116">
        <v>41389653.32</v>
      </c>
      <c r="W12" s="116">
        <v>6195.41</v>
      </c>
      <c r="X12" s="116">
        <v>45401657.590000004</v>
      </c>
      <c r="Y12" s="116">
        <v>6107.38</v>
      </c>
      <c r="Z12" s="116">
        <v>48053718.99628</v>
      </c>
      <c r="AA12" s="116">
        <v>5652.03</v>
      </c>
      <c r="AB12" s="116">
        <v>46554609.490659997</v>
      </c>
      <c r="AC12" s="116">
        <f>AA12+Y12+W12+U12+S12+Q12+O12+M12+K12+I12+G12+E12</f>
        <v>73805.42</v>
      </c>
      <c r="AD12" s="116">
        <f>AB12+Z12+X12+V12+T12+R12+P12+N12+L12+J12+H12+F12</f>
        <v>596204018.46693993</v>
      </c>
      <c r="AE12" s="116"/>
      <c r="AF12" s="116"/>
      <c r="AG12" s="116"/>
      <c r="AH12" s="116"/>
    </row>
    <row r="13" spans="1:34">
      <c r="A13" s="584"/>
      <c r="B13" s="612"/>
      <c r="C13" s="584"/>
      <c r="D13" s="153" t="s">
        <v>2230</v>
      </c>
      <c r="E13" s="116">
        <v>1766.79</v>
      </c>
      <c r="F13" s="116">
        <v>11485029.73</v>
      </c>
      <c r="G13" s="116">
        <v>2218.54</v>
      </c>
      <c r="H13" s="116">
        <v>10823574.57</v>
      </c>
      <c r="I13" s="116">
        <v>2424.14</v>
      </c>
      <c r="J13" s="116">
        <v>30534755.329999998</v>
      </c>
      <c r="K13" s="116">
        <v>1293.6600000000001</v>
      </c>
      <c r="L13" s="116">
        <v>3902686.15</v>
      </c>
      <c r="M13" s="116">
        <v>1280.3900000000001</v>
      </c>
      <c r="N13" s="116">
        <v>9152355.5999999996</v>
      </c>
      <c r="O13" s="116">
        <v>1465.92</v>
      </c>
      <c r="P13" s="116">
        <v>5415741.0300000003</v>
      </c>
      <c r="Q13" s="116">
        <v>1766.04</v>
      </c>
      <c r="R13" s="116">
        <v>9682274.8300000001</v>
      </c>
      <c r="S13" s="116">
        <v>1999.52</v>
      </c>
      <c r="T13" s="116">
        <v>16046402.08</v>
      </c>
      <c r="U13" s="116">
        <v>1791.84</v>
      </c>
      <c r="V13" s="116">
        <v>23029034.149999999</v>
      </c>
      <c r="W13" s="116">
        <v>1974.1</v>
      </c>
      <c r="X13" s="116">
        <v>8797619.2399999909</v>
      </c>
      <c r="Y13" s="116">
        <v>1959.92</v>
      </c>
      <c r="Z13" s="116">
        <v>13781753.8739282</v>
      </c>
      <c r="AA13" s="116">
        <v>1627.44</v>
      </c>
      <c r="AB13" s="116">
        <v>12450805.644239301</v>
      </c>
      <c r="AC13" s="116">
        <f t="shared" ref="AC13:AD17" si="0">AA13+Y13+W13+U13+S13+Q13+O13+M13+K13+I13+G13+E13</f>
        <v>21568.300000000003</v>
      </c>
      <c r="AD13" s="116">
        <f t="shared" si="0"/>
        <v>155102032.22816747</v>
      </c>
      <c r="AE13" s="116"/>
      <c r="AF13" s="116"/>
      <c r="AG13" s="116"/>
      <c r="AH13" s="116"/>
    </row>
    <row r="14" spans="1:34">
      <c r="A14" s="584"/>
      <c r="B14" s="612"/>
      <c r="C14" s="584"/>
      <c r="D14" s="153" t="s">
        <v>2224</v>
      </c>
      <c r="E14" s="116">
        <v>180.09</v>
      </c>
      <c r="F14" s="116">
        <v>12725859.5</v>
      </c>
      <c r="G14" s="116">
        <v>188.25</v>
      </c>
      <c r="H14" s="116">
        <v>1534524.78</v>
      </c>
      <c r="I14" s="116">
        <v>188.05</v>
      </c>
      <c r="J14" s="116">
        <v>16981787.98</v>
      </c>
      <c r="K14" s="116">
        <v>170.83</v>
      </c>
      <c r="L14" s="116">
        <v>14612593.5</v>
      </c>
      <c r="M14" s="116">
        <v>194.42</v>
      </c>
      <c r="N14" s="116">
        <v>2377552.37</v>
      </c>
      <c r="O14" s="116">
        <v>241.59</v>
      </c>
      <c r="P14" s="116">
        <v>7201819.7800000003</v>
      </c>
      <c r="Q14" s="116">
        <v>257.68</v>
      </c>
      <c r="R14" s="116">
        <v>0</v>
      </c>
      <c r="S14" s="116">
        <v>230.08</v>
      </c>
      <c r="T14" s="116">
        <v>7054496.9000000004</v>
      </c>
      <c r="U14" s="116">
        <v>230.03</v>
      </c>
      <c r="V14" s="116">
        <v>10480521.52</v>
      </c>
      <c r="W14" s="116">
        <v>207.56</v>
      </c>
      <c r="X14" s="116">
        <v>8512029.2200000007</v>
      </c>
      <c r="Y14" s="116">
        <v>226.74</v>
      </c>
      <c r="Z14" s="116">
        <v>4519750.6500000004</v>
      </c>
      <c r="AA14" s="116">
        <v>190.87</v>
      </c>
      <c r="AB14" s="116">
        <v>-5587666.4914288502</v>
      </c>
      <c r="AC14" s="116">
        <f t="shared" si="0"/>
        <v>2506.19</v>
      </c>
      <c r="AD14" s="116">
        <f t="shared" si="0"/>
        <v>80413269.708571151</v>
      </c>
      <c r="AE14" s="116"/>
      <c r="AF14" s="116"/>
      <c r="AG14" s="116"/>
      <c r="AH14" s="116"/>
    </row>
    <row r="15" spans="1:34">
      <c r="A15" s="584"/>
      <c r="B15" s="612"/>
      <c r="C15" s="584"/>
      <c r="D15" s="153" t="s">
        <v>2231</v>
      </c>
      <c r="E15" s="116">
        <v>145.56</v>
      </c>
      <c r="F15" s="116">
        <v>13940.72</v>
      </c>
      <c r="G15" s="116">
        <v>190.9</v>
      </c>
      <c r="H15" s="116">
        <v>1651585.76</v>
      </c>
      <c r="I15" s="116">
        <v>210.65</v>
      </c>
      <c r="J15" s="116">
        <v>1882710.39</v>
      </c>
      <c r="K15" s="116">
        <v>132.26</v>
      </c>
      <c r="L15" s="116">
        <v>297144.8</v>
      </c>
      <c r="M15" s="116">
        <v>95.89</v>
      </c>
      <c r="N15" s="116">
        <v>138180.65</v>
      </c>
      <c r="O15" s="116">
        <v>140.43</v>
      </c>
      <c r="P15" s="116">
        <v>1336355.08</v>
      </c>
      <c r="Q15" s="116">
        <v>209.81</v>
      </c>
      <c r="R15" s="116">
        <v>1720733.5</v>
      </c>
      <c r="S15" s="116">
        <v>269.06</v>
      </c>
      <c r="T15" s="116">
        <v>1822180.33</v>
      </c>
      <c r="U15" s="116">
        <v>245.29</v>
      </c>
      <c r="V15" s="116">
        <v>1584833.29</v>
      </c>
      <c r="W15" s="116">
        <v>130.32</v>
      </c>
      <c r="X15" s="116">
        <v>585034.51</v>
      </c>
      <c r="Y15" s="116">
        <v>201.26</v>
      </c>
      <c r="Z15" s="116">
        <v>878374.93000000098</v>
      </c>
      <c r="AA15" s="116">
        <v>314.17</v>
      </c>
      <c r="AB15" s="116">
        <v>2341377.7384000001</v>
      </c>
      <c r="AC15" s="116">
        <f t="shared" si="0"/>
        <v>2285.6</v>
      </c>
      <c r="AD15" s="116">
        <f t="shared" si="0"/>
        <v>14252451.698400004</v>
      </c>
      <c r="AE15" s="116"/>
      <c r="AF15" s="116"/>
      <c r="AG15" s="116"/>
      <c r="AH15" s="116"/>
    </row>
    <row r="16" spans="1:34">
      <c r="A16" s="584"/>
      <c r="B16" s="612"/>
      <c r="C16" s="584"/>
      <c r="D16" s="153" t="s">
        <v>2232</v>
      </c>
      <c r="E16" s="116">
        <v>1771.61</v>
      </c>
      <c r="F16" s="116">
        <v>16786418.329999998</v>
      </c>
      <c r="G16" s="116">
        <v>1667.56</v>
      </c>
      <c r="H16" s="116">
        <v>15712484.359999999</v>
      </c>
      <c r="I16" s="116">
        <v>1478.06</v>
      </c>
      <c r="J16" s="116">
        <v>14894189.890000001</v>
      </c>
      <c r="K16" s="116">
        <v>1830.48</v>
      </c>
      <c r="L16" s="116">
        <v>3876900.64</v>
      </c>
      <c r="M16" s="116">
        <v>1617.13</v>
      </c>
      <c r="N16" s="116">
        <v>13573057.09</v>
      </c>
      <c r="O16" s="116">
        <v>1500.06</v>
      </c>
      <c r="P16" s="116">
        <v>24970842.91</v>
      </c>
      <c r="Q16" s="116">
        <v>1840.17</v>
      </c>
      <c r="R16" s="116">
        <v>12141899.640000001</v>
      </c>
      <c r="S16" s="116">
        <v>2100.46</v>
      </c>
      <c r="T16" s="116">
        <v>11633535.07</v>
      </c>
      <c r="U16" s="116">
        <v>2019.14</v>
      </c>
      <c r="V16" s="116">
        <v>12207967.140000001</v>
      </c>
      <c r="W16" s="116">
        <v>1365.92</v>
      </c>
      <c r="X16" s="116">
        <v>9996452.5199999902</v>
      </c>
      <c r="Y16" s="116">
        <v>2152.88</v>
      </c>
      <c r="Z16" s="116">
        <v>17320018.530684099</v>
      </c>
      <c r="AA16" s="116">
        <v>3010.39</v>
      </c>
      <c r="AB16" s="116">
        <v>23295141.478624102</v>
      </c>
      <c r="AC16" s="116">
        <f t="shared" si="0"/>
        <v>22353.860000000004</v>
      </c>
      <c r="AD16" s="116">
        <f t="shared" si="0"/>
        <v>176408907.59930819</v>
      </c>
      <c r="AE16" s="116"/>
      <c r="AF16" s="116"/>
      <c r="AG16" s="116"/>
      <c r="AH16" s="116"/>
    </row>
    <row r="17" spans="1:34">
      <c r="A17" s="577"/>
      <c r="B17" s="589"/>
      <c r="C17" s="577"/>
      <c r="D17" s="153" t="s">
        <v>2233</v>
      </c>
      <c r="E17" s="116">
        <v>1102.0899999999999</v>
      </c>
      <c r="F17" s="116">
        <v>5078456.43</v>
      </c>
      <c r="G17" s="116">
        <v>509.21</v>
      </c>
      <c r="H17" s="116">
        <v>3647204.9</v>
      </c>
      <c r="I17" s="116">
        <v>255.47</v>
      </c>
      <c r="J17" s="116">
        <v>2510554.33</v>
      </c>
      <c r="K17" s="116">
        <v>277.57</v>
      </c>
      <c r="L17" s="116">
        <v>826803.52</v>
      </c>
      <c r="M17" s="116">
        <v>1263.43</v>
      </c>
      <c r="N17" s="116">
        <v>621073.01</v>
      </c>
      <c r="O17" s="116">
        <v>1189.93</v>
      </c>
      <c r="P17" s="116">
        <v>2371940.83</v>
      </c>
      <c r="Q17" s="116">
        <v>-533.86</v>
      </c>
      <c r="R17" s="116">
        <v>450110.19</v>
      </c>
      <c r="S17" s="116">
        <v>-511.8</v>
      </c>
      <c r="T17" s="116">
        <v>-760820.95</v>
      </c>
      <c r="U17" s="116">
        <v>434.45</v>
      </c>
      <c r="V17" s="116">
        <v>739850.12</v>
      </c>
      <c r="W17" s="116">
        <v>2414.31</v>
      </c>
      <c r="X17" s="116">
        <v>4515458.47</v>
      </c>
      <c r="Y17" s="116">
        <v>914.55</v>
      </c>
      <c r="Z17" s="116">
        <v>2105497.5772605999</v>
      </c>
      <c r="AA17" s="116">
        <v>904.34</v>
      </c>
      <c r="AB17" s="116">
        <v>963816.02779830201</v>
      </c>
      <c r="AC17" s="116">
        <f t="shared" si="0"/>
        <v>8219.6899999999987</v>
      </c>
      <c r="AD17" s="116">
        <f t="shared" si="0"/>
        <v>23069944.455058899</v>
      </c>
      <c r="AE17" s="116"/>
      <c r="AF17" s="116"/>
      <c r="AG17" s="116"/>
      <c r="AH17" s="116"/>
    </row>
    <row r="18" spans="1:34">
      <c r="A18" s="571">
        <v>4</v>
      </c>
      <c r="B18" s="580" t="s">
        <v>634</v>
      </c>
      <c r="C18" s="571" t="s">
        <v>630</v>
      </c>
      <c r="D18" s="76" t="s">
        <v>2235</v>
      </c>
      <c r="E18" s="117">
        <v>1214.0999999999999</v>
      </c>
      <c r="F18" s="117"/>
      <c r="G18" s="117">
        <v>2023.36</v>
      </c>
      <c r="H18" s="117"/>
      <c r="I18" s="117">
        <v>1488.77</v>
      </c>
      <c r="J18" s="117"/>
      <c r="K18" s="117">
        <v>502.23</v>
      </c>
      <c r="L18" s="117"/>
      <c r="M18" s="117">
        <v>1153.31</v>
      </c>
      <c r="N18" s="117"/>
      <c r="O18" s="117">
        <v>1756.02</v>
      </c>
      <c r="P18" s="117"/>
      <c r="Q18" s="117">
        <v>1045.3900000000001</v>
      </c>
      <c r="R18" s="117"/>
      <c r="S18" s="117">
        <v>5005.1899999999996</v>
      </c>
      <c r="T18" s="117"/>
      <c r="U18" s="117">
        <v>2613.06</v>
      </c>
      <c r="V18" s="117"/>
      <c r="W18" s="117">
        <v>1265.2</v>
      </c>
      <c r="X18" s="117"/>
      <c r="Y18" s="117">
        <v>2040.63</v>
      </c>
      <c r="Z18" s="117"/>
      <c r="AA18" s="117">
        <v>636.53</v>
      </c>
      <c r="AB18" s="117"/>
      <c r="AC18" s="117">
        <f>AA18+Y18+W18+U18+S18+Q18+O18+M18+K18+I18+G18+E18</f>
        <v>20743.789999999997</v>
      </c>
      <c r="AD18" s="117">
        <f>AB18+Z18+X18+V18+T18+R18+P18+N18+L18+J18+H18+F18</f>
        <v>0</v>
      </c>
      <c r="AE18" s="76"/>
      <c r="AF18" s="76"/>
      <c r="AG18" s="76"/>
      <c r="AH18" s="76"/>
    </row>
    <row r="19" spans="1:34">
      <c r="A19" s="573"/>
      <c r="B19" s="582"/>
      <c r="C19" s="573"/>
      <c r="D19" s="76" t="s">
        <v>2228</v>
      </c>
      <c r="E19" s="117">
        <v>9605.2199999999993</v>
      </c>
      <c r="F19" s="117"/>
      <c r="G19" s="117">
        <v>4699.28</v>
      </c>
      <c r="H19" s="117"/>
      <c r="I19" s="117">
        <v>10148.35</v>
      </c>
      <c r="J19" s="117"/>
      <c r="K19" s="117">
        <v>5235.72</v>
      </c>
      <c r="L19" s="117"/>
      <c r="M19" s="117">
        <v>11095.68</v>
      </c>
      <c r="N19" s="117"/>
      <c r="O19" s="117">
        <v>8385.85</v>
      </c>
      <c r="P19" s="117"/>
      <c r="Q19" s="117">
        <v>9202.09</v>
      </c>
      <c r="R19" s="117"/>
      <c r="S19" s="117">
        <v>7501.48</v>
      </c>
      <c r="T19" s="117"/>
      <c r="U19" s="117">
        <v>9947.14</v>
      </c>
      <c r="V19" s="117"/>
      <c r="W19" s="117">
        <v>9300.35</v>
      </c>
      <c r="X19" s="117"/>
      <c r="Y19" s="117">
        <v>7695.23</v>
      </c>
      <c r="Z19" s="117"/>
      <c r="AA19" s="117">
        <v>6480.34</v>
      </c>
      <c r="AB19" s="117"/>
      <c r="AC19" s="117">
        <f>AA19+Y19+W19+U19+S19+Q19+O19+M19+K19+I19+G19+E19</f>
        <v>99296.73</v>
      </c>
      <c r="AD19" s="117">
        <f>AB19+Z19+X19+V19+T19+R19+P19+N19+L19+J19+H19+F19</f>
        <v>0</v>
      </c>
      <c r="AE19" s="76"/>
      <c r="AF19" s="76"/>
      <c r="AG19" s="76"/>
      <c r="AH19" s="76"/>
    </row>
    <row r="20" spans="1:34">
      <c r="A20" s="576">
        <v>5</v>
      </c>
      <c r="B20" s="588" t="s">
        <v>643</v>
      </c>
      <c r="C20" s="576" t="s">
        <v>644</v>
      </c>
      <c r="D20" s="73" t="s">
        <v>2224</v>
      </c>
      <c r="E20" s="116">
        <v>299.20299999999997</v>
      </c>
      <c r="F20" s="116">
        <v>17665418.989999998</v>
      </c>
      <c r="G20" s="116">
        <v>178.69399999999999</v>
      </c>
      <c r="H20" s="116">
        <v>10923151.880000001</v>
      </c>
      <c r="I20" s="116">
        <v>2012.3140000000001</v>
      </c>
      <c r="J20" s="116">
        <v>125520321.64</v>
      </c>
      <c r="K20" s="116">
        <v>454.98899999999998</v>
      </c>
      <c r="L20" s="116">
        <v>30934082.309999999</v>
      </c>
      <c r="M20" s="116">
        <v>199.96299999999999</v>
      </c>
      <c r="N20" s="116">
        <v>14051244.09</v>
      </c>
      <c r="O20" s="116">
        <v>225.334</v>
      </c>
      <c r="P20" s="116">
        <v>14542655.15</v>
      </c>
      <c r="Q20" s="116">
        <v>499.601</v>
      </c>
      <c r="R20" s="116">
        <v>22863822.050000001</v>
      </c>
      <c r="S20" s="116">
        <v>756.39499999999998</v>
      </c>
      <c r="T20" s="116">
        <v>26402731.329999998</v>
      </c>
      <c r="U20" s="116">
        <v>483.99599999999998</v>
      </c>
      <c r="V20" s="116">
        <v>13985674.189999999</v>
      </c>
      <c r="W20" s="116">
        <v>459.77199999999999</v>
      </c>
      <c r="X20" s="116">
        <v>14044201.85</v>
      </c>
      <c r="Y20" s="116">
        <v>658.04399999999998</v>
      </c>
      <c r="Z20" s="116">
        <v>19934745.100000001</v>
      </c>
      <c r="AA20" s="116">
        <v>303.78100000000001</v>
      </c>
      <c r="AB20" s="116">
        <v>7851721.1799999997</v>
      </c>
      <c r="AC20" s="116">
        <f t="shared" ref="AC20:AD21" si="1">AA20+Y20+W20+U20+S20+Q20+O20+M20+K20+I20+G20+E20</f>
        <v>6532.0860000000011</v>
      </c>
      <c r="AD20" s="116">
        <f t="shared" si="1"/>
        <v>318719769.75999999</v>
      </c>
      <c r="AE20" s="74"/>
      <c r="AF20" s="74"/>
      <c r="AG20" s="74"/>
      <c r="AH20" s="74"/>
    </row>
    <row r="21" spans="1:34">
      <c r="A21" s="577"/>
      <c r="B21" s="589"/>
      <c r="C21" s="577"/>
      <c r="D21" s="73" t="s">
        <v>2228</v>
      </c>
      <c r="E21" s="116">
        <v>5943.8040000000001</v>
      </c>
      <c r="F21" s="116">
        <v>56031493.979999997</v>
      </c>
      <c r="G21" s="116">
        <v>5272.3280000000004</v>
      </c>
      <c r="H21" s="116">
        <v>50646041.289999999</v>
      </c>
      <c r="I21" s="116">
        <v>8492.3060000000005</v>
      </c>
      <c r="J21" s="116">
        <v>83243614.980000004</v>
      </c>
      <c r="K21" s="116">
        <v>8038.1629999999996</v>
      </c>
      <c r="L21" s="116">
        <v>80117022.200000003</v>
      </c>
      <c r="M21" s="116">
        <v>2996.45</v>
      </c>
      <c r="N21" s="116">
        <v>27128621.670000002</v>
      </c>
      <c r="O21" s="116">
        <v>10071.861000000001</v>
      </c>
      <c r="P21" s="116">
        <v>87614924.540000007</v>
      </c>
      <c r="Q21" s="116">
        <v>11431.745999999999</v>
      </c>
      <c r="R21" s="116">
        <v>81498060.409999996</v>
      </c>
      <c r="S21" s="116">
        <v>10534.069</v>
      </c>
      <c r="T21" s="116">
        <v>80794202.409999996</v>
      </c>
      <c r="U21" s="116">
        <v>5227.085</v>
      </c>
      <c r="V21" s="116">
        <v>38569034.100000001</v>
      </c>
      <c r="W21" s="116">
        <v>9097.3080000000009</v>
      </c>
      <c r="X21" s="116">
        <v>65554566.079999998</v>
      </c>
      <c r="Y21" s="116">
        <v>5982.6589999999997</v>
      </c>
      <c r="Z21" s="116">
        <v>45205712.75</v>
      </c>
      <c r="AA21" s="116">
        <v>2159.5720000000001</v>
      </c>
      <c r="AB21" s="116">
        <v>16609700.17</v>
      </c>
      <c r="AC21" s="116">
        <f t="shared" si="1"/>
        <v>85247.350999999995</v>
      </c>
      <c r="AD21" s="116">
        <f t="shared" si="1"/>
        <v>713012994.57999992</v>
      </c>
      <c r="AE21" s="74"/>
      <c r="AF21" s="74"/>
      <c r="AG21" s="74"/>
      <c r="AH21" s="74"/>
    </row>
    <row r="22" spans="1:34">
      <c r="A22" s="571">
        <v>6</v>
      </c>
      <c r="B22" s="580" t="s">
        <v>648</v>
      </c>
      <c r="C22" s="571" t="s">
        <v>649</v>
      </c>
      <c r="D22" s="76" t="s">
        <v>2242</v>
      </c>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v>0</v>
      </c>
      <c r="AD22" s="117">
        <v>0</v>
      </c>
      <c r="AE22" s="76"/>
      <c r="AF22" s="76"/>
      <c r="AG22" s="76"/>
      <c r="AH22" s="76"/>
    </row>
    <row r="23" spans="1:34">
      <c r="A23" s="573"/>
      <c r="B23" s="582"/>
      <c r="C23" s="573"/>
      <c r="D23" s="76" t="s">
        <v>2242</v>
      </c>
      <c r="E23" s="117"/>
      <c r="F23" s="117"/>
      <c r="G23" s="117"/>
      <c r="H23" s="117"/>
      <c r="I23" s="117"/>
      <c r="J23" s="117"/>
      <c r="K23" s="117"/>
      <c r="L23" s="117"/>
      <c r="M23" s="117"/>
      <c r="N23" s="117"/>
      <c r="O23" s="117"/>
      <c r="P23" s="117"/>
      <c r="Q23" s="117"/>
      <c r="R23" s="117"/>
      <c r="S23" s="117"/>
      <c r="T23" s="117"/>
      <c r="U23" s="117"/>
      <c r="V23" s="117"/>
      <c r="W23" s="117"/>
      <c r="X23" s="117"/>
      <c r="Y23" s="117"/>
      <c r="Z23" s="117"/>
      <c r="AA23" s="117"/>
      <c r="AB23" s="117"/>
      <c r="AC23" s="117">
        <v>0</v>
      </c>
      <c r="AD23" s="117">
        <v>0</v>
      </c>
      <c r="AE23" s="76"/>
      <c r="AF23" s="76"/>
      <c r="AG23" s="76"/>
      <c r="AH23" s="76"/>
    </row>
    <row r="24" spans="1:34">
      <c r="A24" s="74">
        <v>7</v>
      </c>
      <c r="B24" s="74" t="s">
        <v>654</v>
      </c>
      <c r="C24" s="74" t="s">
        <v>655</v>
      </c>
      <c r="D24" s="74" t="s">
        <v>2246</v>
      </c>
      <c r="E24" s="116">
        <v>8782</v>
      </c>
      <c r="F24" s="116">
        <v>55506219.512549803</v>
      </c>
      <c r="G24" s="116">
        <v>8024</v>
      </c>
      <c r="H24" s="116">
        <v>71559491.912814394</v>
      </c>
      <c r="I24" s="116">
        <v>8782</v>
      </c>
      <c r="J24" s="116">
        <v>87607490.912615031</v>
      </c>
      <c r="K24" s="116">
        <v>8410</v>
      </c>
      <c r="L24" s="116">
        <v>77438920.50891614</v>
      </c>
      <c r="M24" s="116">
        <v>6419</v>
      </c>
      <c r="N24" s="116">
        <v>39682392.235138625</v>
      </c>
      <c r="O24" s="116">
        <v>6388</v>
      </c>
      <c r="P24" s="116">
        <v>42194119.927233785</v>
      </c>
      <c r="Q24" s="116">
        <v>4812</v>
      </c>
      <c r="R24" s="116">
        <v>2235793.0773109999</v>
      </c>
      <c r="S24" s="116">
        <v>9367</v>
      </c>
      <c r="T24" s="116">
        <v>45779516.087415203</v>
      </c>
      <c r="U24" s="116">
        <v>12317</v>
      </c>
      <c r="V24" s="116">
        <v>66616372.560853101</v>
      </c>
      <c r="W24" s="116">
        <v>6669</v>
      </c>
      <c r="X24" s="116">
        <v>39718853.672711097</v>
      </c>
      <c r="Y24" s="116">
        <v>5561</v>
      </c>
      <c r="Z24" s="116">
        <v>46712271.093845703</v>
      </c>
      <c r="AA24" s="116">
        <v>5482</v>
      </c>
      <c r="AB24" s="116">
        <v>56973842.955652989</v>
      </c>
      <c r="AC24" s="116">
        <f t="shared" ref="AC24" si="2">AA24+Y24+W24+U24+S24+Q24+O24+M24+K24+I24+G24+E24</f>
        <v>91013</v>
      </c>
      <c r="AD24" s="116">
        <f t="shared" ref="AD24" si="3">AB24+Z24+X24+V24+T24+R24+P24+N24+L24+J24+H24+F24</f>
        <v>632025284.45705688</v>
      </c>
      <c r="AE24" s="74"/>
      <c r="AF24" s="74"/>
      <c r="AG24" s="74"/>
      <c r="AH24" s="74"/>
    </row>
    <row r="25" spans="1:34">
      <c r="A25" s="76">
        <v>8</v>
      </c>
      <c r="B25" s="76" t="s">
        <v>656</v>
      </c>
      <c r="C25" s="76" t="s">
        <v>657</v>
      </c>
      <c r="D25" s="77" t="s">
        <v>2249</v>
      </c>
      <c r="E25" s="117">
        <v>1.9487699705229999</v>
      </c>
      <c r="F25" s="117">
        <v>78230854</v>
      </c>
      <c r="G25" s="117">
        <v>2.003727236</v>
      </c>
      <c r="H25" s="117">
        <v>83294464</v>
      </c>
      <c r="I25" s="117">
        <v>2.0358505410999999</v>
      </c>
      <c r="J25" s="117">
        <v>87116706</v>
      </c>
      <c r="K25" s="117">
        <v>2.2492202363699998</v>
      </c>
      <c r="L25" s="117">
        <v>98849039</v>
      </c>
      <c r="M25" s="117">
        <v>1.842327241</v>
      </c>
      <c r="N25" s="117">
        <v>79273834</v>
      </c>
      <c r="O25" s="117">
        <v>2.3762940000000001</v>
      </c>
      <c r="P25" s="117">
        <v>92497295</v>
      </c>
      <c r="Q25" s="117">
        <v>0.83041500000000001</v>
      </c>
      <c r="R25" s="117">
        <v>32502987.491993379</v>
      </c>
      <c r="S25" s="117">
        <v>3.4045879999999999</v>
      </c>
      <c r="T25" s="117">
        <v>122264329.32256025</v>
      </c>
      <c r="U25" s="117">
        <v>3.2054875809199999</v>
      </c>
      <c r="V25" s="117">
        <v>121927392.59434375</v>
      </c>
      <c r="W25" s="117">
        <v>2.0081739999999999</v>
      </c>
      <c r="X25" s="117">
        <v>70871755.248507783</v>
      </c>
      <c r="Y25" s="117">
        <v>2.2689530000000002</v>
      </c>
      <c r="Z25" s="117">
        <v>102778271.17494999</v>
      </c>
      <c r="AA25" s="117">
        <v>3.6520839999999999</v>
      </c>
      <c r="AB25" s="117">
        <v>135729059.27753782</v>
      </c>
      <c r="AC25" s="117">
        <f>AA25+Y25+W25+U25+S25+Q25+O25+M25+K25+I25+G25+E25</f>
        <v>27.825890805913001</v>
      </c>
      <c r="AD25" s="117">
        <f>AB25+Z25+X25+V25+T25+R25+P25+N25+L25+J25+H25+F25</f>
        <v>1105335987.1098931</v>
      </c>
      <c r="AE25" s="76"/>
      <c r="AF25" s="76"/>
      <c r="AG25" s="76"/>
      <c r="AH25" s="76"/>
    </row>
    <row r="26" spans="1:34">
      <c r="A26" s="576">
        <v>9</v>
      </c>
      <c r="B26" s="588" t="s">
        <v>662</v>
      </c>
      <c r="C26" s="576" t="s">
        <v>663</v>
      </c>
      <c r="D26" s="73" t="s">
        <v>2252</v>
      </c>
      <c r="E26" s="116"/>
      <c r="F26" s="116"/>
      <c r="G26" s="116">
        <v>26.44</v>
      </c>
      <c r="H26" s="116"/>
      <c r="I26" s="116">
        <v>13.9</v>
      </c>
      <c r="J26" s="116"/>
      <c r="K26" s="116"/>
      <c r="L26" s="116"/>
      <c r="M26" s="116">
        <v>12.44</v>
      </c>
      <c r="N26" s="116"/>
      <c r="O26" s="116"/>
      <c r="P26" s="116"/>
      <c r="Q26" s="116">
        <v>34.5</v>
      </c>
      <c r="R26" s="116"/>
      <c r="S26" s="116">
        <v>16.489999999999998</v>
      </c>
      <c r="T26" s="116"/>
      <c r="U26" s="116"/>
      <c r="V26" s="116"/>
      <c r="W26" s="116"/>
      <c r="X26" s="116"/>
      <c r="Y26" s="116"/>
      <c r="Z26" s="116"/>
      <c r="AA26" s="116"/>
      <c r="AB26" s="116"/>
      <c r="AC26" s="116">
        <f t="shared" ref="AC26:AD31" si="4">AA26+Y26+W26+U26+S26+Q26+O26+M26+K26+I26+G26+E26</f>
        <v>103.77</v>
      </c>
      <c r="AD26" s="116">
        <f t="shared" si="4"/>
        <v>0</v>
      </c>
      <c r="AE26" s="74"/>
      <c r="AF26" s="74"/>
      <c r="AG26" s="74"/>
      <c r="AH26" s="74"/>
    </row>
    <row r="27" spans="1:34">
      <c r="A27" s="584"/>
      <c r="B27" s="612"/>
      <c r="C27" s="584"/>
      <c r="D27" s="73" t="s">
        <v>2227</v>
      </c>
      <c r="E27" s="116"/>
      <c r="F27" s="116"/>
      <c r="G27" s="116"/>
      <c r="H27" s="116"/>
      <c r="I27" s="116"/>
      <c r="J27" s="116"/>
      <c r="K27" s="116"/>
      <c r="L27" s="116"/>
      <c r="M27" s="116"/>
      <c r="N27" s="116"/>
      <c r="O27" s="116"/>
      <c r="P27" s="116"/>
      <c r="Q27" s="116">
        <v>25</v>
      </c>
      <c r="R27" s="116"/>
      <c r="S27" s="116"/>
      <c r="T27" s="116"/>
      <c r="U27" s="116">
        <v>12.51</v>
      </c>
      <c r="V27" s="116"/>
      <c r="W27" s="116"/>
      <c r="X27" s="116"/>
      <c r="Y27" s="116"/>
      <c r="Z27" s="116"/>
      <c r="AA27" s="116"/>
      <c r="AB27" s="116"/>
      <c r="AC27" s="116">
        <f t="shared" si="4"/>
        <v>37.51</v>
      </c>
      <c r="AD27" s="116">
        <f t="shared" si="4"/>
        <v>0</v>
      </c>
      <c r="AE27" s="74"/>
      <c r="AF27" s="74"/>
      <c r="AG27" s="74"/>
      <c r="AH27" s="74"/>
    </row>
    <row r="28" spans="1:34">
      <c r="A28" s="584"/>
      <c r="B28" s="612"/>
      <c r="C28" s="584"/>
      <c r="D28" s="73" t="s">
        <v>2306</v>
      </c>
      <c r="E28" s="116">
        <v>1063.2286665000001</v>
      </c>
      <c r="F28" s="116"/>
      <c r="G28" s="116">
        <v>764.17957439999998</v>
      </c>
      <c r="H28" s="116"/>
      <c r="I28" s="116">
        <v>1822.4777340000001</v>
      </c>
      <c r="J28" s="116"/>
      <c r="K28" s="116">
        <v>700.10598240000002</v>
      </c>
      <c r="L28" s="116"/>
      <c r="M28" s="116">
        <v>252.914706</v>
      </c>
      <c r="N28" s="116"/>
      <c r="O28" s="116">
        <v>474.01259400000004</v>
      </c>
      <c r="P28" s="116"/>
      <c r="Q28" s="116">
        <v>912.90869999999995</v>
      </c>
      <c r="R28" s="116"/>
      <c r="S28" s="116">
        <v>836.36035560000028</v>
      </c>
      <c r="T28" s="116"/>
      <c r="U28" s="116">
        <v>399.05309069999976</v>
      </c>
      <c r="V28" s="116"/>
      <c r="W28" s="116">
        <v>461.95879950000005</v>
      </c>
      <c r="X28" s="116"/>
      <c r="Y28" s="116">
        <v>868.58113320000029</v>
      </c>
      <c r="Z28" s="116"/>
      <c r="AA28" s="116">
        <v>445.45844969999996</v>
      </c>
      <c r="AB28" s="116"/>
      <c r="AC28" s="116">
        <f t="shared" si="4"/>
        <v>9001.2397860000019</v>
      </c>
      <c r="AD28" s="116">
        <f t="shared" si="4"/>
        <v>0</v>
      </c>
      <c r="AE28" s="74"/>
      <c r="AF28" s="74"/>
      <c r="AG28" s="74"/>
      <c r="AH28" s="74"/>
    </row>
    <row r="29" spans="1:34">
      <c r="A29" s="584"/>
      <c r="B29" s="612"/>
      <c r="C29" s="584"/>
      <c r="D29" s="73" t="s">
        <v>2307</v>
      </c>
      <c r="E29" s="116"/>
      <c r="F29" s="116"/>
      <c r="G29" s="116"/>
      <c r="H29" s="116"/>
      <c r="I29" s="116"/>
      <c r="J29" s="116"/>
      <c r="K29" s="116"/>
      <c r="L29" s="116"/>
      <c r="M29" s="116"/>
      <c r="N29" s="116"/>
      <c r="O29" s="116"/>
      <c r="P29" s="116"/>
      <c r="Q29" s="116">
        <v>4.74</v>
      </c>
      <c r="R29" s="116"/>
      <c r="S29" s="116"/>
      <c r="T29" s="116"/>
      <c r="U29" s="116"/>
      <c r="V29" s="116"/>
      <c r="W29" s="116"/>
      <c r="X29" s="116"/>
      <c r="Y29" s="116"/>
      <c r="Z29" s="116"/>
      <c r="AA29" s="116"/>
      <c r="AB29" s="116"/>
      <c r="AC29" s="116">
        <f t="shared" si="4"/>
        <v>4.74</v>
      </c>
      <c r="AD29" s="116">
        <f t="shared" si="4"/>
        <v>0</v>
      </c>
      <c r="AE29" s="74"/>
      <c r="AF29" s="74"/>
      <c r="AG29" s="74"/>
      <c r="AH29" s="74"/>
    </row>
    <row r="30" spans="1:34">
      <c r="A30" s="584"/>
      <c r="B30" s="612"/>
      <c r="C30" s="584"/>
      <c r="D30" s="73" t="s">
        <v>2228</v>
      </c>
      <c r="E30" s="116">
        <v>187.65623250000002</v>
      </c>
      <c r="F30" s="116"/>
      <c r="G30" s="116">
        <v>221.60883689999997</v>
      </c>
      <c r="H30" s="116"/>
      <c r="I30" s="116"/>
      <c r="J30" s="116"/>
      <c r="K30" s="116">
        <v>252.4217553</v>
      </c>
      <c r="L30" s="116"/>
      <c r="M30" s="116"/>
      <c r="N30" s="116"/>
      <c r="O30" s="116"/>
      <c r="P30" s="116"/>
      <c r="Q30" s="116">
        <v>210.9569022</v>
      </c>
      <c r="R30" s="116"/>
      <c r="S30" s="116">
        <v>561.57183719999989</v>
      </c>
      <c r="T30" s="116"/>
      <c r="U30" s="116">
        <v>201.1348845</v>
      </c>
      <c r="V30" s="116"/>
      <c r="W30" s="116">
        <v>308.38715819999999</v>
      </c>
      <c r="X30" s="116"/>
      <c r="Y30" s="116">
        <v>537.83921070000008</v>
      </c>
      <c r="Z30" s="116"/>
      <c r="AA30" s="116">
        <v>389.63403270000003</v>
      </c>
      <c r="AB30" s="116"/>
      <c r="AC30" s="116">
        <f t="shared" si="4"/>
        <v>2871.2108501999996</v>
      </c>
      <c r="AD30" s="116">
        <f t="shared" si="4"/>
        <v>0</v>
      </c>
      <c r="AE30" s="74"/>
      <c r="AF30" s="74"/>
      <c r="AG30" s="74"/>
      <c r="AH30" s="74"/>
    </row>
    <row r="31" spans="1:34">
      <c r="A31" s="577"/>
      <c r="B31" s="589"/>
      <c r="C31" s="577"/>
      <c r="D31" s="73" t="s">
        <v>2308</v>
      </c>
      <c r="E31" s="116"/>
      <c r="F31" s="116"/>
      <c r="G31" s="116"/>
      <c r="H31" s="116"/>
      <c r="I31" s="116"/>
      <c r="J31" s="116"/>
      <c r="K31" s="116">
        <v>7.48</v>
      </c>
      <c r="L31" s="116"/>
      <c r="M31" s="116"/>
      <c r="N31" s="116"/>
      <c r="O31" s="116"/>
      <c r="P31" s="116"/>
      <c r="Q31" s="116"/>
      <c r="R31" s="116"/>
      <c r="S31" s="116"/>
      <c r="T31" s="116"/>
      <c r="U31" s="116"/>
      <c r="V31" s="116"/>
      <c r="W31" s="116"/>
      <c r="X31" s="116"/>
      <c r="Y31" s="116"/>
      <c r="Z31" s="116"/>
      <c r="AA31" s="116">
        <v>13.7</v>
      </c>
      <c r="AB31" s="116"/>
      <c r="AC31" s="116">
        <f t="shared" si="4"/>
        <v>21.18</v>
      </c>
      <c r="AD31" s="116">
        <f t="shared" si="4"/>
        <v>0</v>
      </c>
      <c r="AE31" s="74"/>
      <c r="AF31" s="74"/>
      <c r="AG31" s="74"/>
      <c r="AH31" s="74"/>
    </row>
    <row r="32" spans="1:34">
      <c r="A32" s="571">
        <v>10</v>
      </c>
      <c r="B32" s="571" t="s">
        <v>666</v>
      </c>
      <c r="C32" s="571" t="s">
        <v>667</v>
      </c>
      <c r="D32" s="76" t="s">
        <v>2224</v>
      </c>
      <c r="E32" s="117">
        <v>935</v>
      </c>
      <c r="F32" s="154">
        <v>10470853.980554599</v>
      </c>
      <c r="G32" s="117">
        <v>528</v>
      </c>
      <c r="H32" s="117">
        <v>4928767.6464527696</v>
      </c>
      <c r="I32" s="117">
        <v>1473</v>
      </c>
      <c r="J32" s="154">
        <v>13218908.124496</v>
      </c>
      <c r="K32" s="117">
        <v>1326.79532947902</v>
      </c>
      <c r="L32" s="117">
        <v>15068246.086854201</v>
      </c>
      <c r="M32" s="117">
        <v>783</v>
      </c>
      <c r="N32" s="154">
        <v>7190304.64038991</v>
      </c>
      <c r="O32" s="117">
        <v>1184</v>
      </c>
      <c r="P32" s="117">
        <v>10206458.8228983</v>
      </c>
      <c r="Q32" s="117">
        <v>662</v>
      </c>
      <c r="R32" s="154">
        <v>6478811.15486266</v>
      </c>
      <c r="S32" s="117">
        <v>791</v>
      </c>
      <c r="T32" s="117">
        <v>7926130.9568402898</v>
      </c>
      <c r="U32" s="117">
        <v>653</v>
      </c>
      <c r="V32" s="154">
        <v>6763430.6807731101</v>
      </c>
      <c r="W32" s="117">
        <v>1199</v>
      </c>
      <c r="X32" s="117">
        <v>12483346.411486</v>
      </c>
      <c r="Y32" s="117">
        <v>1282</v>
      </c>
      <c r="Z32" s="117">
        <v>14116355.3659951</v>
      </c>
      <c r="AA32" s="154">
        <v>1179</v>
      </c>
      <c r="AB32" s="117">
        <v>14597217.6139207</v>
      </c>
      <c r="AC32" s="117">
        <f>AA32+Y32+W32+U32+S32+Q32+O32+M32+K32+I32+G32+E32</f>
        <v>11995.79532947902</v>
      </c>
      <c r="AD32" s="117">
        <f>AB32+Z32+X32+V32+T32+R32+P32+N32+L32+J32+H32+F32</f>
        <v>123448831.48552363</v>
      </c>
      <c r="AE32" s="77"/>
      <c r="AF32" s="76"/>
      <c r="AG32" s="76"/>
      <c r="AH32" s="76"/>
    </row>
    <row r="33" spans="1:35">
      <c r="A33" s="573"/>
      <c r="B33" s="573"/>
      <c r="C33" s="573"/>
      <c r="D33" s="76" t="s">
        <v>2228</v>
      </c>
      <c r="E33" s="117">
        <v>2652</v>
      </c>
      <c r="F33" s="154">
        <v>11958057.165035</v>
      </c>
      <c r="G33" s="117">
        <v>1792</v>
      </c>
      <c r="H33" s="117">
        <v>10634832.6491262</v>
      </c>
      <c r="I33" s="117">
        <v>996</v>
      </c>
      <c r="J33" s="154">
        <v>6665774.1809031097</v>
      </c>
      <c r="K33" s="117">
        <v>961.36800000000005</v>
      </c>
      <c r="L33" s="117">
        <v>5897649.63325857</v>
      </c>
      <c r="M33" s="117">
        <v>563</v>
      </c>
      <c r="N33" s="154">
        <v>3145050.8101074798</v>
      </c>
      <c r="O33" s="117">
        <v>2793</v>
      </c>
      <c r="P33" s="117">
        <v>14608668.7195505</v>
      </c>
      <c r="Q33" s="117">
        <v>5554.3019999999997</v>
      </c>
      <c r="R33" s="154">
        <v>32466705.845618799</v>
      </c>
      <c r="S33" s="117">
        <v>2901</v>
      </c>
      <c r="T33" s="117">
        <v>21842509.910539001</v>
      </c>
      <c r="U33" s="117">
        <v>2807</v>
      </c>
      <c r="V33" s="154">
        <v>23712359.766697001</v>
      </c>
      <c r="W33" s="117">
        <v>3276</v>
      </c>
      <c r="X33" s="117">
        <v>23406107.194101401</v>
      </c>
      <c r="Y33" s="117">
        <v>4473</v>
      </c>
      <c r="Z33" s="154">
        <v>33031439.095493302</v>
      </c>
      <c r="AA33" s="117">
        <v>2677</v>
      </c>
      <c r="AB33" s="117">
        <v>19476243.464974299</v>
      </c>
      <c r="AC33" s="117">
        <f>AA33+Y33+W33+U33+S33+Q33+O33+M33+K33+I33+G33+E33</f>
        <v>31445.67</v>
      </c>
      <c r="AD33" s="117">
        <f>AB33+Z33+X33+V33+T33+R33+P33+N33+L33+J33+H33+F33</f>
        <v>206845398.43540466</v>
      </c>
      <c r="AE33" s="76"/>
      <c r="AF33" s="76"/>
      <c r="AG33" s="76"/>
      <c r="AH33" s="77"/>
    </row>
    <row r="34" spans="1:35">
      <c r="A34" s="576">
        <v>11</v>
      </c>
      <c r="B34" s="576" t="s">
        <v>670</v>
      </c>
      <c r="C34" s="576" t="s">
        <v>671</v>
      </c>
      <c r="D34" s="71" t="s">
        <v>2235</v>
      </c>
      <c r="E34" s="87">
        <v>810000</v>
      </c>
      <c r="F34" s="155">
        <v>342649.17</v>
      </c>
      <c r="G34" s="87">
        <v>975000</v>
      </c>
      <c r="H34" s="87">
        <v>402152.82</v>
      </c>
      <c r="I34" s="87">
        <v>1605347</v>
      </c>
      <c r="J34" s="155">
        <v>666545.19999999995</v>
      </c>
      <c r="K34" s="87">
        <v>1004154</v>
      </c>
      <c r="L34" s="87">
        <v>416736.91</v>
      </c>
      <c r="M34" s="87">
        <v>521526</v>
      </c>
      <c r="N34" s="155">
        <v>227813.33</v>
      </c>
      <c r="O34" s="87">
        <v>367556</v>
      </c>
      <c r="P34" s="87">
        <v>163243.29999999999</v>
      </c>
      <c r="Q34" s="87">
        <v>1863522</v>
      </c>
      <c r="R34" s="155">
        <v>731264.5</v>
      </c>
      <c r="S34" s="87">
        <v>1326466</v>
      </c>
      <c r="T34" s="87">
        <v>461322.45</v>
      </c>
      <c r="U34" s="87">
        <v>1097902</v>
      </c>
      <c r="V34" s="155">
        <v>364395.49</v>
      </c>
      <c r="W34" s="87">
        <v>968434</v>
      </c>
      <c r="X34" s="87">
        <v>371234.29</v>
      </c>
      <c r="Y34" s="87">
        <v>772585</v>
      </c>
      <c r="Z34" s="155">
        <v>264993</v>
      </c>
      <c r="AA34" s="87">
        <v>1432496</v>
      </c>
      <c r="AB34" s="87">
        <v>489950.92</v>
      </c>
      <c r="AC34" s="116">
        <f t="shared" ref="AC34:AD35" si="5">AA34+Y34+W34+U34+S34+Q34+O34+M34+K34+I34+G34+E34</f>
        <v>12744988</v>
      </c>
      <c r="AD34" s="116">
        <f t="shared" si="5"/>
        <v>4902301.38</v>
      </c>
      <c r="AE34" s="71"/>
      <c r="AF34" s="71"/>
      <c r="AG34" s="71"/>
      <c r="AH34" s="72"/>
    </row>
    <row r="35" spans="1:35">
      <c r="A35" s="577"/>
      <c r="B35" s="577"/>
      <c r="C35" s="577"/>
      <c r="D35" s="71" t="s">
        <v>2246</v>
      </c>
      <c r="E35" s="87">
        <v>844960</v>
      </c>
      <c r="F35" s="155">
        <v>178173.53</v>
      </c>
      <c r="G35" s="87">
        <v>2431428</v>
      </c>
      <c r="H35" s="87">
        <v>518912.48</v>
      </c>
      <c r="I35" s="87">
        <v>2735462</v>
      </c>
      <c r="J35" s="155">
        <v>600328.89</v>
      </c>
      <c r="K35" s="87">
        <v>1278814</v>
      </c>
      <c r="L35" s="87">
        <v>279030.14</v>
      </c>
      <c r="M35" s="87">
        <v>347391</v>
      </c>
      <c r="N35" s="155">
        <v>75461.63</v>
      </c>
      <c r="O35" s="87">
        <v>561300</v>
      </c>
      <c r="P35" s="87">
        <v>119759.07</v>
      </c>
      <c r="Q35" s="87">
        <v>2314518</v>
      </c>
      <c r="R35" s="155">
        <v>472826.77</v>
      </c>
      <c r="S35" s="87">
        <v>667039</v>
      </c>
      <c r="T35" s="87">
        <v>129021.09</v>
      </c>
      <c r="U35" s="87">
        <v>667039</v>
      </c>
      <c r="V35" s="155">
        <v>129021.09</v>
      </c>
      <c r="W35" s="87"/>
      <c r="X35" s="87"/>
      <c r="Y35" s="87">
        <v>919164</v>
      </c>
      <c r="Z35" s="155">
        <v>177426.68</v>
      </c>
      <c r="AA35" s="87">
        <v>1957714</v>
      </c>
      <c r="AB35" s="87">
        <v>396817.82</v>
      </c>
      <c r="AC35" s="116">
        <f t="shared" si="5"/>
        <v>14724829</v>
      </c>
      <c r="AD35" s="116">
        <f t="shared" si="5"/>
        <v>3076779.19</v>
      </c>
      <c r="AE35" s="71"/>
      <c r="AF35" s="71"/>
      <c r="AG35" s="71"/>
      <c r="AH35" s="72"/>
    </row>
    <row r="36" spans="1:35">
      <c r="A36" s="580">
        <v>12</v>
      </c>
      <c r="B36" s="580" t="s">
        <v>674</v>
      </c>
      <c r="C36" s="571" t="s">
        <v>675</v>
      </c>
      <c r="D36" s="76" t="s">
        <v>2224</v>
      </c>
      <c r="E36" s="117">
        <v>344.81043</v>
      </c>
      <c r="F36" s="154">
        <v>70190</v>
      </c>
      <c r="G36" s="117">
        <v>371.61430300000001</v>
      </c>
      <c r="H36" s="117">
        <v>71287.75</v>
      </c>
      <c r="I36" s="117">
        <v>1070.303324</v>
      </c>
      <c r="J36" s="154">
        <v>80436.521739130432</v>
      </c>
      <c r="K36" s="117">
        <v>434.06335899999999</v>
      </c>
      <c r="L36" s="117">
        <v>81540.476190476184</v>
      </c>
      <c r="M36" s="117">
        <v>175.84577300000001</v>
      </c>
      <c r="N36" s="154">
        <v>77516.818181818177</v>
      </c>
      <c r="O36" s="117">
        <v>420.95125000000002</v>
      </c>
      <c r="P36" s="117">
        <v>71968.409090909088</v>
      </c>
      <c r="Q36" s="117">
        <v>921.73167000000001</v>
      </c>
      <c r="R36" s="154">
        <v>55940</v>
      </c>
      <c r="S36" s="117">
        <v>264.45751799999999</v>
      </c>
      <c r="T36" s="117">
        <v>49189.565217391304</v>
      </c>
      <c r="U36" s="117">
        <v>393.16889200000003</v>
      </c>
      <c r="V36" s="154">
        <v>51265</v>
      </c>
      <c r="W36" s="117">
        <v>570.98780099999999</v>
      </c>
      <c r="X36" s="117">
        <v>51260</v>
      </c>
      <c r="Y36" s="117">
        <v>458.76734900000002</v>
      </c>
      <c r="Z36" s="154">
        <v>51255.454545454544</v>
      </c>
      <c r="AA36" s="117">
        <v>151.13601</v>
      </c>
      <c r="AB36" s="117">
        <v>51247.5</v>
      </c>
      <c r="AC36" s="117">
        <f>AA36+Y36+W36+U36+S36+Q36+O36+M36+K36+I36+G36+E36</f>
        <v>5577.8376790000002</v>
      </c>
      <c r="AD36" s="117">
        <f>AB36+Z36+X36+V36+T36+R36+P36+N36+L36+J36+H36+F36</f>
        <v>763097.49496517959</v>
      </c>
      <c r="AE36" s="76"/>
      <c r="AF36" s="76"/>
      <c r="AG36" s="76"/>
      <c r="AH36" s="77"/>
    </row>
    <row r="37" spans="1:35">
      <c r="A37" s="582"/>
      <c r="B37" s="582"/>
      <c r="C37" s="573"/>
      <c r="D37" s="76" t="s">
        <v>2228</v>
      </c>
      <c r="E37" s="117">
        <v>1776.6179999999999</v>
      </c>
      <c r="F37" s="154">
        <v>9773.4166666666661</v>
      </c>
      <c r="G37" s="117">
        <v>4969.3130000000001</v>
      </c>
      <c r="H37" s="117">
        <v>9939.9750000000004</v>
      </c>
      <c r="I37" s="117">
        <v>4105.6279999999997</v>
      </c>
      <c r="J37" s="154">
        <v>10239.021739130434</v>
      </c>
      <c r="K37" s="117">
        <v>4929.0050000000001</v>
      </c>
      <c r="L37" s="117">
        <v>10191.297619047618</v>
      </c>
      <c r="M37" s="117">
        <v>8309.4539999999997</v>
      </c>
      <c r="N37" s="154">
        <v>9382.9090909090901</v>
      </c>
      <c r="O37" s="117">
        <v>5492.875</v>
      </c>
      <c r="P37" s="117">
        <v>9070.2159090909099</v>
      </c>
      <c r="Q37" s="117">
        <v>4091.3090000000002</v>
      </c>
      <c r="R37" s="154">
        <v>7529.083333333333</v>
      </c>
      <c r="S37" s="117">
        <v>2564.9340000000002</v>
      </c>
      <c r="T37" s="117">
        <v>7975.619565217391</v>
      </c>
      <c r="U37" s="117">
        <v>2853.576</v>
      </c>
      <c r="V37" s="154">
        <v>7733.818181818182</v>
      </c>
      <c r="W37" s="117">
        <v>1484.144</v>
      </c>
      <c r="X37" s="117">
        <v>7620.25</v>
      </c>
      <c r="Y37" s="117">
        <v>6755.7550000000001</v>
      </c>
      <c r="Z37" s="154">
        <v>8028.875</v>
      </c>
      <c r="AA37" s="117">
        <v>1367.817</v>
      </c>
      <c r="AB37" s="117">
        <v>8361.4659090909099</v>
      </c>
      <c r="AC37" s="117">
        <f>AA37+Y37+W37+U37+S37+Q37+O37+M37+K37+I37+G37+E37</f>
        <v>48700.428</v>
      </c>
      <c r="AD37" s="117">
        <f>AB37+Z37+X37+V37+T37+R37+P37+N37+L37+J37+H37+F37</f>
        <v>105845.94801430455</v>
      </c>
      <c r="AE37" s="76"/>
      <c r="AF37" s="76"/>
      <c r="AG37" s="76"/>
      <c r="AH37" s="77"/>
    </row>
    <row r="38" spans="1:35">
      <c r="A38" s="74">
        <v>13</v>
      </c>
      <c r="B38" s="73" t="s">
        <v>682</v>
      </c>
      <c r="C38" s="74" t="s">
        <v>683</v>
      </c>
      <c r="D38" s="71" t="s">
        <v>2228</v>
      </c>
      <c r="E38" s="87">
        <v>2077.7860000000001</v>
      </c>
      <c r="F38" s="155">
        <v>19848757.210000001</v>
      </c>
      <c r="G38" s="87">
        <v>3303.8029999999999</v>
      </c>
      <c r="H38" s="87">
        <v>32289454.316</v>
      </c>
      <c r="I38" s="87">
        <v>4088.393</v>
      </c>
      <c r="J38" s="155">
        <v>40638544.649999999</v>
      </c>
      <c r="K38" s="87">
        <v>2832.7550000000001</v>
      </c>
      <c r="L38" s="87">
        <v>29004635.100000001</v>
      </c>
      <c r="M38" s="87">
        <v>4215.1270000000004</v>
      </c>
      <c r="N38" s="155">
        <v>42957623.799999997</v>
      </c>
      <c r="O38" s="87">
        <v>2059.23</v>
      </c>
      <c r="P38" s="87">
        <v>19321560.379999999</v>
      </c>
      <c r="Q38" s="87">
        <v>5933.3190000000004</v>
      </c>
      <c r="R38" s="155">
        <v>53816508.659999996</v>
      </c>
      <c r="S38" s="87">
        <v>3588.29</v>
      </c>
      <c r="T38" s="87">
        <v>27016530</v>
      </c>
      <c r="U38" s="87">
        <v>7422.2359999999999</v>
      </c>
      <c r="V38" s="155">
        <v>59196930.659999996</v>
      </c>
      <c r="W38" s="87">
        <v>4397.4229999999998</v>
      </c>
      <c r="X38" s="87">
        <v>34008877.950000003</v>
      </c>
      <c r="Y38" s="87">
        <v>4059.0839999999998</v>
      </c>
      <c r="Z38" s="155">
        <v>30931234.850000001</v>
      </c>
      <c r="AA38" s="87">
        <v>4857.1859999999997</v>
      </c>
      <c r="AB38" s="87">
        <v>38997763.530000001</v>
      </c>
      <c r="AC38" s="116">
        <f t="shared" ref="AC38:AD38" si="6">AA38+Y38+W38+U38+S38+Q38+O38+M38+K38+I38+G38+E38</f>
        <v>48834.632000000005</v>
      </c>
      <c r="AD38" s="116">
        <f t="shared" si="6"/>
        <v>428028421.10599995</v>
      </c>
      <c r="AE38" s="71"/>
      <c r="AF38" s="71"/>
      <c r="AG38" s="71"/>
      <c r="AH38" s="72"/>
    </row>
    <row r="39" spans="1:35">
      <c r="A39" s="571">
        <v>14</v>
      </c>
      <c r="B39" s="571" t="s">
        <v>96</v>
      </c>
      <c r="C39" s="571" t="s">
        <v>688</v>
      </c>
      <c r="D39" s="76" t="s">
        <v>2224</v>
      </c>
      <c r="E39" s="117"/>
      <c r="F39" s="154">
        <v>33.39</v>
      </c>
      <c r="G39" s="117">
        <v>424.13799999999998</v>
      </c>
      <c r="H39" s="117">
        <v>7589949.9790000003</v>
      </c>
      <c r="I39" s="117">
        <v>33.643999999999998</v>
      </c>
      <c r="J39" s="154">
        <v>601083.65</v>
      </c>
      <c r="K39" s="117">
        <v>54.95</v>
      </c>
      <c r="L39" s="117">
        <v>1128171.42</v>
      </c>
      <c r="M39" s="117">
        <v>860.12199999999996</v>
      </c>
      <c r="N39" s="154">
        <v>17885185.350000001</v>
      </c>
      <c r="O39" s="117">
        <v>251.47499999999999</v>
      </c>
      <c r="P39" s="117">
        <v>4921295.34</v>
      </c>
      <c r="Q39" s="117">
        <v>121.88200000000001</v>
      </c>
      <c r="R39" s="154">
        <v>2267497.6</v>
      </c>
      <c r="S39" s="117">
        <v>918.73699999999997</v>
      </c>
      <c r="T39" s="117">
        <v>16794874.800000001</v>
      </c>
      <c r="U39" s="117">
        <v>280.66000000000003</v>
      </c>
      <c r="V39" s="154">
        <v>3848151.2</v>
      </c>
      <c r="W39" s="117"/>
      <c r="X39" s="117"/>
      <c r="Y39" s="117">
        <v>258.67500000000001</v>
      </c>
      <c r="Z39" s="154">
        <v>3248245.75</v>
      </c>
      <c r="AA39" s="76"/>
      <c r="AB39" s="76"/>
      <c r="AC39" s="117">
        <f>AA39+Y39+W39+U39+S39+Q39+O39+M39+K39+I39+G39+E39</f>
        <v>3204.2829999999994</v>
      </c>
      <c r="AD39" s="117">
        <f>AB39+Z39+X39+V39+T39+R39+P39+N39+L39+J39+H39+F39</f>
        <v>58284488.47900001</v>
      </c>
      <c r="AE39" s="76" t="s">
        <v>2309</v>
      </c>
      <c r="AF39" s="76" t="s">
        <v>2310</v>
      </c>
      <c r="AG39" s="77" t="s">
        <v>2311</v>
      </c>
      <c r="AH39" s="77" t="s">
        <v>2254</v>
      </c>
      <c r="AI39" s="5" t="s">
        <v>2255</v>
      </c>
    </row>
    <row r="40" spans="1:35">
      <c r="A40" s="573"/>
      <c r="B40" s="573"/>
      <c r="C40" s="573"/>
      <c r="D40" s="76" t="s">
        <v>2228</v>
      </c>
      <c r="E40" s="117"/>
      <c r="F40" s="154">
        <v>99.99</v>
      </c>
      <c r="G40" s="117">
        <v>1840.8861100000001</v>
      </c>
      <c r="H40" s="117">
        <v>17714193.609999999</v>
      </c>
      <c r="I40" s="117">
        <v>4425.9939999999997</v>
      </c>
      <c r="J40" s="154">
        <v>43301467.130000003</v>
      </c>
      <c r="K40" s="117">
        <v>1511.829</v>
      </c>
      <c r="L40" s="117">
        <v>14327141.129999999</v>
      </c>
      <c r="M40" s="117">
        <v>2399.4550000000004</v>
      </c>
      <c r="N40" s="154">
        <v>20799313.729999997</v>
      </c>
      <c r="O40" s="117">
        <v>2176.299</v>
      </c>
      <c r="P40" s="117">
        <v>22181316</v>
      </c>
      <c r="Q40" s="117">
        <v>2649.3490000000002</v>
      </c>
      <c r="R40" s="154">
        <v>25299414.450000003</v>
      </c>
      <c r="S40" s="117">
        <v>1905.7249999999999</v>
      </c>
      <c r="T40" s="117">
        <v>17379119</v>
      </c>
      <c r="U40" s="117">
        <v>3011.8159999999998</v>
      </c>
      <c r="V40" s="154">
        <v>23129391.004000001</v>
      </c>
      <c r="W40" s="117">
        <v>961.38599999999997</v>
      </c>
      <c r="X40" s="117">
        <v>7509951.1030000001</v>
      </c>
      <c r="Y40" s="117">
        <v>2449.7240000000002</v>
      </c>
      <c r="Z40" s="154">
        <v>20121419.7447</v>
      </c>
      <c r="AA40" s="76">
        <v>1134874411.684</v>
      </c>
      <c r="AB40" s="76">
        <v>35607326.859799996</v>
      </c>
      <c r="AC40" s="117">
        <f>AA40+Y40+W40+U40+S40+Q40+O40+M40+K40+I40+G40+E40</f>
        <v>1134897744.1471097</v>
      </c>
      <c r="AD40" s="117">
        <f>AB40+Z40+X40+V40+T40+R40+P40+N40+L40+J40+H40+F40</f>
        <v>247370153.75149995</v>
      </c>
      <c r="AE40" s="76" t="s">
        <v>2309</v>
      </c>
      <c r="AF40" s="76" t="s">
        <v>2312</v>
      </c>
      <c r="AG40" s="77" t="s">
        <v>2313</v>
      </c>
      <c r="AH40" s="77" t="s">
        <v>2254</v>
      </c>
      <c r="AI40" s="5" t="s">
        <v>2255</v>
      </c>
    </row>
    <row r="41" spans="1:35">
      <c r="A41" s="576">
        <v>15</v>
      </c>
      <c r="B41" s="588" t="s">
        <v>691</v>
      </c>
      <c r="C41" s="576" t="s">
        <v>692</v>
      </c>
      <c r="D41" s="71" t="s">
        <v>2224</v>
      </c>
      <c r="E41" s="87">
        <v>623.49300000000005</v>
      </c>
      <c r="F41" s="155">
        <v>5381002.4699999997</v>
      </c>
      <c r="G41" s="87">
        <v>205.17699999999999</v>
      </c>
      <c r="H41" s="87">
        <v>1817837.61</v>
      </c>
      <c r="I41" s="87">
        <v>279.173</v>
      </c>
      <c r="J41" s="155">
        <v>2385924.6800000002</v>
      </c>
      <c r="K41" s="87">
        <v>327.24400000000003</v>
      </c>
      <c r="L41" s="87">
        <v>3171232.94</v>
      </c>
      <c r="M41" s="87">
        <v>431.34800000000001</v>
      </c>
      <c r="N41" s="155">
        <v>4151088.6</v>
      </c>
      <c r="O41" s="87">
        <v>1146.318</v>
      </c>
      <c r="P41" s="87">
        <v>10509980.039999999</v>
      </c>
      <c r="Q41" s="87">
        <v>0</v>
      </c>
      <c r="R41" s="155">
        <v>0</v>
      </c>
      <c r="S41" s="87">
        <v>258.197</v>
      </c>
      <c r="T41" s="87">
        <v>1646351.73</v>
      </c>
      <c r="U41" s="87">
        <v>334.101</v>
      </c>
      <c r="V41" s="155">
        <v>2227566.7799999998</v>
      </c>
      <c r="W41" s="87">
        <v>154.215</v>
      </c>
      <c r="X41" s="87">
        <v>1028173.08</v>
      </c>
      <c r="Y41" s="87">
        <v>362.26799999999997</v>
      </c>
      <c r="Z41" s="155">
        <v>2455341.0699999998</v>
      </c>
      <c r="AA41" s="87">
        <v>104.012</v>
      </c>
      <c r="AB41" s="87">
        <v>713962.76</v>
      </c>
      <c r="AC41" s="116">
        <f t="shared" ref="AC41:AD44" si="7">AA41+Y41+W41+U41+S41+Q41+O41+M41+K41+I41+G41+E41</f>
        <v>4225.5460000000003</v>
      </c>
      <c r="AD41" s="116">
        <f t="shared" si="7"/>
        <v>35488461.760000005</v>
      </c>
      <c r="AE41" s="71"/>
      <c r="AF41" s="71"/>
      <c r="AG41" s="71"/>
      <c r="AH41" s="72"/>
    </row>
    <row r="42" spans="1:35">
      <c r="A42" s="584"/>
      <c r="B42" s="612"/>
      <c r="C42" s="584"/>
      <c r="D42" s="71" t="s">
        <v>2246</v>
      </c>
      <c r="E42" s="87">
        <v>2997.12</v>
      </c>
      <c r="F42" s="155">
        <v>8412365.5800000001</v>
      </c>
      <c r="G42" s="87">
        <v>1519.02</v>
      </c>
      <c r="H42" s="87">
        <v>4789372.66</v>
      </c>
      <c r="I42" s="87">
        <v>3400.75</v>
      </c>
      <c r="J42" s="155">
        <v>11178639.779999999</v>
      </c>
      <c r="K42" s="87">
        <v>2653.54</v>
      </c>
      <c r="L42" s="87">
        <v>8815423.3900000006</v>
      </c>
      <c r="M42" s="87">
        <v>1288.47</v>
      </c>
      <c r="N42" s="155">
        <v>4028522.19</v>
      </c>
      <c r="O42" s="87">
        <v>1349.11</v>
      </c>
      <c r="P42" s="87">
        <v>3931042.04</v>
      </c>
      <c r="Q42" s="87">
        <v>1347.81</v>
      </c>
      <c r="R42" s="155">
        <v>3099102.11</v>
      </c>
      <c r="S42" s="87">
        <v>1316.07</v>
      </c>
      <c r="T42" s="87">
        <v>2758325.56</v>
      </c>
      <c r="U42" s="87">
        <v>2205.6799999999998</v>
      </c>
      <c r="V42" s="155">
        <v>4694890.67</v>
      </c>
      <c r="W42" s="87">
        <v>1503.56</v>
      </c>
      <c r="X42" s="87">
        <v>3420404.31</v>
      </c>
      <c r="Y42" s="87">
        <v>1838.08</v>
      </c>
      <c r="Z42" s="155">
        <v>4291907.53</v>
      </c>
      <c r="AA42" s="87">
        <v>1432.99</v>
      </c>
      <c r="AB42" s="87">
        <v>3167986.28</v>
      </c>
      <c r="AC42" s="116">
        <f t="shared" si="7"/>
        <v>22852.199999999997</v>
      </c>
      <c r="AD42" s="116">
        <f t="shared" si="7"/>
        <v>62587982.099999994</v>
      </c>
      <c r="AE42" s="71"/>
      <c r="AF42" s="71"/>
      <c r="AG42" s="71"/>
      <c r="AH42" s="72"/>
    </row>
    <row r="43" spans="1:35">
      <c r="A43" s="584"/>
      <c r="B43" s="612"/>
      <c r="C43" s="584"/>
      <c r="D43" s="71" t="s">
        <v>2228</v>
      </c>
      <c r="E43" s="87">
        <v>2865.0439999999999</v>
      </c>
      <c r="F43" s="155">
        <v>26335705.530000001</v>
      </c>
      <c r="G43" s="87">
        <v>5172.3360000000002</v>
      </c>
      <c r="H43" s="87">
        <v>48302052.299999997</v>
      </c>
      <c r="I43" s="87">
        <v>4587.03</v>
      </c>
      <c r="J43" s="155">
        <v>44444438.539999999</v>
      </c>
      <c r="K43" s="87">
        <v>4845.8519999999999</v>
      </c>
      <c r="L43" s="87">
        <v>46705668.789999999</v>
      </c>
      <c r="M43" s="87">
        <v>3822.2420000000002</v>
      </c>
      <c r="N43" s="155">
        <v>33646449.479999997</v>
      </c>
      <c r="O43" s="87">
        <v>4511.2479999999996</v>
      </c>
      <c r="P43" s="87">
        <v>38252983.619999997</v>
      </c>
      <c r="Q43" s="87">
        <v>3613.0909999999999</v>
      </c>
      <c r="R43" s="155">
        <v>25260982.850000001</v>
      </c>
      <c r="S43" s="87">
        <v>3583.7860000000001</v>
      </c>
      <c r="T43" s="87">
        <v>26514016.710000001</v>
      </c>
      <c r="U43" s="87">
        <v>3632.8229999999999</v>
      </c>
      <c r="V43" s="155">
        <v>25799844.609999999</v>
      </c>
      <c r="W43" s="87">
        <v>4301.5540000000001</v>
      </c>
      <c r="X43" s="87">
        <v>30081311.309999999</v>
      </c>
      <c r="Y43" s="87">
        <v>3933.3980000000001</v>
      </c>
      <c r="Z43" s="155">
        <v>29419958.940000001</v>
      </c>
      <c r="AA43" s="87">
        <v>1472.7929999999999</v>
      </c>
      <c r="AB43" s="87">
        <v>11548580.369999999</v>
      </c>
      <c r="AC43" s="116">
        <f t="shared" si="7"/>
        <v>46341.197</v>
      </c>
      <c r="AD43" s="116">
        <f t="shared" si="7"/>
        <v>386311993.04999995</v>
      </c>
      <c r="AE43" s="71"/>
      <c r="AF43" s="71"/>
      <c r="AG43" s="71"/>
      <c r="AH43" s="72"/>
    </row>
    <row r="44" spans="1:35">
      <c r="A44" s="577"/>
      <c r="B44" s="589"/>
      <c r="C44" s="577"/>
      <c r="D44" s="71" t="s">
        <v>2232</v>
      </c>
      <c r="E44" s="87"/>
      <c r="F44" s="155"/>
      <c r="G44" s="87"/>
      <c r="H44" s="87"/>
      <c r="I44" s="87"/>
      <c r="J44" s="155"/>
      <c r="K44" s="87"/>
      <c r="L44" s="87"/>
      <c r="M44" s="87"/>
      <c r="N44" s="155"/>
      <c r="O44" s="87"/>
      <c r="P44" s="87"/>
      <c r="Q44" s="87"/>
      <c r="R44" s="155"/>
      <c r="S44" s="87"/>
      <c r="T44" s="87"/>
      <c r="U44" s="87"/>
      <c r="V44" s="155"/>
      <c r="W44" s="87"/>
      <c r="X44" s="87"/>
      <c r="Y44" s="87"/>
      <c r="Z44" s="155"/>
      <c r="AA44" s="87"/>
      <c r="AB44" s="87"/>
      <c r="AC44" s="116">
        <f t="shared" si="7"/>
        <v>0</v>
      </c>
      <c r="AD44" s="116">
        <f t="shared" si="7"/>
        <v>0</v>
      </c>
      <c r="AE44" s="71"/>
      <c r="AF44" s="71"/>
      <c r="AG44" s="71"/>
      <c r="AH44" s="72"/>
    </row>
    <row r="45" spans="1:35">
      <c r="A45" s="76">
        <v>16</v>
      </c>
      <c r="B45" s="77" t="s">
        <v>700</v>
      </c>
      <c r="C45" s="76" t="s">
        <v>701</v>
      </c>
      <c r="D45" s="76" t="s">
        <v>619</v>
      </c>
      <c r="E45" s="117"/>
      <c r="F45" s="154"/>
      <c r="G45" s="117"/>
      <c r="H45" s="117"/>
      <c r="I45" s="117"/>
      <c r="J45" s="154"/>
      <c r="K45" s="117"/>
      <c r="L45" s="117"/>
      <c r="M45" s="117"/>
      <c r="N45" s="154"/>
      <c r="O45" s="117"/>
      <c r="P45" s="117"/>
      <c r="Q45" s="117"/>
      <c r="R45" s="154"/>
      <c r="S45" s="117"/>
      <c r="T45" s="117"/>
      <c r="U45" s="117"/>
      <c r="V45" s="154"/>
      <c r="W45" s="117"/>
      <c r="X45" s="117"/>
      <c r="Y45" s="117"/>
      <c r="Z45" s="154"/>
      <c r="AA45" s="117"/>
      <c r="AB45" s="117"/>
      <c r="AC45" s="76"/>
      <c r="AD45" s="77"/>
      <c r="AE45" s="76"/>
      <c r="AF45" s="76"/>
      <c r="AG45" s="76"/>
      <c r="AH45" s="77"/>
    </row>
    <row r="46" spans="1:35">
      <c r="A46" s="576">
        <v>17</v>
      </c>
      <c r="B46" s="576" t="s">
        <v>102</v>
      </c>
      <c r="C46" s="576" t="s">
        <v>707</v>
      </c>
      <c r="D46" s="71" t="s">
        <v>2224</v>
      </c>
      <c r="E46" s="87">
        <v>407.14600000000007</v>
      </c>
      <c r="F46" s="155">
        <v>18481056</v>
      </c>
      <c r="G46" s="87">
        <v>0</v>
      </c>
      <c r="H46" s="87">
        <v>0</v>
      </c>
      <c r="I46" s="87">
        <v>435.62200000000001</v>
      </c>
      <c r="J46" s="155">
        <v>23254932</v>
      </c>
      <c r="K46" s="87">
        <v>324.05800000000005</v>
      </c>
      <c r="L46" s="87">
        <v>18615096</v>
      </c>
      <c r="M46" s="87">
        <v>467.26700000000005</v>
      </c>
      <c r="N46" s="155">
        <v>32963195</v>
      </c>
      <c r="O46" s="87">
        <v>576.14899999999989</v>
      </c>
      <c r="P46" s="87">
        <v>41207040</v>
      </c>
      <c r="Q46" s="87">
        <v>545.34400000000005</v>
      </c>
      <c r="R46" s="155">
        <v>33159435</v>
      </c>
      <c r="S46" s="87">
        <v>0</v>
      </c>
      <c r="T46" s="87">
        <v>0</v>
      </c>
      <c r="U46" s="87">
        <v>438.54400000000004</v>
      </c>
      <c r="V46" s="155">
        <v>14853126</v>
      </c>
      <c r="W46" s="87">
        <v>324.28199999999998</v>
      </c>
      <c r="X46" s="87">
        <v>10090980</v>
      </c>
      <c r="Y46" s="87">
        <v>323.60000000000002</v>
      </c>
      <c r="Z46" s="155">
        <v>4506516</v>
      </c>
      <c r="AA46" s="87">
        <v>654.06399999999996</v>
      </c>
      <c r="AB46" s="87">
        <v>13138860</v>
      </c>
      <c r="AC46" s="116">
        <f t="shared" ref="AC46:AD47" si="8">AA46+Y46+W46+U46+S46+Q46+O46+M46+K46+I46+G46+E46</f>
        <v>4496.076</v>
      </c>
      <c r="AD46" s="116">
        <f t="shared" si="8"/>
        <v>210270236</v>
      </c>
      <c r="AE46" s="71"/>
      <c r="AF46" s="71"/>
      <c r="AG46" s="71"/>
      <c r="AH46" s="72"/>
    </row>
    <row r="47" spans="1:35">
      <c r="A47" s="577"/>
      <c r="B47" s="577"/>
      <c r="C47" s="577"/>
      <c r="D47" s="71" t="s">
        <v>2228</v>
      </c>
      <c r="E47" s="87">
        <v>3169.4500000000003</v>
      </c>
      <c r="F47" s="155">
        <v>17395453.874420796</v>
      </c>
      <c r="G47" s="87">
        <v>2453.0149999999999</v>
      </c>
      <c r="H47" s="87">
        <v>13621641.817190183</v>
      </c>
      <c r="I47" s="87">
        <v>2985.1640000000002</v>
      </c>
      <c r="J47" s="155">
        <v>18605979.391914468</v>
      </c>
      <c r="K47" s="87">
        <v>3015.6389999999997</v>
      </c>
      <c r="L47" s="87">
        <v>19456635.030040842</v>
      </c>
      <c r="M47" s="87">
        <v>1040.884</v>
      </c>
      <c r="N47" s="155">
        <v>7046054.5292303748</v>
      </c>
      <c r="O47" s="87">
        <v>2192.7640000000001</v>
      </c>
      <c r="P47" s="87">
        <v>14910001.448860677</v>
      </c>
      <c r="Q47" s="87">
        <v>2259.047</v>
      </c>
      <c r="R47" s="155">
        <v>15360701.855304247</v>
      </c>
      <c r="S47" s="87">
        <v>2844.0999000000002</v>
      </c>
      <c r="T47" s="87">
        <v>19338849.794006333</v>
      </c>
      <c r="U47" s="87">
        <v>4291.7079999999996</v>
      </c>
      <c r="V47" s="155">
        <v>32896408.690001816</v>
      </c>
      <c r="W47" s="87">
        <v>4680.2210000000005</v>
      </c>
      <c r="X47" s="87">
        <v>30905700.70835029</v>
      </c>
      <c r="Y47" s="87">
        <v>0</v>
      </c>
      <c r="Z47" s="155">
        <v>0</v>
      </c>
      <c r="AA47" s="87">
        <v>0</v>
      </c>
      <c r="AB47" s="87">
        <v>0</v>
      </c>
      <c r="AC47" s="116">
        <f t="shared" si="8"/>
        <v>28931.991900000005</v>
      </c>
      <c r="AD47" s="116">
        <f t="shared" si="8"/>
        <v>189537427.13931999</v>
      </c>
      <c r="AE47" s="71"/>
      <c r="AF47" s="71"/>
      <c r="AG47" s="71"/>
      <c r="AH47" s="72"/>
    </row>
    <row r="48" spans="1:35">
      <c r="A48" s="571">
        <v>19</v>
      </c>
      <c r="B48" s="571" t="s">
        <v>229</v>
      </c>
      <c r="C48" s="571" t="s">
        <v>710</v>
      </c>
      <c r="D48" s="76" t="s">
        <v>2224</v>
      </c>
      <c r="E48" s="117">
        <v>300</v>
      </c>
      <c r="F48" s="154">
        <v>4249800</v>
      </c>
      <c r="G48" s="117">
        <v>440</v>
      </c>
      <c r="H48" s="117">
        <v>8136480</v>
      </c>
      <c r="I48" s="117">
        <v>420</v>
      </c>
      <c r="J48" s="154">
        <v>8899800</v>
      </c>
      <c r="K48" s="117">
        <v>450</v>
      </c>
      <c r="L48" s="117">
        <v>9241200</v>
      </c>
      <c r="M48" s="117">
        <v>450</v>
      </c>
      <c r="N48" s="154">
        <v>9137250</v>
      </c>
      <c r="O48" s="117">
        <v>450</v>
      </c>
      <c r="P48" s="117">
        <v>9685800</v>
      </c>
      <c r="Q48" s="117">
        <v>450</v>
      </c>
      <c r="R48" s="154">
        <v>10214100</v>
      </c>
      <c r="S48" s="117">
        <v>450</v>
      </c>
      <c r="T48" s="117">
        <v>10143000</v>
      </c>
      <c r="U48" s="117">
        <v>310</v>
      </c>
      <c r="V48" s="154">
        <v>6858130</v>
      </c>
      <c r="W48" s="117">
        <v>450</v>
      </c>
      <c r="X48" s="117">
        <v>10285650</v>
      </c>
      <c r="Y48" s="117">
        <v>440</v>
      </c>
      <c r="Z48" s="154">
        <v>10904080</v>
      </c>
      <c r="AA48" s="117">
        <v>420</v>
      </c>
      <c r="AB48" s="117">
        <v>11350080</v>
      </c>
      <c r="AC48" s="117">
        <f>AA48+Y48+W48+U48+S48+Q48+O48+M48+K48+I48+G48+E48</f>
        <v>5030</v>
      </c>
      <c r="AD48" s="117">
        <f>AB48+Z48+X48+V48+T48+R48+P48+N48+L48+J48+H48+F48</f>
        <v>109105370</v>
      </c>
      <c r="AE48" s="76"/>
      <c r="AF48" s="76"/>
      <c r="AG48" s="76"/>
      <c r="AH48" s="77"/>
    </row>
    <row r="49" spans="1:34">
      <c r="A49" s="573"/>
      <c r="B49" s="573"/>
      <c r="C49" s="573"/>
      <c r="D49" s="76" t="s">
        <v>2228</v>
      </c>
      <c r="E49" s="117">
        <v>2857</v>
      </c>
      <c r="F49" s="154">
        <v>27895748</v>
      </c>
      <c r="G49" s="117">
        <v>4437</v>
      </c>
      <c r="H49" s="117">
        <v>44157024</v>
      </c>
      <c r="I49" s="117">
        <v>3461</v>
      </c>
      <c r="J49" s="154">
        <v>34516553</v>
      </c>
      <c r="K49" s="117">
        <v>2657</v>
      </c>
      <c r="L49" s="117">
        <v>27327245</v>
      </c>
      <c r="M49" s="117">
        <v>4940</v>
      </c>
      <c r="N49" s="154">
        <v>46436000</v>
      </c>
      <c r="O49" s="117">
        <v>5300</v>
      </c>
      <c r="P49" s="117">
        <v>49820000</v>
      </c>
      <c r="Q49" s="117">
        <v>5500</v>
      </c>
      <c r="R49" s="154">
        <v>49885000</v>
      </c>
      <c r="S49" s="117">
        <v>5021</v>
      </c>
      <c r="T49" s="117">
        <v>37803109</v>
      </c>
      <c r="U49" s="117">
        <v>3172</v>
      </c>
      <c r="V49" s="154">
        <v>25296700</v>
      </c>
      <c r="W49" s="117">
        <v>5600</v>
      </c>
      <c r="X49" s="117">
        <v>43304800</v>
      </c>
      <c r="Y49" s="117">
        <v>5200</v>
      </c>
      <c r="Z49" s="154">
        <v>39624000</v>
      </c>
      <c r="AA49" s="117">
        <v>4200</v>
      </c>
      <c r="AB49" s="117">
        <v>33717600</v>
      </c>
      <c r="AC49" s="117">
        <f>AA49+Y49+W49+U49+S49+Q49+O49+M49+K49+I49+G49+E49</f>
        <v>52345</v>
      </c>
      <c r="AD49" s="117">
        <f>AB49+Z49+X49+V49+T49+R49+P49+N49+L49+J49+H49+F49</f>
        <v>459783779</v>
      </c>
      <c r="AE49" s="76"/>
      <c r="AF49" s="76"/>
      <c r="AG49" s="76"/>
      <c r="AH49" s="77"/>
    </row>
    <row r="50" spans="1:34">
      <c r="A50" s="71">
        <v>20</v>
      </c>
      <c r="B50" s="72" t="s">
        <v>713</v>
      </c>
      <c r="C50" s="71" t="s">
        <v>714</v>
      </c>
      <c r="D50" s="71" t="s">
        <v>2228</v>
      </c>
      <c r="E50" s="87">
        <v>1806.0039999999999</v>
      </c>
      <c r="F50" s="155">
        <v>15302523.65</v>
      </c>
      <c r="G50" s="87">
        <v>756.48800000000006</v>
      </c>
      <c r="H50" s="87">
        <v>6479766.21</v>
      </c>
      <c r="I50" s="87">
        <v>1506.9880000000001</v>
      </c>
      <c r="J50" s="155">
        <v>13393513.949999999</v>
      </c>
      <c r="K50" s="87">
        <v>4087.5619999999999</v>
      </c>
      <c r="L50" s="87">
        <v>36753137.100000001</v>
      </c>
      <c r="M50" s="87">
        <v>4120.7470000000003</v>
      </c>
      <c r="N50" s="155">
        <v>33606994.130000003</v>
      </c>
      <c r="O50" s="87">
        <v>5789.7820000000002</v>
      </c>
      <c r="P50" s="87">
        <v>46402275.289999999</v>
      </c>
      <c r="Q50" s="87">
        <v>4756.076</v>
      </c>
      <c r="R50" s="155">
        <v>30977857.300000001</v>
      </c>
      <c r="S50" s="87">
        <v>7155.2759999999998</v>
      </c>
      <c r="T50" s="87">
        <v>47588798.979999997</v>
      </c>
      <c r="U50" s="87">
        <v>3961.277</v>
      </c>
      <c r="V50" s="155">
        <v>26304761.690000001</v>
      </c>
      <c r="W50" s="87">
        <v>4163.991</v>
      </c>
      <c r="X50" s="87">
        <v>26478068.460000001</v>
      </c>
      <c r="Y50" s="87">
        <v>3403.0340000000001</v>
      </c>
      <c r="Z50" s="155">
        <v>22918325.84</v>
      </c>
      <c r="AA50" s="87">
        <v>3584.4050000000002</v>
      </c>
      <c r="AB50" s="87">
        <v>25340974.77</v>
      </c>
      <c r="AC50" s="116">
        <f t="shared" ref="AC50:AD50" si="9">AA50+Y50+W50+U50+S50+Q50+O50+M50+K50+I50+G50+E50</f>
        <v>45091.63</v>
      </c>
      <c r="AD50" s="116">
        <f t="shared" si="9"/>
        <v>331546997.36999995</v>
      </c>
      <c r="AE50" s="71"/>
      <c r="AF50" s="71"/>
      <c r="AG50" s="71"/>
      <c r="AH50" s="72"/>
    </row>
    <row r="51" spans="1:34">
      <c r="A51" s="571">
        <v>21</v>
      </c>
      <c r="B51" s="571" t="s">
        <v>717</v>
      </c>
      <c r="C51" s="571" t="s">
        <v>718</v>
      </c>
      <c r="D51" s="76" t="s">
        <v>2224</v>
      </c>
      <c r="E51" s="117">
        <v>48.723700000000001</v>
      </c>
      <c r="F51" s="154">
        <v>2677088.31</v>
      </c>
      <c r="G51" s="117">
        <v>53.614400000000003</v>
      </c>
      <c r="H51" s="117">
        <v>3197141.75</v>
      </c>
      <c r="I51" s="117">
        <v>96.523300000000006</v>
      </c>
      <c r="J51" s="154">
        <v>7656751.9899999993</v>
      </c>
      <c r="K51" s="117">
        <v>129.25970000000001</v>
      </c>
      <c r="L51" s="117">
        <v>10869806.270114802</v>
      </c>
      <c r="M51" s="117">
        <v>19.905000000000001</v>
      </c>
      <c r="N51" s="154">
        <v>2178675.1955702901</v>
      </c>
      <c r="O51" s="117">
        <v>159.90549999999999</v>
      </c>
      <c r="P51" s="117">
        <v>9104185.3200000003</v>
      </c>
      <c r="Q51" s="117">
        <v>64.393000000000001</v>
      </c>
      <c r="R51" s="154">
        <v>2882305.64</v>
      </c>
      <c r="S51" s="117">
        <v>123.6613</v>
      </c>
      <c r="T51" s="117">
        <v>2612986.1143148993</v>
      </c>
      <c r="U51" s="117">
        <v>113.60809999999999</v>
      </c>
      <c r="V51" s="154">
        <v>3154791.29</v>
      </c>
      <c r="W51" s="117">
        <v>91.699299999999994</v>
      </c>
      <c r="X51" s="117">
        <v>-3622514.9500000007</v>
      </c>
      <c r="Y51" s="117">
        <v>99.799300000000002</v>
      </c>
      <c r="Z51" s="154">
        <v>-1493290.98</v>
      </c>
      <c r="AA51" s="117">
        <v>47.4983</v>
      </c>
      <c r="AB51" s="117">
        <v>-1103238.07</v>
      </c>
      <c r="AC51" s="117">
        <f>AA51+Y51+W51+U51+S51+Q51+O51+M51+K51+I51+G51+E51</f>
        <v>1048.5908999999999</v>
      </c>
      <c r="AD51" s="117">
        <f>AB51+Z51+X51+V51+T51+R51+P51+N51+L51+J51+H51+F51</f>
        <v>38114687.879999995</v>
      </c>
      <c r="AE51" s="76"/>
      <c r="AF51" s="76"/>
      <c r="AG51" s="76"/>
      <c r="AH51" s="77"/>
    </row>
    <row r="52" spans="1:34">
      <c r="A52" s="573"/>
      <c r="B52" s="573"/>
      <c r="C52" s="573"/>
      <c r="D52" s="76" t="s">
        <v>2228</v>
      </c>
      <c r="E52" s="117">
        <v>950.971</v>
      </c>
      <c r="F52" s="154">
        <v>8486531.75</v>
      </c>
      <c r="G52" s="117">
        <v>4334.6949999999997</v>
      </c>
      <c r="H52" s="117">
        <v>39949056.602130003</v>
      </c>
      <c r="I52" s="117">
        <v>3587.9459999999999</v>
      </c>
      <c r="J52" s="154">
        <v>33964800.630000003</v>
      </c>
      <c r="K52" s="117">
        <v>2668.1689999999999</v>
      </c>
      <c r="L52" s="117">
        <v>26624750.15103</v>
      </c>
      <c r="M52" s="117">
        <v>122.77500000000001</v>
      </c>
      <c r="N52" s="154">
        <v>1201671.3700000001</v>
      </c>
      <c r="O52" s="117">
        <v>4094.15</v>
      </c>
      <c r="P52" s="117">
        <v>39390577.780000001</v>
      </c>
      <c r="Q52" s="117">
        <v>3638.9949999999999</v>
      </c>
      <c r="R52" s="154">
        <v>33108336.005469996</v>
      </c>
      <c r="S52" s="117">
        <v>4869.125</v>
      </c>
      <c r="T52" s="117">
        <v>27313098.311569996</v>
      </c>
      <c r="U52" s="117">
        <v>3030.4659999999999</v>
      </c>
      <c r="V52" s="154">
        <v>22157716.280000005</v>
      </c>
      <c r="W52" s="117">
        <v>564.25900000000001</v>
      </c>
      <c r="X52" s="117">
        <v>4174905.7017799998</v>
      </c>
      <c r="Y52" s="117">
        <v>3660.5650000000001</v>
      </c>
      <c r="Z52" s="154">
        <v>25186905.449999999</v>
      </c>
      <c r="AA52" s="117">
        <v>1864.5429999999999</v>
      </c>
      <c r="AB52" s="117">
        <v>13429615.470000003</v>
      </c>
      <c r="AC52" s="117">
        <f>AA52+Y52+W52+U52+S52+Q52+O52+M52+K52+I52+G52+E52</f>
        <v>33386.659000000007</v>
      </c>
      <c r="AD52" s="117">
        <f>AB52+Z52+X52+V52+T52+R52+P52+N52+L52+J52+H52+F52</f>
        <v>274987965.50198001</v>
      </c>
      <c r="AE52" s="76"/>
      <c r="AF52" s="76"/>
      <c r="AG52" s="76"/>
      <c r="AH52" s="77"/>
    </row>
    <row r="53" spans="1:34">
      <c r="A53" s="71">
        <v>22</v>
      </c>
      <c r="B53" s="72" t="s">
        <v>721</v>
      </c>
      <c r="C53" s="71" t="s">
        <v>722</v>
      </c>
      <c r="D53" s="71" t="s">
        <v>2228</v>
      </c>
      <c r="E53" s="87">
        <v>3286.46</v>
      </c>
      <c r="F53" s="155"/>
      <c r="G53" s="87">
        <v>2909.21</v>
      </c>
      <c r="H53" s="87"/>
      <c r="I53" s="87">
        <v>3024.75</v>
      </c>
      <c r="J53" s="155"/>
      <c r="K53" s="87">
        <v>2221.0100000000002</v>
      </c>
      <c r="L53" s="87"/>
      <c r="M53" s="87">
        <v>2339.91</v>
      </c>
      <c r="N53" s="155"/>
      <c r="O53" s="87">
        <v>3034.27</v>
      </c>
      <c r="P53" s="87"/>
      <c r="Q53" s="87">
        <v>3913.97</v>
      </c>
      <c r="R53" s="155"/>
      <c r="S53" s="87">
        <v>4197.0200000000004</v>
      </c>
      <c r="T53" s="87"/>
      <c r="U53" s="87">
        <v>3684.7</v>
      </c>
      <c r="V53" s="155"/>
      <c r="W53" s="87">
        <v>3730.04</v>
      </c>
      <c r="X53" s="87"/>
      <c r="Y53" s="87">
        <v>3429.99</v>
      </c>
      <c r="Z53" s="155"/>
      <c r="AA53" s="87">
        <v>1714.41</v>
      </c>
      <c r="AB53" s="87">
        <v>316402561.02999997</v>
      </c>
      <c r="AC53" s="116">
        <f t="shared" ref="AC53:AD53" si="10">AA53+Y53+W53+U53+S53+Q53+O53+M53+K53+I53+G53+E53</f>
        <v>37485.74</v>
      </c>
      <c r="AD53" s="116">
        <f t="shared" si="10"/>
        <v>316402561.02999997</v>
      </c>
      <c r="AE53" s="71"/>
      <c r="AF53" s="71"/>
      <c r="AG53" s="71"/>
      <c r="AH53" s="72"/>
    </row>
    <row r="54" spans="1:34">
      <c r="A54" s="571">
        <v>23</v>
      </c>
      <c r="B54" s="571" t="s">
        <v>161</v>
      </c>
      <c r="C54" s="571" t="s">
        <v>726</v>
      </c>
      <c r="D54" s="76" t="s">
        <v>2224</v>
      </c>
      <c r="E54" s="117">
        <v>1321.296</v>
      </c>
      <c r="F54" s="154">
        <v>10735889.699999999</v>
      </c>
      <c r="G54" s="117">
        <v>2068.52</v>
      </c>
      <c r="H54" s="117">
        <v>17911047.18</v>
      </c>
      <c r="I54" s="117">
        <v>2129.9920000000002</v>
      </c>
      <c r="J54" s="154">
        <v>17890575.920000002</v>
      </c>
      <c r="K54" s="117">
        <v>3285.56</v>
      </c>
      <c r="L54" s="117">
        <v>29730920.329999998</v>
      </c>
      <c r="M54" s="117">
        <v>3120.4659999999999</v>
      </c>
      <c r="N54" s="154">
        <v>27851776.940000001</v>
      </c>
      <c r="O54" s="117">
        <v>4296.308</v>
      </c>
      <c r="P54" s="117">
        <v>39695031.439999998</v>
      </c>
      <c r="Q54" s="117">
        <v>115.48399999999999</v>
      </c>
      <c r="R54" s="154">
        <v>839435.64</v>
      </c>
      <c r="S54" s="117">
        <v>1814.981</v>
      </c>
      <c r="T54" s="117">
        <v>11369223.720000001</v>
      </c>
      <c r="U54" s="117">
        <v>943.83299999999997</v>
      </c>
      <c r="V54" s="154">
        <v>5997697.4100000001</v>
      </c>
      <c r="W54" s="117">
        <v>224.16300000000001</v>
      </c>
      <c r="X54" s="117">
        <v>1465215.84</v>
      </c>
      <c r="Y54" s="117">
        <v>563.76099999999997</v>
      </c>
      <c r="Z54" s="154">
        <v>3749746.2</v>
      </c>
      <c r="AA54" s="117">
        <v>377.59199999999998</v>
      </c>
      <c r="AB54" s="117">
        <v>2572049.29</v>
      </c>
      <c r="AC54" s="117">
        <f>AA54+Y54+W54+U54+S54+Q54+O54+M54+K54+I54+G54+E54</f>
        <v>20261.955999999998</v>
      </c>
      <c r="AD54" s="117">
        <f>AB54+Z54+X54+V54+T54+R54+P54+N54+L54+J54+H54+F54</f>
        <v>169808609.61000001</v>
      </c>
      <c r="AE54" s="76"/>
      <c r="AF54" s="76"/>
      <c r="AG54" s="76"/>
      <c r="AH54" s="77"/>
    </row>
    <row r="55" spans="1:34">
      <c r="A55" s="573"/>
      <c r="B55" s="573"/>
      <c r="C55" s="573"/>
      <c r="D55" s="76" t="s">
        <v>2228</v>
      </c>
      <c r="E55" s="117">
        <v>460.15199999999999</v>
      </c>
      <c r="F55" s="154">
        <v>4215954.03</v>
      </c>
      <c r="G55" s="117">
        <v>0</v>
      </c>
      <c r="H55" s="117">
        <v>0</v>
      </c>
      <c r="I55" s="117">
        <v>3565.2719999999999</v>
      </c>
      <c r="J55" s="154">
        <v>34437532.710000001</v>
      </c>
      <c r="K55" s="117">
        <v>2201.4459999999999</v>
      </c>
      <c r="L55" s="117">
        <v>21152109.57</v>
      </c>
      <c r="M55" s="117">
        <v>1560.713</v>
      </c>
      <c r="N55" s="154">
        <v>13691823.01</v>
      </c>
      <c r="O55" s="117">
        <v>3783.02</v>
      </c>
      <c r="P55" s="117">
        <v>31964514</v>
      </c>
      <c r="Q55" s="117">
        <v>4726.393</v>
      </c>
      <c r="R55" s="154">
        <v>32902834.920000002</v>
      </c>
      <c r="S55" s="117">
        <v>2465.1860000000001</v>
      </c>
      <c r="T55" s="117">
        <v>18164303.949999999</v>
      </c>
      <c r="U55" s="117">
        <v>3382.0239999999999</v>
      </c>
      <c r="V55" s="154">
        <v>23917266.460000001</v>
      </c>
      <c r="W55" s="117">
        <v>1561.5319999999999</v>
      </c>
      <c r="X55" s="117">
        <v>10873134.689999999</v>
      </c>
      <c r="Y55" s="117">
        <v>969.923</v>
      </c>
      <c r="Z55" s="154">
        <v>7225460.79</v>
      </c>
      <c r="AA55" s="117">
        <v>2262.0909999999999</v>
      </c>
      <c r="AB55" s="117">
        <v>17669871.43</v>
      </c>
      <c r="AC55" s="117">
        <f>AA55+Y55+W55+U55+S55+Q55+O55+M55+K55+I55+G55+E55</f>
        <v>26937.751999999997</v>
      </c>
      <c r="AD55" s="117">
        <f>AB55+Z55+X55+V55+T55+R55+P55+N55+L55+J55+H55+F55</f>
        <v>216214805.56</v>
      </c>
      <c r="AE55" s="76"/>
      <c r="AF55" s="76"/>
      <c r="AG55" s="76"/>
      <c r="AH55" s="77"/>
    </row>
    <row r="56" spans="1:34">
      <c r="A56" s="71">
        <v>24</v>
      </c>
      <c r="B56" s="72" t="s">
        <v>729</v>
      </c>
      <c r="C56" s="71" t="s">
        <v>730</v>
      </c>
      <c r="D56" s="71" t="s">
        <v>2246</v>
      </c>
      <c r="E56" s="87">
        <v>4601.0567000000001</v>
      </c>
      <c r="F56" s="155">
        <v>14631840.393452715</v>
      </c>
      <c r="G56" s="87">
        <v>4883.3067000000001</v>
      </c>
      <c r="H56" s="87">
        <v>15529424.844227256</v>
      </c>
      <c r="I56" s="87">
        <v>4394.7713000000003</v>
      </c>
      <c r="J56" s="155">
        <v>13975831.297042416</v>
      </c>
      <c r="K56" s="87">
        <v>6401.0199999999986</v>
      </c>
      <c r="L56" s="87">
        <v>20355911.50078604</v>
      </c>
      <c r="M56" s="87">
        <v>3585.0902999999998</v>
      </c>
      <c r="N56" s="155">
        <v>11400961.232604569</v>
      </c>
      <c r="O56" s="87">
        <v>2492.3239999999996</v>
      </c>
      <c r="P56" s="87">
        <v>7925850.3762345808</v>
      </c>
      <c r="Q56" s="87">
        <v>5069.3621000000003</v>
      </c>
      <c r="R56" s="155">
        <v>16121100.429781333</v>
      </c>
      <c r="S56" s="87">
        <v>7566.2792999999983</v>
      </c>
      <c r="T56" s="87">
        <v>24061557.661283571</v>
      </c>
      <c r="U56" s="87">
        <v>9631.9889819999989</v>
      </c>
      <c r="V56" s="155">
        <v>30630729.992116608</v>
      </c>
      <c r="W56" s="87">
        <v>4611.7529999999997</v>
      </c>
      <c r="X56" s="87">
        <v>14665855.743535334</v>
      </c>
      <c r="Y56" s="87">
        <v>4167.8737000000001</v>
      </c>
      <c r="Z56" s="155">
        <v>13254273.25389605</v>
      </c>
      <c r="AA56" s="87">
        <v>5962.6216000000004</v>
      </c>
      <c r="AB56" s="87">
        <v>18961758.845039587</v>
      </c>
      <c r="AC56" s="116">
        <f t="shared" ref="AC56:AD56" si="11">AA56+Y56+W56+U56+S56+Q56+O56+M56+K56+I56+G56+E56</f>
        <v>63367.447681999998</v>
      </c>
      <c r="AD56" s="116">
        <f t="shared" si="11"/>
        <v>201515095.57000005</v>
      </c>
      <c r="AE56" s="71"/>
      <c r="AF56" s="71"/>
      <c r="AG56" s="71"/>
      <c r="AH56" s="72"/>
    </row>
    <row r="57" spans="1:34">
      <c r="A57" s="571">
        <v>25</v>
      </c>
      <c r="B57" s="571" t="s">
        <v>128</v>
      </c>
      <c r="C57" s="571" t="s">
        <v>736</v>
      </c>
      <c r="D57" s="76" t="s">
        <v>2224</v>
      </c>
      <c r="E57" s="117">
        <v>465.4</v>
      </c>
      <c r="F57" s="154">
        <v>8631354.3399999999</v>
      </c>
      <c r="G57" s="117">
        <v>801.3</v>
      </c>
      <c r="H57" s="117">
        <v>16199874.460000001</v>
      </c>
      <c r="I57" s="117">
        <v>809.8</v>
      </c>
      <c r="J57" s="154">
        <v>16584510.439999998</v>
      </c>
      <c r="K57" s="117">
        <v>393.48</v>
      </c>
      <c r="L57" s="117">
        <v>9405671.2400000021</v>
      </c>
      <c r="M57" s="117">
        <v>391.7</v>
      </c>
      <c r="N57" s="154">
        <v>9626996.6600000001</v>
      </c>
      <c r="O57" s="117">
        <v>372.2</v>
      </c>
      <c r="P57" s="117">
        <v>8687029.6699999999</v>
      </c>
      <c r="Q57" s="117">
        <v>618.6</v>
      </c>
      <c r="R57" s="154">
        <v>13147040.850000001</v>
      </c>
      <c r="S57" s="117">
        <v>309.39999999999998</v>
      </c>
      <c r="T57" s="117">
        <v>5086966.47</v>
      </c>
      <c r="U57" s="117">
        <v>396.01</v>
      </c>
      <c r="V57" s="154">
        <v>5610157.7700000005</v>
      </c>
      <c r="W57" s="117"/>
      <c r="X57" s="117"/>
      <c r="Y57" s="117">
        <v>476.9</v>
      </c>
      <c r="Z57" s="154">
        <v>6987562.2200000007</v>
      </c>
      <c r="AA57" s="117">
        <v>280.5</v>
      </c>
      <c r="AB57" s="117">
        <v>4090418.9000000004</v>
      </c>
      <c r="AC57" s="117">
        <f>AA57+Y57+W57+U57+S57+Q57+O57+M57+K57+I57+G57+E57</f>
        <v>5315.2899999999991</v>
      </c>
      <c r="AD57" s="117">
        <f>AB57+Z57+X57+V57+T57+R57+P57+N57+L57+J57+H57+F57</f>
        <v>104057583.02000001</v>
      </c>
      <c r="AE57" s="76"/>
      <c r="AF57" s="76"/>
      <c r="AG57" s="76"/>
      <c r="AH57" s="77"/>
    </row>
    <row r="58" spans="1:34">
      <c r="A58" s="573"/>
      <c r="B58" s="573"/>
      <c r="C58" s="573"/>
      <c r="D58" s="76" t="s">
        <v>2228</v>
      </c>
      <c r="E58" s="117">
        <v>2091.4190000000008</v>
      </c>
      <c r="F58" s="154">
        <v>19978991.079959996</v>
      </c>
      <c r="G58" s="117">
        <v>3262.4919999999997</v>
      </c>
      <c r="H58" s="117">
        <v>31933617.212239996</v>
      </c>
      <c r="I58" s="117">
        <v>3497.4799999999996</v>
      </c>
      <c r="J58" s="154">
        <v>34808052.459040016</v>
      </c>
      <c r="K58" s="117">
        <v>2412.04</v>
      </c>
      <c r="L58" s="117">
        <v>24677923.983120006</v>
      </c>
      <c r="M58" s="117">
        <v>2073.8619999999996</v>
      </c>
      <c r="N58" s="154">
        <v>21135349.800599996</v>
      </c>
      <c r="O58" s="117">
        <v>4816.3840000000018</v>
      </c>
      <c r="P58" s="117">
        <v>44870827.314349994</v>
      </c>
      <c r="Q58" s="117">
        <v>3568.889000000001</v>
      </c>
      <c r="R58" s="154">
        <v>32158832.632479988</v>
      </c>
      <c r="S58" s="117">
        <v>3442.1379999999999</v>
      </c>
      <c r="T58" s="117">
        <v>26159747.181979999</v>
      </c>
      <c r="U58" s="117">
        <v>3208.2010000000005</v>
      </c>
      <c r="V58" s="154">
        <v>25551057.499020007</v>
      </c>
      <c r="W58" s="117">
        <v>3564.5689999999972</v>
      </c>
      <c r="X58" s="117">
        <v>27544562.88219998</v>
      </c>
      <c r="Y58" s="117">
        <v>3377.8799999999987</v>
      </c>
      <c r="Z58" s="154">
        <v>25790138.026439998</v>
      </c>
      <c r="AA58" s="117">
        <v>3489.6400000000031</v>
      </c>
      <c r="AB58" s="117">
        <v>28100186.229919996</v>
      </c>
      <c r="AC58" s="117">
        <f>AA58+Y58+W58+U58+S58+Q58+O58+M58+K58+I58+G58+E58</f>
        <v>38804.994000000006</v>
      </c>
      <c r="AD58" s="117">
        <f>AB58+Z58+X58+V58+T58+R58+P58+N58+L58+J58+H58+F58</f>
        <v>342709286.30134994</v>
      </c>
      <c r="AE58" s="76"/>
      <c r="AF58" s="76"/>
      <c r="AG58" s="76"/>
      <c r="AH58" s="77"/>
    </row>
    <row r="59" spans="1:34">
      <c r="A59" s="576">
        <v>26</v>
      </c>
      <c r="B59" s="576" t="s">
        <v>740</v>
      </c>
      <c r="C59" s="576" t="s">
        <v>741</v>
      </c>
      <c r="D59" s="71" t="s">
        <v>2257</v>
      </c>
      <c r="E59" s="87">
        <v>1339.55</v>
      </c>
      <c r="F59" s="155">
        <v>9004951.0547000002</v>
      </c>
      <c r="G59" s="87">
        <v>3185.7920000000004</v>
      </c>
      <c r="H59" s="87">
        <v>21508216.65086</v>
      </c>
      <c r="I59" s="87">
        <v>1764.4100000000003</v>
      </c>
      <c r="J59" s="155">
        <v>11154387.39944</v>
      </c>
      <c r="K59" s="87">
        <v>1480.432</v>
      </c>
      <c r="L59" s="87">
        <v>10833373.207599999</v>
      </c>
      <c r="M59" s="87">
        <v>458.923</v>
      </c>
      <c r="N59" s="155">
        <v>3526878.3257600004</v>
      </c>
      <c r="O59" s="87">
        <v>2930.2099999999996</v>
      </c>
      <c r="P59" s="87">
        <v>21954405.519599997</v>
      </c>
      <c r="Q59" s="87">
        <v>2161.5400000000004</v>
      </c>
      <c r="R59" s="155">
        <v>14719532.977539999</v>
      </c>
      <c r="S59" s="87">
        <v>985.01099999999997</v>
      </c>
      <c r="T59" s="87">
        <v>5379194.3215499995</v>
      </c>
      <c r="U59" s="87">
        <v>2589.4620000000004</v>
      </c>
      <c r="V59" s="155">
        <v>12760999.224330002</v>
      </c>
      <c r="W59" s="87">
        <v>3243.5840000000003</v>
      </c>
      <c r="X59" s="87">
        <v>14925663.316499999</v>
      </c>
      <c r="Y59" s="87">
        <v>2585.4994999999994</v>
      </c>
      <c r="Z59" s="155">
        <v>11208027.079159999</v>
      </c>
      <c r="AA59" s="87">
        <v>965.601</v>
      </c>
      <c r="AB59" s="87">
        <v>4184981.6635200009</v>
      </c>
      <c r="AC59" s="116">
        <f t="shared" ref="AC59:AD60" si="12">AA59+Y59+W59+U59+S59+Q59+O59+M59+K59+I59+G59+E59</f>
        <v>23690.014500000001</v>
      </c>
      <c r="AD59" s="116">
        <f t="shared" si="12"/>
        <v>141160610.74056</v>
      </c>
      <c r="AE59" s="71"/>
      <c r="AF59" s="71"/>
      <c r="AG59" s="71"/>
      <c r="AH59" s="72"/>
    </row>
    <row r="60" spans="1:34">
      <c r="A60" s="577"/>
      <c r="B60" s="577"/>
      <c r="C60" s="577"/>
      <c r="D60" s="71" t="s">
        <v>2260</v>
      </c>
      <c r="E60" s="87">
        <v>1316</v>
      </c>
      <c r="F60" s="155">
        <v>1250575</v>
      </c>
      <c r="G60" s="87">
        <v>1079.979</v>
      </c>
      <c r="H60" s="87">
        <v>1909716.0659100001</v>
      </c>
      <c r="I60" s="87">
        <v>1761.1669999999999</v>
      </c>
      <c r="J60" s="155">
        <v>3144387.5618000003</v>
      </c>
      <c r="K60" s="87">
        <v>2179.6</v>
      </c>
      <c r="L60" s="87">
        <v>4238036.0359999994</v>
      </c>
      <c r="M60" s="87">
        <v>1331.7930000000001</v>
      </c>
      <c r="N60" s="155">
        <v>2848603.3944299999</v>
      </c>
      <c r="O60" s="87">
        <v>1993.2340000000002</v>
      </c>
      <c r="P60" s="87">
        <v>21954405.519599997</v>
      </c>
      <c r="Q60" s="87">
        <v>2492.9140000000002</v>
      </c>
      <c r="R60" s="155">
        <v>4478370.4261600003</v>
      </c>
      <c r="S60" s="87">
        <v>1730.557</v>
      </c>
      <c r="T60" s="87">
        <v>2625141.1264399998</v>
      </c>
      <c r="U60" s="87">
        <v>1259.0509999999999</v>
      </c>
      <c r="V60" s="155">
        <v>2131917.3256299999</v>
      </c>
      <c r="W60" s="87">
        <v>2058.828</v>
      </c>
      <c r="X60" s="87">
        <v>2051782.1765000001</v>
      </c>
      <c r="Y60" s="87">
        <v>1990.8689999999997</v>
      </c>
      <c r="Z60" s="155">
        <v>2886620.6891700001</v>
      </c>
      <c r="AA60" s="87">
        <v>1478.2650000000001</v>
      </c>
      <c r="AB60" s="87">
        <v>2135552.10194</v>
      </c>
      <c r="AC60" s="116">
        <f t="shared" si="12"/>
        <v>20672.257000000001</v>
      </c>
      <c r="AD60" s="116">
        <f t="shared" si="12"/>
        <v>51655107.423579991</v>
      </c>
      <c r="AE60" s="71"/>
      <c r="AF60" s="71"/>
      <c r="AG60" s="71"/>
      <c r="AH60" s="72"/>
    </row>
    <row r="61" spans="1:34">
      <c r="A61" s="571">
        <v>27</v>
      </c>
      <c r="B61" s="571" t="s">
        <v>115</v>
      </c>
      <c r="C61" s="571" t="s">
        <v>743</v>
      </c>
      <c r="D61" s="76" t="s">
        <v>2224</v>
      </c>
      <c r="E61" s="117">
        <v>228</v>
      </c>
      <c r="F61" s="154">
        <v>1970304.06</v>
      </c>
      <c r="G61" s="117"/>
      <c r="H61" s="117"/>
      <c r="I61" s="117"/>
      <c r="J61" s="154"/>
      <c r="K61" s="117">
        <v>60</v>
      </c>
      <c r="L61" s="117">
        <v>609348.14</v>
      </c>
      <c r="M61" s="117">
        <v>96</v>
      </c>
      <c r="N61" s="154">
        <v>1037519.76</v>
      </c>
      <c r="O61" s="117">
        <v>472</v>
      </c>
      <c r="P61" s="117">
        <v>3913128.45</v>
      </c>
      <c r="Q61" s="117"/>
      <c r="R61" s="154"/>
      <c r="S61" s="117"/>
      <c r="T61" s="117"/>
      <c r="U61" s="117"/>
      <c r="V61" s="154"/>
      <c r="W61" s="117"/>
      <c r="X61" s="117"/>
      <c r="Y61" s="117">
        <v>30</v>
      </c>
      <c r="Z61" s="154">
        <v>165192.94</v>
      </c>
      <c r="AA61" s="117"/>
      <c r="AB61" s="117"/>
      <c r="AC61" s="117">
        <f>AA61+Y61+W61+U61+S61+Q61+O61+M61+K61+I61+G61+E61</f>
        <v>886</v>
      </c>
      <c r="AD61" s="117">
        <f>AB61+Z61+X61+V61+T61+R61+P61+N61+L61+J61+H61+F61</f>
        <v>7695493.3499999996</v>
      </c>
      <c r="AE61" s="76"/>
      <c r="AF61" s="76"/>
      <c r="AG61" s="76"/>
      <c r="AH61" s="77"/>
    </row>
    <row r="62" spans="1:34">
      <c r="A62" s="572"/>
      <c r="B62" s="572"/>
      <c r="C62" s="572"/>
      <c r="D62" s="76" t="s">
        <v>2228</v>
      </c>
      <c r="E62" s="117">
        <v>1278</v>
      </c>
      <c r="F62" s="154">
        <v>12208737.77</v>
      </c>
      <c r="G62" s="117">
        <v>1448</v>
      </c>
      <c r="H62" s="117">
        <v>14843011.789999999</v>
      </c>
      <c r="I62" s="117">
        <v>1988</v>
      </c>
      <c r="J62" s="154">
        <v>19760762.41</v>
      </c>
      <c r="K62" s="117">
        <v>2204</v>
      </c>
      <c r="L62" s="117">
        <v>22568051.760000002</v>
      </c>
      <c r="M62" s="117">
        <v>2132</v>
      </c>
      <c r="N62" s="154">
        <v>21729222.91</v>
      </c>
      <c r="O62" s="117">
        <v>1226</v>
      </c>
      <c r="P62" s="117">
        <v>11503464.99</v>
      </c>
      <c r="Q62" s="117">
        <v>4414</v>
      </c>
      <c r="R62" s="154">
        <v>40038191.240000002</v>
      </c>
      <c r="S62" s="117">
        <v>2856</v>
      </c>
      <c r="T62" s="117">
        <v>21511446.850000001</v>
      </c>
      <c r="U62" s="117">
        <v>3712</v>
      </c>
      <c r="V62" s="154">
        <v>29606252.52</v>
      </c>
      <c r="W62" s="117">
        <v>5704</v>
      </c>
      <c r="X62" s="117">
        <v>44115001.329999998</v>
      </c>
      <c r="Y62" s="117">
        <v>2462</v>
      </c>
      <c r="Z62" s="154">
        <v>18761641.150000002</v>
      </c>
      <c r="AA62" s="117">
        <v>2900</v>
      </c>
      <c r="AB62" s="117">
        <v>23283786.870000001</v>
      </c>
      <c r="AC62" s="117">
        <f t="shared" ref="AC62:AD70" si="13">AA62+Y62+W62+U62+S62+Q62+O62+M62+K62+I62+G62+E62</f>
        <v>32324</v>
      </c>
      <c r="AD62" s="117">
        <f t="shared" si="13"/>
        <v>279929571.58999997</v>
      </c>
      <c r="AE62" s="76"/>
      <c r="AF62" s="76"/>
      <c r="AG62" s="76"/>
      <c r="AH62" s="77"/>
    </row>
    <row r="63" spans="1:34">
      <c r="A63" s="572"/>
      <c r="B63" s="572"/>
      <c r="C63" s="572"/>
      <c r="D63" s="76" t="s">
        <v>2233</v>
      </c>
      <c r="E63" s="117">
        <v>5081.09</v>
      </c>
      <c r="F63" s="154">
        <v>313452.03999999998</v>
      </c>
      <c r="G63" s="117">
        <v>17036.439999999999</v>
      </c>
      <c r="H63" s="117">
        <v>1731150.92</v>
      </c>
      <c r="I63" s="117">
        <v>40181.18</v>
      </c>
      <c r="J63" s="154">
        <v>1897196.82</v>
      </c>
      <c r="K63" s="117">
        <v>24202.58</v>
      </c>
      <c r="L63" s="117">
        <v>1412878.6</v>
      </c>
      <c r="M63" s="117">
        <v>22772.42</v>
      </c>
      <c r="N63" s="154">
        <v>1058814.33</v>
      </c>
      <c r="O63" s="117">
        <v>24243.83</v>
      </c>
      <c r="P63" s="117">
        <v>1055318.24</v>
      </c>
      <c r="Q63" s="117">
        <v>30962.66</v>
      </c>
      <c r="R63" s="154">
        <v>1290288.6000000001</v>
      </c>
      <c r="S63" s="117">
        <v>23898.26</v>
      </c>
      <c r="T63" s="117">
        <v>1034676.34</v>
      </c>
      <c r="U63" s="117">
        <v>34516.879999999997</v>
      </c>
      <c r="V63" s="154">
        <v>1425012.18</v>
      </c>
      <c r="W63" s="117">
        <v>22067.27</v>
      </c>
      <c r="X63" s="117">
        <v>1848960.64</v>
      </c>
      <c r="Y63" s="117">
        <v>24739.67</v>
      </c>
      <c r="Z63" s="154">
        <v>1427337.83</v>
      </c>
      <c r="AA63" s="117">
        <v>24332.26</v>
      </c>
      <c r="AB63" s="117">
        <v>1265418.51</v>
      </c>
      <c r="AC63" s="117">
        <f t="shared" si="13"/>
        <v>294034.53999999998</v>
      </c>
      <c r="AD63" s="117">
        <f t="shared" si="13"/>
        <v>15760505.049999999</v>
      </c>
      <c r="AE63" s="76"/>
      <c r="AF63" s="76"/>
      <c r="AG63" s="76"/>
      <c r="AH63" s="77"/>
    </row>
    <row r="64" spans="1:34">
      <c r="A64" s="572"/>
      <c r="B64" s="572"/>
      <c r="C64" s="572"/>
      <c r="D64" s="76" t="s">
        <v>2263</v>
      </c>
      <c r="E64" s="117"/>
      <c r="F64" s="154"/>
      <c r="G64" s="117">
        <v>312</v>
      </c>
      <c r="H64" s="117">
        <v>1817207.68</v>
      </c>
      <c r="I64" s="117">
        <v>78</v>
      </c>
      <c r="J64" s="154">
        <v>462045.43</v>
      </c>
      <c r="K64" s="117"/>
      <c r="L64" s="117"/>
      <c r="M64" s="117"/>
      <c r="N64" s="154"/>
      <c r="O64" s="117"/>
      <c r="P64" s="117"/>
      <c r="Q64" s="117"/>
      <c r="R64" s="154"/>
      <c r="S64" s="117">
        <v>432</v>
      </c>
      <c r="T64" s="117">
        <v>1939089.81</v>
      </c>
      <c r="U64" s="117">
        <v>72</v>
      </c>
      <c r="V64" s="154">
        <v>341718.4</v>
      </c>
      <c r="W64" s="117"/>
      <c r="X64" s="117"/>
      <c r="Y64" s="117"/>
      <c r="Z64" s="154"/>
      <c r="AA64" s="117"/>
      <c r="AB64" s="117"/>
      <c r="AC64" s="117">
        <f t="shared" si="13"/>
        <v>894</v>
      </c>
      <c r="AD64" s="117">
        <f t="shared" si="13"/>
        <v>4560061.32</v>
      </c>
      <c r="AE64" s="76"/>
      <c r="AF64" s="76"/>
      <c r="AG64" s="76"/>
      <c r="AH64" s="77"/>
    </row>
    <row r="65" spans="1:35">
      <c r="A65" s="573"/>
      <c r="B65" s="573"/>
      <c r="C65" s="573"/>
      <c r="D65" s="76" t="s">
        <v>2264</v>
      </c>
      <c r="E65" s="117">
        <v>104</v>
      </c>
      <c r="F65" s="154">
        <v>433630.23</v>
      </c>
      <c r="G65" s="117"/>
      <c r="H65" s="117"/>
      <c r="I65" s="117"/>
      <c r="J65" s="154"/>
      <c r="K65" s="117"/>
      <c r="L65" s="117"/>
      <c r="M65" s="117">
        <v>360</v>
      </c>
      <c r="N65" s="154">
        <v>1756847.59</v>
      </c>
      <c r="O65" s="117"/>
      <c r="P65" s="117"/>
      <c r="Q65" s="117">
        <v>168</v>
      </c>
      <c r="R65" s="154">
        <v>724714.31</v>
      </c>
      <c r="S65" s="117"/>
      <c r="T65" s="117"/>
      <c r="U65" s="117"/>
      <c r="V65" s="154"/>
      <c r="W65" s="117"/>
      <c r="X65" s="117"/>
      <c r="Y65" s="117"/>
      <c r="Z65" s="154"/>
      <c r="AA65" s="117"/>
      <c r="AB65" s="117"/>
      <c r="AC65" s="117">
        <f t="shared" si="13"/>
        <v>632</v>
      </c>
      <c r="AD65" s="117">
        <f t="shared" si="13"/>
        <v>2915192.1300000004</v>
      </c>
      <c r="AE65" s="76"/>
      <c r="AF65" s="76"/>
      <c r="AG65" s="76"/>
      <c r="AH65" s="77"/>
    </row>
    <row r="66" spans="1:35">
      <c r="A66" s="576">
        <v>28</v>
      </c>
      <c r="B66" s="576" t="s">
        <v>747</v>
      </c>
      <c r="C66" s="576" t="s">
        <v>748</v>
      </c>
      <c r="D66" s="71" t="s">
        <v>2265</v>
      </c>
      <c r="E66" s="71">
        <v>1623.1994</v>
      </c>
      <c r="F66" s="72"/>
      <c r="G66" s="71">
        <v>1812.3422</v>
      </c>
      <c r="H66" s="71"/>
      <c r="I66" s="71">
        <v>2161.3463999999999</v>
      </c>
      <c r="J66" s="72"/>
      <c r="K66" s="71">
        <v>1562.183</v>
      </c>
      <c r="L66" s="71"/>
      <c r="M66" s="71">
        <v>1765.1094000000001</v>
      </c>
      <c r="N66" s="72"/>
      <c r="O66" s="71">
        <v>1993.4064000000001</v>
      </c>
      <c r="P66" s="71"/>
      <c r="Q66" s="71">
        <v>1948.9788000000001</v>
      </c>
      <c r="R66" s="72"/>
      <c r="S66" s="71">
        <v>2103.1696000000002</v>
      </c>
      <c r="T66" s="71"/>
      <c r="U66" s="71">
        <v>2133.7284</v>
      </c>
      <c r="V66" s="72"/>
      <c r="W66" s="71">
        <v>2102.4802</v>
      </c>
      <c r="X66" s="71"/>
      <c r="Y66" s="71">
        <v>2095.3845999999999</v>
      </c>
      <c r="Z66" s="72"/>
      <c r="AA66" s="71">
        <v>1609.8015</v>
      </c>
      <c r="AB66" s="71"/>
      <c r="AC66" s="116">
        <f t="shared" si="13"/>
        <v>22911.1299</v>
      </c>
      <c r="AD66" s="116">
        <f t="shared" si="13"/>
        <v>0</v>
      </c>
      <c r="AE66" s="71"/>
      <c r="AF66" s="71"/>
      <c r="AG66" s="71"/>
      <c r="AH66" s="72"/>
    </row>
    <row r="67" spans="1:35">
      <c r="A67" s="577"/>
      <c r="B67" s="577"/>
      <c r="C67" s="577"/>
      <c r="D67" s="71" t="s">
        <v>2314</v>
      </c>
      <c r="E67" s="71">
        <v>492.52</v>
      </c>
      <c r="F67" s="72"/>
      <c r="G67" s="71"/>
      <c r="H67" s="71"/>
      <c r="I67" s="71"/>
      <c r="J67" s="72"/>
      <c r="K67" s="71">
        <v>325.63339999999999</v>
      </c>
      <c r="L67" s="71"/>
      <c r="M67" s="71">
        <v>132.84</v>
      </c>
      <c r="N67" s="72"/>
      <c r="O67" s="71">
        <v>189.59</v>
      </c>
      <c r="P67" s="71"/>
      <c r="Q67" s="71"/>
      <c r="R67" s="72"/>
      <c r="S67" s="71"/>
      <c r="T67" s="71"/>
      <c r="U67" s="71"/>
      <c r="V67" s="72"/>
      <c r="W67" s="71"/>
      <c r="X67" s="71"/>
      <c r="Y67" s="71"/>
      <c r="Z67" s="72"/>
      <c r="AA67" s="71"/>
      <c r="AB67" s="71"/>
      <c r="AC67" s="116">
        <f t="shared" si="13"/>
        <v>1140.5834</v>
      </c>
      <c r="AD67" s="116">
        <f t="shared" si="13"/>
        <v>0</v>
      </c>
      <c r="AE67" s="71"/>
      <c r="AF67" s="71"/>
      <c r="AG67" s="71"/>
      <c r="AH67" s="72"/>
    </row>
    <row r="68" spans="1:35">
      <c r="A68" s="571">
        <v>29</v>
      </c>
      <c r="B68" s="571" t="s">
        <v>752</v>
      </c>
      <c r="C68" s="571" t="s">
        <v>753</v>
      </c>
      <c r="D68" s="76" t="s">
        <v>2269</v>
      </c>
      <c r="E68" s="117">
        <v>149.72569999999999</v>
      </c>
      <c r="F68" s="154">
        <v>10042485.02</v>
      </c>
      <c r="G68" s="117">
        <v>225.26509999999999</v>
      </c>
      <c r="H68" s="117">
        <v>14183216.17</v>
      </c>
      <c r="I68" s="117">
        <v>287.23809999999997</v>
      </c>
      <c r="J68" s="154">
        <v>19326229.68</v>
      </c>
      <c r="K68" s="117">
        <v>320.73910000000001</v>
      </c>
      <c r="L68" s="117">
        <v>24446964.920000002</v>
      </c>
      <c r="M68" s="117">
        <v>279.22179999999997</v>
      </c>
      <c r="N68" s="154">
        <v>21407008.870000001</v>
      </c>
      <c r="O68" s="117">
        <v>165.89099999999999</v>
      </c>
      <c r="P68" s="117">
        <v>7531953.6600000001</v>
      </c>
      <c r="Q68" s="117">
        <v>307.87040000000002</v>
      </c>
      <c r="R68" s="154">
        <v>3553606.47</v>
      </c>
      <c r="S68" s="117">
        <v>160.55969999999999</v>
      </c>
      <c r="T68" s="117">
        <v>-1864416.8</v>
      </c>
      <c r="U68" s="117">
        <v>323.88780000000003</v>
      </c>
      <c r="V68" s="154">
        <v>2900301.22</v>
      </c>
      <c r="W68" s="117">
        <v>136.13140000000001</v>
      </c>
      <c r="X68" s="117">
        <v>-7685869.9100000001</v>
      </c>
      <c r="Y68" s="117">
        <v>313.22859999999997</v>
      </c>
      <c r="Z68" s="154">
        <v>5269488.18</v>
      </c>
      <c r="AA68" s="117">
        <v>94.576599999999999</v>
      </c>
      <c r="AB68" s="117">
        <v>-1331189.75</v>
      </c>
      <c r="AC68" s="117">
        <f t="shared" si="13"/>
        <v>2764.3353000000002</v>
      </c>
      <c r="AD68" s="117">
        <f t="shared" si="13"/>
        <v>97779777.729999989</v>
      </c>
      <c r="AE68" s="76"/>
      <c r="AF68" s="76"/>
      <c r="AG68" s="76"/>
      <c r="AH68" s="77"/>
      <c r="AI68" s="5" t="s">
        <v>2315</v>
      </c>
    </row>
    <row r="69" spans="1:35">
      <c r="A69" s="572"/>
      <c r="B69" s="572"/>
      <c r="C69" s="572"/>
      <c r="D69" s="76" t="s">
        <v>2231</v>
      </c>
      <c r="E69" s="117">
        <v>5369.2583999999997</v>
      </c>
      <c r="F69" s="154">
        <v>41428393.829999998</v>
      </c>
      <c r="G69" s="117">
        <v>5887.2214999999997</v>
      </c>
      <c r="H69" s="117">
        <v>49321261.600000001</v>
      </c>
      <c r="I69" s="117"/>
      <c r="J69" s="154"/>
      <c r="K69" s="117">
        <v>4145.9831999999997</v>
      </c>
      <c r="L69" s="117">
        <v>34255673.619999997</v>
      </c>
      <c r="M69" s="117">
        <v>100.0834</v>
      </c>
      <c r="N69" s="154">
        <v>2817197.27999999</v>
      </c>
      <c r="O69" s="117">
        <v>2.01299999999992</v>
      </c>
      <c r="P69" s="117">
        <v>85099.700000001103</v>
      </c>
      <c r="Q69" s="117"/>
      <c r="R69" s="154"/>
      <c r="S69" s="117">
        <v>245.38210000000001</v>
      </c>
      <c r="T69" s="117">
        <v>4116605.25</v>
      </c>
      <c r="U69" s="117">
        <v>184.97970000000001</v>
      </c>
      <c r="V69" s="154">
        <v>3006240.01</v>
      </c>
      <c r="W69" s="117">
        <v>50.687000000000403</v>
      </c>
      <c r="X69" s="117">
        <v>2195649.19</v>
      </c>
      <c r="Y69" s="117"/>
      <c r="Z69" s="154"/>
      <c r="AA69" s="117"/>
      <c r="AB69" s="117"/>
      <c r="AC69" s="117">
        <f t="shared" si="13"/>
        <v>15985.6083</v>
      </c>
      <c r="AD69" s="117">
        <f t="shared" si="13"/>
        <v>137226120.47999999</v>
      </c>
      <c r="AE69" s="76"/>
      <c r="AF69" s="76"/>
      <c r="AG69" s="76"/>
      <c r="AH69" s="77"/>
    </row>
    <row r="70" spans="1:35">
      <c r="A70" s="573"/>
      <c r="B70" s="573"/>
      <c r="C70" s="573"/>
      <c r="D70" s="76" t="s">
        <v>2228</v>
      </c>
      <c r="E70" s="117">
        <v>8359.2849999999999</v>
      </c>
      <c r="F70" s="154">
        <v>77052472.180000007</v>
      </c>
      <c r="G70" s="117">
        <v>23947.5</v>
      </c>
      <c r="H70" s="117">
        <v>220218625.22</v>
      </c>
      <c r="I70" s="117">
        <v>15474.905000000001</v>
      </c>
      <c r="J70" s="154">
        <v>141640887.5</v>
      </c>
      <c r="K70" s="117">
        <v>16847.170999999998</v>
      </c>
      <c r="L70" s="117">
        <v>166042641.59999999</v>
      </c>
      <c r="M70" s="117">
        <v>10195.701999999999</v>
      </c>
      <c r="N70" s="154">
        <v>118151890.59</v>
      </c>
      <c r="O70" s="117">
        <v>11014.411</v>
      </c>
      <c r="P70" s="117">
        <v>109753169.95999999</v>
      </c>
      <c r="Q70" s="117">
        <v>29987.126</v>
      </c>
      <c r="R70" s="154">
        <v>261436385.81999999</v>
      </c>
      <c r="S70" s="117">
        <v>35071.766000000003</v>
      </c>
      <c r="T70" s="117">
        <v>209307134.81</v>
      </c>
      <c r="U70" s="117">
        <v>43969.324999999997</v>
      </c>
      <c r="V70" s="154">
        <v>310770349.38</v>
      </c>
      <c r="W70" s="117">
        <v>27709.7</v>
      </c>
      <c r="X70" s="117">
        <v>201390308.18000001</v>
      </c>
      <c r="Y70" s="117">
        <v>8917.0439999999999</v>
      </c>
      <c r="Z70" s="154">
        <v>62779325.530000001</v>
      </c>
      <c r="AA70" s="117">
        <v>16330.33</v>
      </c>
      <c r="AB70" s="117">
        <v>116167499.53</v>
      </c>
      <c r="AC70" s="117">
        <f t="shared" si="13"/>
        <v>247824.26499999998</v>
      </c>
      <c r="AD70" s="117">
        <f t="shared" si="13"/>
        <v>1994710690.3</v>
      </c>
      <c r="AE70" s="76"/>
      <c r="AF70" s="76"/>
      <c r="AG70" s="76"/>
      <c r="AH70" s="77"/>
    </row>
    <row r="71" spans="1:35">
      <c r="A71" s="71">
        <v>31</v>
      </c>
      <c r="B71" s="72" t="s">
        <v>760</v>
      </c>
      <c r="C71" s="71" t="s">
        <v>761</v>
      </c>
      <c r="D71" s="71" t="s">
        <v>619</v>
      </c>
      <c r="E71" s="71"/>
      <c r="F71" s="72"/>
      <c r="G71" s="71"/>
      <c r="H71" s="71"/>
      <c r="I71" s="71"/>
      <c r="J71" s="72"/>
      <c r="K71" s="71"/>
      <c r="L71" s="71"/>
      <c r="M71" s="71"/>
      <c r="N71" s="72"/>
      <c r="O71" s="71"/>
      <c r="P71" s="71"/>
      <c r="Q71" s="71"/>
      <c r="R71" s="72"/>
      <c r="S71" s="71"/>
      <c r="T71" s="71"/>
      <c r="U71" s="71"/>
      <c r="V71" s="72"/>
      <c r="W71" s="71"/>
      <c r="X71" s="71"/>
      <c r="Y71" s="71"/>
      <c r="Z71" s="72"/>
      <c r="AA71" s="71"/>
      <c r="AB71" s="71"/>
      <c r="AC71" s="71"/>
      <c r="AD71" s="72"/>
      <c r="AE71" s="71"/>
      <c r="AF71" s="71"/>
      <c r="AG71" s="71"/>
      <c r="AH71" s="72"/>
    </row>
    <row r="72" spans="1:35">
      <c r="A72" s="76">
        <v>32</v>
      </c>
      <c r="B72" s="77" t="s">
        <v>763</v>
      </c>
      <c r="C72" s="76" t="s">
        <v>764</v>
      </c>
      <c r="D72" s="76" t="s">
        <v>2228</v>
      </c>
      <c r="E72" s="76">
        <v>1876.59</v>
      </c>
      <c r="F72" s="77"/>
      <c r="G72" s="76">
        <v>4405.3999999999996</v>
      </c>
      <c r="H72" s="76"/>
      <c r="I72" s="76">
        <v>6556.08</v>
      </c>
      <c r="J72" s="77"/>
      <c r="K72" s="76">
        <v>1448.68</v>
      </c>
      <c r="L72" s="76"/>
      <c r="M72" s="76">
        <v>1887.5</v>
      </c>
      <c r="N72" s="77"/>
      <c r="O72" s="76">
        <v>1816.96</v>
      </c>
      <c r="P72" s="76"/>
      <c r="Q72" s="76">
        <v>5057.91</v>
      </c>
      <c r="R72" s="77"/>
      <c r="S72" s="76">
        <v>2243.5500000000002</v>
      </c>
      <c r="T72" s="76"/>
      <c r="U72" s="76">
        <v>2937.58</v>
      </c>
      <c r="V72" s="77"/>
      <c r="W72" s="76">
        <v>2604.62</v>
      </c>
      <c r="X72" s="76"/>
      <c r="Y72" s="76">
        <v>3119.49</v>
      </c>
      <c r="Z72" s="77"/>
      <c r="AA72" s="76">
        <v>3022.92</v>
      </c>
      <c r="AB72" s="76"/>
      <c r="AC72" s="117">
        <f t="shared" ref="AC72:AD72" si="14">AA72+Y72+W72+U72+S72+Q72+O72+M72+K72+I72+G72+E72</f>
        <v>36977.279999999999</v>
      </c>
      <c r="AD72" s="117">
        <f t="shared" si="14"/>
        <v>0</v>
      </c>
      <c r="AE72" s="76"/>
      <c r="AF72" s="76"/>
      <c r="AG72" s="76"/>
      <c r="AH72" s="77"/>
    </row>
    <row r="73" spans="1:35">
      <c r="A73" s="71">
        <v>33</v>
      </c>
      <c r="B73" s="72" t="s">
        <v>767</v>
      </c>
      <c r="C73" s="71" t="s">
        <v>768</v>
      </c>
      <c r="D73" s="71" t="s">
        <v>619</v>
      </c>
      <c r="E73" s="71"/>
      <c r="F73" s="72"/>
      <c r="G73" s="71"/>
      <c r="H73" s="71"/>
      <c r="I73" s="71"/>
      <c r="J73" s="72"/>
      <c r="K73" s="71"/>
      <c r="L73" s="71"/>
      <c r="M73" s="71"/>
      <c r="N73" s="72"/>
      <c r="O73" s="71"/>
      <c r="P73" s="71"/>
      <c r="Q73" s="71"/>
      <c r="R73" s="72"/>
      <c r="S73" s="71"/>
      <c r="T73" s="71"/>
      <c r="U73" s="71"/>
      <c r="V73" s="72"/>
      <c r="W73" s="71"/>
      <c r="X73" s="71"/>
      <c r="Y73" s="71"/>
      <c r="Z73" s="72"/>
      <c r="AA73" s="71"/>
      <c r="AB73" s="71"/>
      <c r="AC73" s="71"/>
      <c r="AD73" s="72"/>
      <c r="AE73" s="71"/>
      <c r="AF73" s="71"/>
      <c r="AG73" s="71"/>
      <c r="AH73" s="72"/>
    </row>
    <row r="74" spans="1:35">
      <c r="A74" s="571">
        <v>34</v>
      </c>
      <c r="B74" s="580" t="s">
        <v>774</v>
      </c>
      <c r="C74" s="571" t="s">
        <v>775</v>
      </c>
      <c r="D74" s="76" t="s">
        <v>2224</v>
      </c>
      <c r="E74" s="117">
        <v>1470.508</v>
      </c>
      <c r="F74" s="154">
        <v>14047527.640000001</v>
      </c>
      <c r="G74" s="117">
        <v>1396.136</v>
      </c>
      <c r="H74" s="117">
        <v>13645023.5</v>
      </c>
      <c r="I74" s="117">
        <v>1292.1320000000001</v>
      </c>
      <c r="J74" s="154">
        <v>12843766.24</v>
      </c>
      <c r="K74" s="117">
        <v>1584.867</v>
      </c>
      <c r="L74" s="117">
        <v>16227484.9</v>
      </c>
      <c r="M74" s="117">
        <v>1576.7529999999999</v>
      </c>
      <c r="N74" s="154">
        <v>16069162.85</v>
      </c>
      <c r="O74" s="117">
        <v>601.35199999999998</v>
      </c>
      <c r="P74" s="117">
        <v>5642431.6900000004</v>
      </c>
      <c r="Q74" s="117">
        <v>2350.4760000000001</v>
      </c>
      <c r="R74" s="154">
        <v>21319334.43</v>
      </c>
      <c r="S74" s="117">
        <v>996.524</v>
      </c>
      <c r="T74" s="117">
        <v>7502908.9199999999</v>
      </c>
      <c r="U74" s="117">
        <v>1625.2329999999999</v>
      </c>
      <c r="V74" s="154">
        <v>12962240.82</v>
      </c>
      <c r="W74" s="117">
        <v>1465.8820000000001</v>
      </c>
      <c r="X74" s="117">
        <v>11336867.529999999</v>
      </c>
      <c r="Y74" s="117">
        <v>1786.539</v>
      </c>
      <c r="Z74" s="154">
        <v>13613873.82</v>
      </c>
      <c r="AA74" s="117">
        <v>1460.633</v>
      </c>
      <c r="AB74" s="117">
        <v>11727247.07</v>
      </c>
      <c r="AC74" s="117">
        <f t="shared" ref="AC74:AD76" si="15">AA74+Y74+W74+U74+S74+Q74+O74+M74+K74+I74+G74+E74</f>
        <v>17607.035000000003</v>
      </c>
      <c r="AD74" s="117">
        <f t="shared" si="15"/>
        <v>156937869.40999997</v>
      </c>
      <c r="AE74" s="76"/>
      <c r="AF74" s="76"/>
      <c r="AG74" s="76"/>
      <c r="AH74" s="77"/>
    </row>
    <row r="75" spans="1:35">
      <c r="A75" s="572"/>
      <c r="B75" s="581"/>
      <c r="C75" s="572"/>
      <c r="D75" s="76" t="s">
        <v>2242</v>
      </c>
      <c r="E75" s="117">
        <v>0</v>
      </c>
      <c r="F75" s="154"/>
      <c r="G75" s="117">
        <v>0</v>
      </c>
      <c r="H75" s="117"/>
      <c r="I75" s="117">
        <v>0</v>
      </c>
      <c r="J75" s="154"/>
      <c r="K75" s="117">
        <v>0</v>
      </c>
      <c r="L75" s="117"/>
      <c r="M75" s="117">
        <v>0</v>
      </c>
      <c r="N75" s="154"/>
      <c r="O75" s="117">
        <v>0</v>
      </c>
      <c r="P75" s="117"/>
      <c r="Q75" s="117">
        <v>1750.26</v>
      </c>
      <c r="R75" s="154">
        <v>1389076.35</v>
      </c>
      <c r="S75" s="117">
        <v>1867.9469999999999</v>
      </c>
      <c r="T75" s="117">
        <v>1230584.81</v>
      </c>
      <c r="U75" s="117">
        <v>1028.6099999999999</v>
      </c>
      <c r="V75" s="154">
        <v>717836.06099999999</v>
      </c>
      <c r="W75" s="117">
        <v>0</v>
      </c>
      <c r="X75" s="117"/>
      <c r="Y75" s="117">
        <v>2364.5369999999998</v>
      </c>
      <c r="Z75" s="154">
        <v>1576602.335</v>
      </c>
      <c r="AA75" s="117">
        <v>663.37900000000002</v>
      </c>
      <c r="AB75" s="117">
        <v>466043.64899999998</v>
      </c>
      <c r="AC75" s="117">
        <f t="shared" si="15"/>
        <v>7674.7330000000002</v>
      </c>
      <c r="AD75" s="117">
        <f t="shared" si="15"/>
        <v>5380143.2050000001</v>
      </c>
      <c r="AE75" s="76"/>
      <c r="AF75" s="76"/>
      <c r="AG75" s="76"/>
      <c r="AH75" s="77"/>
    </row>
    <row r="76" spans="1:35">
      <c r="A76" s="573"/>
      <c r="B76" s="582"/>
      <c r="C76" s="573"/>
      <c r="D76" s="76" t="s">
        <v>2228</v>
      </c>
      <c r="E76" s="117">
        <v>0</v>
      </c>
      <c r="F76" s="154"/>
      <c r="G76" s="117">
        <v>197.06800000000001</v>
      </c>
      <c r="H76" s="117">
        <v>2904762.62</v>
      </c>
      <c r="I76" s="117">
        <v>24.14</v>
      </c>
      <c r="J76" s="154">
        <v>361386.18</v>
      </c>
      <c r="K76" s="117">
        <v>121.711</v>
      </c>
      <c r="L76" s="117">
        <v>2055902.04</v>
      </c>
      <c r="M76" s="117">
        <v>282.87799999999999</v>
      </c>
      <c r="N76" s="154">
        <v>4843861.4400000004</v>
      </c>
      <c r="O76" s="117">
        <v>0</v>
      </c>
      <c r="P76" s="117"/>
      <c r="Q76" s="117">
        <v>0</v>
      </c>
      <c r="R76" s="154"/>
      <c r="S76" s="117">
        <v>0</v>
      </c>
      <c r="T76" s="117"/>
      <c r="U76" s="117">
        <v>0</v>
      </c>
      <c r="V76" s="154"/>
      <c r="W76" s="117">
        <v>33.625999999999998</v>
      </c>
      <c r="X76" s="117">
        <v>291328.59999999998</v>
      </c>
      <c r="Y76" s="117">
        <v>396.488</v>
      </c>
      <c r="Z76" s="154">
        <v>3434751.75</v>
      </c>
      <c r="AA76" s="117">
        <v>0</v>
      </c>
      <c r="AB76" s="117"/>
      <c r="AC76" s="117">
        <f t="shared" si="15"/>
        <v>1055.9110000000001</v>
      </c>
      <c r="AD76" s="117">
        <f t="shared" si="15"/>
        <v>13891992.630000003</v>
      </c>
      <c r="AE76" s="76"/>
      <c r="AF76" s="76"/>
      <c r="AG76" s="76"/>
      <c r="AH76" s="77"/>
    </row>
    <row r="77" spans="1:35">
      <c r="A77" s="71">
        <v>36</v>
      </c>
      <c r="B77" s="72" t="s">
        <v>778</v>
      </c>
      <c r="C77" s="71" t="s">
        <v>779</v>
      </c>
      <c r="D77" s="71" t="s">
        <v>619</v>
      </c>
      <c r="E77" s="71"/>
      <c r="F77" s="72"/>
      <c r="G77" s="71"/>
      <c r="H77" s="71"/>
      <c r="I77" s="71"/>
      <c r="J77" s="72"/>
      <c r="K77" s="71"/>
      <c r="L77" s="71"/>
      <c r="M77" s="71"/>
      <c r="N77" s="72"/>
      <c r="O77" s="71"/>
      <c r="P77" s="71"/>
      <c r="Q77" s="71"/>
      <c r="R77" s="72"/>
      <c r="S77" s="71"/>
      <c r="T77" s="71"/>
      <c r="U77" s="71"/>
      <c r="V77" s="72"/>
      <c r="W77" s="71"/>
      <c r="X77" s="71"/>
      <c r="Y77" s="71"/>
      <c r="Z77" s="72"/>
      <c r="AA77" s="71"/>
      <c r="AB77" s="71"/>
      <c r="AC77" s="71"/>
      <c r="AD77" s="72"/>
      <c r="AE77" s="71"/>
      <c r="AF77" s="71"/>
      <c r="AG77" s="71"/>
      <c r="AH77" s="72"/>
    </row>
    <row r="78" spans="1:35">
      <c r="A78" s="76">
        <v>37</v>
      </c>
      <c r="B78" s="77" t="s">
        <v>783</v>
      </c>
      <c r="C78" s="76" t="s">
        <v>784</v>
      </c>
      <c r="D78" s="76" t="s">
        <v>619</v>
      </c>
      <c r="E78" s="76"/>
      <c r="F78" s="77"/>
      <c r="G78" s="76"/>
      <c r="H78" s="76"/>
      <c r="I78" s="76"/>
      <c r="J78" s="77"/>
      <c r="K78" s="76"/>
      <c r="L78" s="76"/>
      <c r="M78" s="76"/>
      <c r="N78" s="77"/>
      <c r="O78" s="76"/>
      <c r="P78" s="76"/>
      <c r="Q78" s="76"/>
      <c r="R78" s="77"/>
      <c r="S78" s="76"/>
      <c r="T78" s="76"/>
      <c r="U78" s="76"/>
      <c r="V78" s="77"/>
      <c r="W78" s="76"/>
      <c r="X78" s="76"/>
      <c r="Y78" s="76"/>
      <c r="Z78" s="77"/>
      <c r="AA78" s="76"/>
      <c r="AB78" s="76"/>
      <c r="AC78" s="76"/>
      <c r="AD78" s="77"/>
      <c r="AE78" s="76"/>
      <c r="AF78" s="76"/>
      <c r="AG78" s="76"/>
      <c r="AH78" s="77"/>
    </row>
    <row r="79" spans="1:35">
      <c r="A79" s="576">
        <v>38</v>
      </c>
      <c r="B79" s="576" t="s">
        <v>786</v>
      </c>
      <c r="C79" s="576" t="s">
        <v>787</v>
      </c>
      <c r="D79" s="71" t="s">
        <v>2272</v>
      </c>
      <c r="E79" s="71">
        <v>1087.8599999999999</v>
      </c>
      <c r="F79" s="72">
        <v>9774.5</v>
      </c>
      <c r="G79" s="71">
        <v>1236</v>
      </c>
      <c r="H79" s="71">
        <v>9940</v>
      </c>
      <c r="I79" s="71">
        <v>2387.1999999999998</v>
      </c>
      <c r="J79" s="72">
        <v>10236.700000000001</v>
      </c>
      <c r="K79" s="71">
        <v>877.66</v>
      </c>
      <c r="L79" s="71">
        <v>10182.299999999999</v>
      </c>
      <c r="M79" s="71">
        <v>577.21</v>
      </c>
      <c r="N79" s="72">
        <v>9362.1</v>
      </c>
      <c r="O79" s="71">
        <v>2313.12</v>
      </c>
      <c r="P79" s="71">
        <v>9032</v>
      </c>
      <c r="Q79" s="71">
        <v>1059.1600000000001</v>
      </c>
      <c r="R79" s="72">
        <v>7529.1</v>
      </c>
      <c r="S79" s="71">
        <v>2138.3000000000002</v>
      </c>
      <c r="T79" s="71">
        <v>7960.2</v>
      </c>
      <c r="U79" s="71">
        <v>1134.77</v>
      </c>
      <c r="V79" s="72">
        <v>7733.8</v>
      </c>
      <c r="W79" s="71">
        <v>3999.1889999999999</v>
      </c>
      <c r="X79" s="71">
        <v>7620.2</v>
      </c>
      <c r="Y79" s="71">
        <v>2634.48</v>
      </c>
      <c r="Z79" s="72">
        <v>8028.9</v>
      </c>
      <c r="AA79" s="71">
        <v>2547.06</v>
      </c>
      <c r="AB79" s="71">
        <v>8366.7999999999993</v>
      </c>
      <c r="AC79" s="116">
        <f t="shared" ref="AC79:AD80" si="16">AA79+Y79+W79+U79+S79+Q79+O79+M79+K79+I79+G79+E79</f>
        <v>21992.008999999998</v>
      </c>
      <c r="AD79" s="116">
        <f t="shared" si="16"/>
        <v>105766.59999999999</v>
      </c>
      <c r="AE79" s="71"/>
      <c r="AF79" s="71"/>
      <c r="AG79" s="71" t="s">
        <v>1091</v>
      </c>
      <c r="AH79" s="72"/>
    </row>
    <row r="80" spans="1:35">
      <c r="A80" s="577"/>
      <c r="B80" s="577"/>
      <c r="C80" s="577"/>
      <c r="D80" s="71" t="s">
        <v>2273</v>
      </c>
      <c r="E80" s="71">
        <v>1351.91</v>
      </c>
      <c r="F80" s="72">
        <v>1558.806</v>
      </c>
      <c r="G80" s="71">
        <v>1147</v>
      </c>
      <c r="H80" s="71">
        <v>1700.5150000000001</v>
      </c>
      <c r="I80" s="71">
        <v>1366.2</v>
      </c>
      <c r="J80" s="72">
        <v>1133.6769999999999</v>
      </c>
      <c r="K80" s="71">
        <v>947</v>
      </c>
      <c r="L80" s="71">
        <v>1149.548</v>
      </c>
      <c r="M80" s="71">
        <v>946.93</v>
      </c>
      <c r="N80" s="72">
        <v>1105.335</v>
      </c>
      <c r="O80" s="71">
        <v>780.33</v>
      </c>
      <c r="P80" s="71">
        <v>1055.453</v>
      </c>
      <c r="Q80" s="71">
        <v>836.28</v>
      </c>
      <c r="R80" s="72">
        <v>1033.913</v>
      </c>
      <c r="S80" s="71">
        <v>670</v>
      </c>
      <c r="T80" s="71">
        <v>947.75400000000002</v>
      </c>
      <c r="U80" s="71">
        <v>857</v>
      </c>
      <c r="V80" s="72">
        <v>1061.0989999999999</v>
      </c>
      <c r="W80" s="71">
        <v>32.479999999999997</v>
      </c>
      <c r="X80" s="71">
        <v>577.80489999999998</v>
      </c>
      <c r="Y80" s="71">
        <v>32.479999999999997</v>
      </c>
      <c r="Z80" s="72">
        <v>577.80489999999998</v>
      </c>
      <c r="AA80" s="71">
        <v>32.479999999999997</v>
      </c>
      <c r="AB80" s="71">
        <v>1066.7170000000001</v>
      </c>
      <c r="AC80" s="116">
        <f t="shared" si="16"/>
        <v>9000.09</v>
      </c>
      <c r="AD80" s="116">
        <f t="shared" si="16"/>
        <v>12968.426799999999</v>
      </c>
      <c r="AE80" s="71"/>
      <c r="AF80" s="71"/>
      <c r="AG80" s="71" t="s">
        <v>1091</v>
      </c>
      <c r="AH80" s="72"/>
    </row>
    <row r="81" spans="1:34">
      <c r="A81" s="76">
        <v>39</v>
      </c>
      <c r="B81" s="77" t="s">
        <v>549</v>
      </c>
      <c r="C81" s="76" t="s">
        <v>789</v>
      </c>
      <c r="D81" s="76" t="s">
        <v>619</v>
      </c>
      <c r="E81" s="76"/>
      <c r="F81" s="77"/>
      <c r="G81" s="76"/>
      <c r="H81" s="76"/>
      <c r="I81" s="76"/>
      <c r="J81" s="77"/>
      <c r="K81" s="76"/>
      <c r="L81" s="76"/>
      <c r="M81" s="76"/>
      <c r="N81" s="77"/>
      <c r="O81" s="76"/>
      <c r="P81" s="76"/>
      <c r="Q81" s="76"/>
      <c r="R81" s="77"/>
      <c r="S81" s="76"/>
      <c r="T81" s="76"/>
      <c r="U81" s="76"/>
      <c r="V81" s="77"/>
      <c r="W81" s="76"/>
      <c r="X81" s="76"/>
      <c r="Y81" s="76"/>
      <c r="Z81" s="77"/>
      <c r="AA81" s="76"/>
      <c r="AB81" s="76"/>
      <c r="AC81" s="76"/>
      <c r="AD81" s="77"/>
      <c r="AE81" s="76"/>
      <c r="AF81" s="76"/>
      <c r="AG81" s="76"/>
      <c r="AH81" s="77"/>
    </row>
    <row r="82" spans="1:34">
      <c r="A82" s="71">
        <v>41</v>
      </c>
      <c r="B82" s="72" t="s">
        <v>227</v>
      </c>
      <c r="C82" s="71" t="s">
        <v>790</v>
      </c>
      <c r="D82" s="71" t="s">
        <v>2232</v>
      </c>
      <c r="E82" s="87">
        <v>5078.1499999999996</v>
      </c>
      <c r="F82" s="155">
        <v>49973773.140000001</v>
      </c>
      <c r="G82" s="87">
        <v>5736.8379999999997</v>
      </c>
      <c r="H82" s="87">
        <v>55111421.869999997</v>
      </c>
      <c r="I82" s="87">
        <v>5063.1490000000003</v>
      </c>
      <c r="J82" s="155">
        <v>53368054.350000001</v>
      </c>
      <c r="K82" s="87">
        <v>5406.1469999999999</v>
      </c>
      <c r="L82" s="87">
        <v>50447559.549999997</v>
      </c>
      <c r="M82" s="87">
        <v>4330.9210000000003</v>
      </c>
      <c r="N82" s="155">
        <v>25080531.140000001</v>
      </c>
      <c r="O82" s="87">
        <v>5631.1760000000004</v>
      </c>
      <c r="P82" s="87">
        <v>41458570.109999999</v>
      </c>
      <c r="Q82" s="87">
        <v>7080.7079999999996</v>
      </c>
      <c r="R82" s="155">
        <v>26539119.48</v>
      </c>
      <c r="S82" s="87">
        <v>1515.9090000000001</v>
      </c>
      <c r="T82" s="87">
        <v>17259562.190000001</v>
      </c>
      <c r="U82" s="87">
        <v>8788.23</v>
      </c>
      <c r="V82" s="155">
        <v>58679253.810000002</v>
      </c>
      <c r="W82" s="87">
        <v>7108.2820000000002</v>
      </c>
      <c r="X82" s="87">
        <v>47486881.770000003</v>
      </c>
      <c r="Y82" s="87">
        <v>5777.7780000000002</v>
      </c>
      <c r="Z82" s="155">
        <v>50301230.350000001</v>
      </c>
      <c r="AA82" s="87">
        <v>7499.23</v>
      </c>
      <c r="AB82" s="87">
        <v>66331456.579999998</v>
      </c>
      <c r="AC82" s="116">
        <f t="shared" ref="AC82:AD84" si="17">AA82+Y82+W82+U82+S82+Q82+O82+M82+K82+I82+G82+E82</f>
        <v>69016.517999999996</v>
      </c>
      <c r="AD82" s="116">
        <f t="shared" si="17"/>
        <v>542037414.34000003</v>
      </c>
      <c r="AE82" s="71"/>
      <c r="AF82" s="71"/>
      <c r="AG82" s="71"/>
      <c r="AH82" s="72"/>
    </row>
    <row r="83" spans="1:34">
      <c r="A83" s="571">
        <v>42</v>
      </c>
      <c r="B83" s="571" t="s">
        <v>792</v>
      </c>
      <c r="C83" s="571" t="s">
        <v>793</v>
      </c>
      <c r="D83" s="76" t="s">
        <v>2275</v>
      </c>
      <c r="E83" s="117">
        <v>379</v>
      </c>
      <c r="F83" s="154">
        <v>1166252</v>
      </c>
      <c r="G83" s="117">
        <v>0</v>
      </c>
      <c r="H83" s="117">
        <v>0</v>
      </c>
      <c r="I83" s="117">
        <v>574</v>
      </c>
      <c r="J83" s="154">
        <v>1825160</v>
      </c>
      <c r="K83" s="117">
        <v>156</v>
      </c>
      <c r="L83" s="117">
        <v>554520</v>
      </c>
      <c r="M83" s="117">
        <v>0</v>
      </c>
      <c r="N83" s="154">
        <v>0</v>
      </c>
      <c r="O83" s="117">
        <v>0</v>
      </c>
      <c r="P83" s="117">
        <v>0</v>
      </c>
      <c r="Q83" s="117">
        <v>0</v>
      </c>
      <c r="R83" s="154">
        <v>0</v>
      </c>
      <c r="S83" s="117">
        <v>0</v>
      </c>
      <c r="T83" s="117">
        <v>0</v>
      </c>
      <c r="U83" s="117">
        <v>0</v>
      </c>
      <c r="V83" s="154">
        <v>0</v>
      </c>
      <c r="W83" s="117">
        <v>825</v>
      </c>
      <c r="X83" s="117">
        <v>1907910</v>
      </c>
      <c r="Y83" s="117">
        <v>838</v>
      </c>
      <c r="Z83" s="154">
        <v>1934942</v>
      </c>
      <c r="AA83" s="117">
        <v>653</v>
      </c>
      <c r="AB83" s="117">
        <v>1511465.36</v>
      </c>
      <c r="AC83" s="117">
        <f t="shared" si="17"/>
        <v>3425</v>
      </c>
      <c r="AD83" s="117">
        <f t="shared" si="17"/>
        <v>8900249.3599999994</v>
      </c>
      <c r="AE83" s="76"/>
      <c r="AF83" s="76"/>
      <c r="AG83" s="76"/>
      <c r="AH83" s="77"/>
    </row>
    <row r="84" spans="1:34">
      <c r="A84" s="573"/>
      <c r="B84" s="573"/>
      <c r="C84" s="573"/>
      <c r="D84" s="76" t="s">
        <v>2232</v>
      </c>
      <c r="E84" s="117">
        <v>493.06</v>
      </c>
      <c r="F84" s="154">
        <v>2854902.97</v>
      </c>
      <c r="G84" s="117">
        <v>2116.39</v>
      </c>
      <c r="H84" s="117">
        <v>12393577.93</v>
      </c>
      <c r="I84" s="117">
        <v>1458.05</v>
      </c>
      <c r="J84" s="154">
        <v>8702947.0899999999</v>
      </c>
      <c r="K84" s="117">
        <v>414.95</v>
      </c>
      <c r="L84" s="117">
        <v>2561651.13</v>
      </c>
      <c r="M84" s="117">
        <v>957.01</v>
      </c>
      <c r="N84" s="154">
        <v>5880597.4699999997</v>
      </c>
      <c r="O84" s="117">
        <v>1989.11</v>
      </c>
      <c r="P84" s="117">
        <v>11968226.35</v>
      </c>
      <c r="Q84" s="117">
        <v>1295.8</v>
      </c>
      <c r="R84" s="154">
        <v>7468456.0800000001</v>
      </c>
      <c r="S84" s="117">
        <v>1441.2</v>
      </c>
      <c r="T84" s="117">
        <v>7138775.4699999997</v>
      </c>
      <c r="U84" s="117">
        <v>1505.133</v>
      </c>
      <c r="V84" s="154">
        <v>7492500.1499999985</v>
      </c>
      <c r="W84" s="117">
        <v>1521.39</v>
      </c>
      <c r="X84" s="117">
        <v>7464248.1900000004</v>
      </c>
      <c r="Y84" s="117">
        <v>1245.6600000000001</v>
      </c>
      <c r="Z84" s="154">
        <v>6007804.6200000001</v>
      </c>
      <c r="AA84" s="117">
        <v>1132.0899999999999</v>
      </c>
      <c r="AB84" s="117">
        <v>5630711.2300000004</v>
      </c>
      <c r="AC84" s="117">
        <f t="shared" si="17"/>
        <v>15569.842999999999</v>
      </c>
      <c r="AD84" s="117">
        <f t="shared" si="17"/>
        <v>85564398.680000007</v>
      </c>
      <c r="AE84" s="76"/>
      <c r="AF84" s="76"/>
      <c r="AG84" s="76"/>
      <c r="AH84" s="77"/>
    </row>
    <row r="85" spans="1:34">
      <c r="A85" s="71">
        <v>45</v>
      </c>
      <c r="B85" s="72" t="s">
        <v>801</v>
      </c>
      <c r="C85" s="71" t="s">
        <v>802</v>
      </c>
      <c r="D85" s="71" t="s">
        <v>619</v>
      </c>
      <c r="E85" s="71"/>
      <c r="F85" s="72"/>
      <c r="G85" s="71"/>
      <c r="H85" s="71"/>
      <c r="I85" s="71"/>
      <c r="J85" s="72"/>
      <c r="K85" s="71"/>
      <c r="L85" s="71"/>
      <c r="M85" s="71"/>
      <c r="N85" s="72"/>
      <c r="O85" s="71"/>
      <c r="P85" s="71"/>
      <c r="Q85" s="71"/>
      <c r="R85" s="72"/>
      <c r="S85" s="71"/>
      <c r="T85" s="71"/>
      <c r="U85" s="71"/>
      <c r="V85" s="72"/>
      <c r="W85" s="71"/>
      <c r="X85" s="71"/>
      <c r="Y85" s="71"/>
      <c r="Z85" s="72"/>
      <c r="AA85" s="71"/>
      <c r="AB85" s="71"/>
      <c r="AC85" s="71"/>
      <c r="AD85" s="72"/>
      <c r="AE85" s="71"/>
      <c r="AF85" s="71"/>
      <c r="AG85" s="71"/>
      <c r="AH85" s="72"/>
    </row>
    <row r="86" spans="1:34">
      <c r="A86" s="76">
        <v>46</v>
      </c>
      <c r="B86" s="77" t="s">
        <v>176</v>
      </c>
      <c r="C86" s="76" t="s">
        <v>804</v>
      </c>
      <c r="D86" s="76" t="s">
        <v>619</v>
      </c>
      <c r="E86" s="76"/>
      <c r="F86" s="77"/>
      <c r="G86" s="76"/>
      <c r="H86" s="76"/>
      <c r="I86" s="76"/>
      <c r="J86" s="77"/>
      <c r="K86" s="76"/>
      <c r="L86" s="76"/>
      <c r="M86" s="76"/>
      <c r="N86" s="77"/>
      <c r="O86" s="76"/>
      <c r="P86" s="76"/>
      <c r="Q86" s="76"/>
      <c r="R86" s="77"/>
      <c r="S86" s="76"/>
      <c r="T86" s="76"/>
      <c r="U86" s="76"/>
      <c r="V86" s="77"/>
      <c r="W86" s="76"/>
      <c r="X86" s="76"/>
      <c r="Y86" s="76"/>
      <c r="Z86" s="77"/>
      <c r="AA86" s="76"/>
      <c r="AB86" s="76"/>
      <c r="AC86" s="76"/>
      <c r="AD86" s="77"/>
      <c r="AE86" s="76"/>
      <c r="AF86" s="76"/>
      <c r="AG86" s="76"/>
      <c r="AH86" s="77"/>
    </row>
    <row r="87" spans="1:34">
      <c r="A87" s="71">
        <v>47</v>
      </c>
      <c r="B87" s="72" t="s">
        <v>806</v>
      </c>
      <c r="C87" s="71" t="s">
        <v>807</v>
      </c>
      <c r="D87" s="71" t="s">
        <v>2228</v>
      </c>
      <c r="E87" s="87">
        <v>811.78</v>
      </c>
      <c r="F87" s="155">
        <v>7526437.6286575701</v>
      </c>
      <c r="G87" s="87">
        <v>1280.27</v>
      </c>
      <c r="H87" s="87">
        <v>12083987.689999999</v>
      </c>
      <c r="I87" s="87">
        <v>1125.1199999999999</v>
      </c>
      <c r="J87" s="155">
        <v>11078108.546627199</v>
      </c>
      <c r="K87" s="87">
        <v>1262.05</v>
      </c>
      <c r="L87" s="87">
        <v>12272100.225987099</v>
      </c>
      <c r="M87" s="87">
        <v>882.11</v>
      </c>
      <c r="N87" s="155">
        <v>7934842.4969189595</v>
      </c>
      <c r="O87" s="87">
        <v>760.99699999999996</v>
      </c>
      <c r="P87" s="87">
        <v>6450944.0411175797</v>
      </c>
      <c r="Q87" s="87">
        <v>1221.7850000000001</v>
      </c>
      <c r="R87" s="155">
        <v>9131905.5754644405</v>
      </c>
      <c r="S87" s="87">
        <v>1866.241</v>
      </c>
      <c r="T87" s="87">
        <v>13835494.5008785</v>
      </c>
      <c r="U87" s="87">
        <v>1183.0039999999999</v>
      </c>
      <c r="V87" s="155">
        <v>8638699.4080187697</v>
      </c>
      <c r="W87" s="87">
        <v>1651.2070000000001</v>
      </c>
      <c r="X87" s="87">
        <v>11660513.93</v>
      </c>
      <c r="Y87" s="87">
        <v>1210.8620000000001</v>
      </c>
      <c r="Z87" s="155">
        <v>8876964.9600000009</v>
      </c>
      <c r="AA87" s="87">
        <v>1321.6890000000001</v>
      </c>
      <c r="AB87" s="87">
        <v>9452634.3399999999</v>
      </c>
      <c r="AC87" s="116">
        <f t="shared" ref="AC87:AD87" si="18">AA87+Y87+W87+U87+S87+Q87+O87+M87+K87+I87+G87+E87</f>
        <v>14577.115</v>
      </c>
      <c r="AD87" s="116">
        <f t="shared" si="18"/>
        <v>118942633.34367011</v>
      </c>
      <c r="AE87" s="71"/>
      <c r="AF87" s="71"/>
      <c r="AG87" s="71"/>
      <c r="AH87" s="72"/>
    </row>
    <row r="88" spans="1:34">
      <c r="A88" s="76">
        <v>48</v>
      </c>
      <c r="B88" s="77" t="s">
        <v>812</v>
      </c>
      <c r="C88" s="76" t="s">
        <v>813</v>
      </c>
      <c r="D88" s="76" t="s">
        <v>619</v>
      </c>
      <c r="E88" s="76"/>
      <c r="F88" s="77"/>
      <c r="G88" s="76"/>
      <c r="H88" s="76"/>
      <c r="I88" s="76"/>
      <c r="J88" s="77"/>
      <c r="K88" s="76"/>
      <c r="L88" s="76"/>
      <c r="M88" s="76"/>
      <c r="N88" s="77"/>
      <c r="O88" s="76"/>
      <c r="P88" s="76"/>
      <c r="Q88" s="76"/>
      <c r="R88" s="77"/>
      <c r="S88" s="76"/>
      <c r="T88" s="76"/>
      <c r="U88" s="76"/>
      <c r="V88" s="77"/>
      <c r="W88" s="76"/>
      <c r="X88" s="76"/>
      <c r="Y88" s="76"/>
      <c r="Z88" s="77"/>
      <c r="AA88" s="76"/>
      <c r="AB88" s="76"/>
      <c r="AC88" s="76"/>
      <c r="AD88" s="77"/>
      <c r="AE88" s="76"/>
      <c r="AF88" s="76"/>
      <c r="AG88" s="76"/>
      <c r="AH88" s="77"/>
    </row>
    <row r="89" spans="1:34">
      <c r="A89" s="71">
        <v>51</v>
      </c>
      <c r="B89" s="72" t="s">
        <v>816</v>
      </c>
      <c r="C89" s="71" t="s">
        <v>817</v>
      </c>
      <c r="D89" s="71" t="s">
        <v>2228</v>
      </c>
      <c r="E89" s="87">
        <v>1445.079</v>
      </c>
      <c r="F89" s="155">
        <v>14386050.460000001</v>
      </c>
      <c r="G89" s="87">
        <v>801.24</v>
      </c>
      <c r="H89" s="87">
        <v>7830518.5199999996</v>
      </c>
      <c r="I89" s="87">
        <v>1066.05</v>
      </c>
      <c r="J89" s="155">
        <v>10019803.949999999</v>
      </c>
      <c r="K89" s="87">
        <v>803.51400000000001</v>
      </c>
      <c r="L89" s="87">
        <v>8227179.8499999996</v>
      </c>
      <c r="M89" s="87">
        <v>1347.7349999999999</v>
      </c>
      <c r="N89" s="155">
        <v>13734767.390000001</v>
      </c>
      <c r="O89" s="87">
        <v>1299.8789999999999</v>
      </c>
      <c r="P89" s="87">
        <v>12195464.779999999</v>
      </c>
      <c r="Q89" s="87">
        <v>1099.9480000000001</v>
      </c>
      <c r="R89" s="155">
        <v>9523028.3599999994</v>
      </c>
      <c r="S89" s="87">
        <v>1010.659</v>
      </c>
      <c r="T89" s="87">
        <v>8060005.5300000003</v>
      </c>
      <c r="U89" s="87">
        <v>1007.404</v>
      </c>
      <c r="V89" s="155">
        <v>7790255.1299999999</v>
      </c>
      <c r="W89" s="87">
        <v>1012.75</v>
      </c>
      <c r="X89" s="87">
        <v>7718038.9199999999</v>
      </c>
      <c r="Y89" s="87">
        <v>1020.752</v>
      </c>
      <c r="Z89" s="155">
        <v>8194597.0599999996</v>
      </c>
      <c r="AA89" s="87"/>
      <c r="AB89" s="87"/>
      <c r="AC89" s="116">
        <f t="shared" ref="AC89:AD90" si="19">AA89+Y89+W89+U89+S89+Q89+O89+M89+K89+I89+G89+E89</f>
        <v>11915.009999999998</v>
      </c>
      <c r="AD89" s="116">
        <f t="shared" si="19"/>
        <v>107679709.94999999</v>
      </c>
      <c r="AE89" s="71"/>
      <c r="AF89" s="71"/>
      <c r="AG89" s="71"/>
      <c r="AH89" s="72"/>
    </row>
    <row r="90" spans="1:34">
      <c r="A90" s="76">
        <v>52</v>
      </c>
      <c r="B90" s="77" t="s">
        <v>818</v>
      </c>
      <c r="C90" s="76" t="s">
        <v>819</v>
      </c>
      <c r="D90" s="76" t="s">
        <v>2246</v>
      </c>
      <c r="E90" s="117">
        <v>8448</v>
      </c>
      <c r="F90" s="154">
        <v>14673910.919</v>
      </c>
      <c r="G90" s="117">
        <v>5120</v>
      </c>
      <c r="H90" s="117">
        <v>9436186.1483612079</v>
      </c>
      <c r="I90" s="117">
        <v>3584</v>
      </c>
      <c r="J90" s="154">
        <v>6589754.1500000004</v>
      </c>
      <c r="K90" s="117">
        <v>2304</v>
      </c>
      <c r="L90" s="117">
        <v>3232566.9949999992</v>
      </c>
      <c r="M90" s="117">
        <v>2304</v>
      </c>
      <c r="N90" s="154">
        <v>3631829.07</v>
      </c>
      <c r="O90" s="117">
        <v>2304</v>
      </c>
      <c r="P90" s="117">
        <v>3727716.28</v>
      </c>
      <c r="Q90" s="117">
        <v>2304</v>
      </c>
      <c r="R90" s="154">
        <v>2640728.4044999997</v>
      </c>
      <c r="S90" s="117">
        <v>3584</v>
      </c>
      <c r="T90" s="117">
        <v>4209797.8642743016</v>
      </c>
      <c r="U90" s="117">
        <v>3328</v>
      </c>
      <c r="V90" s="154">
        <v>4221087.6995000001</v>
      </c>
      <c r="W90" s="117">
        <v>768</v>
      </c>
      <c r="X90" s="117">
        <v>5661262.6993158422</v>
      </c>
      <c r="Y90" s="117">
        <v>3584</v>
      </c>
      <c r="Z90" s="154">
        <v>6088252.6500000004</v>
      </c>
      <c r="AA90" s="117">
        <v>1536</v>
      </c>
      <c r="AB90" s="117">
        <v>2562001.1797296586</v>
      </c>
      <c r="AC90" s="117">
        <f t="shared" si="19"/>
        <v>39168</v>
      </c>
      <c r="AD90" s="117">
        <f t="shared" si="19"/>
        <v>66675094.059681006</v>
      </c>
      <c r="AE90" s="76"/>
      <c r="AF90" s="76" t="s">
        <v>2316</v>
      </c>
      <c r="AG90" s="76" t="s">
        <v>2317</v>
      </c>
      <c r="AH90" s="77" t="s">
        <v>2318</v>
      </c>
    </row>
    <row r="91" spans="1:34">
      <c r="A91" s="71">
        <v>53</v>
      </c>
      <c r="B91" s="72" t="s">
        <v>175</v>
      </c>
      <c r="C91" s="71" t="s">
        <v>824</v>
      </c>
      <c r="D91" s="71" t="s">
        <v>619</v>
      </c>
      <c r="E91" s="71"/>
      <c r="F91" s="72"/>
      <c r="G91" s="71"/>
      <c r="H91" s="71"/>
      <c r="I91" s="71"/>
      <c r="J91" s="72"/>
      <c r="K91" s="71"/>
      <c r="L91" s="71"/>
      <c r="M91" s="71"/>
      <c r="N91" s="72"/>
      <c r="O91" s="71"/>
      <c r="P91" s="71"/>
      <c r="Q91" s="71"/>
      <c r="R91" s="72"/>
      <c r="S91" s="71"/>
      <c r="T91" s="71"/>
      <c r="U91" s="71"/>
      <c r="V91" s="72"/>
      <c r="W91" s="71"/>
      <c r="X91" s="71"/>
      <c r="Y91" s="71"/>
      <c r="Z91" s="72"/>
      <c r="AA91" s="71"/>
      <c r="AB91" s="71"/>
      <c r="AC91" s="71"/>
      <c r="AD91" s="72"/>
      <c r="AE91" s="71"/>
      <c r="AF91" s="71"/>
      <c r="AG91" s="71"/>
      <c r="AH91" s="72"/>
    </row>
    <row r="92" spans="1:34">
      <c r="A92" s="76">
        <v>54</v>
      </c>
      <c r="B92" s="77" t="s">
        <v>564</v>
      </c>
      <c r="C92" s="76" t="s">
        <v>562</v>
      </c>
      <c r="D92" s="76" t="s">
        <v>619</v>
      </c>
      <c r="E92" s="76"/>
      <c r="F92" s="77"/>
      <c r="G92" s="76"/>
      <c r="H92" s="76"/>
      <c r="I92" s="76"/>
      <c r="J92" s="77"/>
      <c r="K92" s="76"/>
      <c r="L92" s="76"/>
      <c r="M92" s="76"/>
      <c r="N92" s="77"/>
      <c r="O92" s="76"/>
      <c r="P92" s="76"/>
      <c r="Q92" s="76"/>
      <c r="R92" s="77"/>
      <c r="S92" s="76"/>
      <c r="T92" s="76"/>
      <c r="U92" s="76"/>
      <c r="V92" s="77"/>
      <c r="W92" s="76"/>
      <c r="X92" s="76"/>
      <c r="Y92" s="76"/>
      <c r="Z92" s="77"/>
      <c r="AA92" s="76"/>
      <c r="AB92" s="76"/>
      <c r="AC92" s="76"/>
      <c r="AD92" s="77"/>
      <c r="AE92" s="76"/>
      <c r="AF92" s="76"/>
      <c r="AG92" s="76"/>
      <c r="AH92" s="77"/>
    </row>
    <row r="93" spans="1:34">
      <c r="A93" s="71">
        <v>55</v>
      </c>
      <c r="B93" s="72" t="s">
        <v>827</v>
      </c>
      <c r="C93" s="71" t="s">
        <v>828</v>
      </c>
      <c r="D93" s="71" t="s">
        <v>2228</v>
      </c>
      <c r="E93" s="87">
        <v>500.988</v>
      </c>
      <c r="F93" s="155">
        <v>4785858.21</v>
      </c>
      <c r="G93" s="87">
        <v>910.98299999999995</v>
      </c>
      <c r="H93" s="87">
        <v>8886214.4499999993</v>
      </c>
      <c r="I93" s="87">
        <v>1189.954</v>
      </c>
      <c r="J93" s="155">
        <v>11724356.24</v>
      </c>
      <c r="K93" s="87">
        <v>762.97400000000005</v>
      </c>
      <c r="L93" s="87">
        <v>7685616.0099999998</v>
      </c>
      <c r="M93" s="87">
        <v>470.98599999999999</v>
      </c>
      <c r="N93" s="155">
        <v>4802822.68</v>
      </c>
      <c r="O93" s="87">
        <v>993.96699999999998</v>
      </c>
      <c r="P93" s="87">
        <v>9347318.3599999994</v>
      </c>
      <c r="Q93" s="87">
        <v>1048.9770000000001</v>
      </c>
      <c r="R93" s="155">
        <v>9569171.0399999991</v>
      </c>
      <c r="S93" s="87">
        <v>937.98</v>
      </c>
      <c r="T93" s="87">
        <v>7743296.4699999997</v>
      </c>
      <c r="U93" s="87">
        <v>1066.981</v>
      </c>
      <c r="V93" s="155">
        <v>8440885.4100000001</v>
      </c>
      <c r="W93" s="87">
        <v>773.98900000000003</v>
      </c>
      <c r="X93" s="87">
        <v>6021304.7699999996</v>
      </c>
      <c r="Y93" s="87">
        <v>895.98599999999999</v>
      </c>
      <c r="Z93" s="155">
        <v>6827637.3200000003</v>
      </c>
      <c r="AA93" s="87">
        <v>800.98099999999999</v>
      </c>
      <c r="AB93" s="87">
        <v>6345985.29</v>
      </c>
      <c r="AC93" s="116">
        <f t="shared" ref="AC93:AD97" si="20">AA93+Y93+W93+U93+S93+Q93+O93+M93+K93+I93+G93+E93</f>
        <v>10354.745999999999</v>
      </c>
      <c r="AD93" s="116">
        <f t="shared" si="20"/>
        <v>92180466.249999985</v>
      </c>
      <c r="AE93" s="71"/>
      <c r="AF93" s="71"/>
      <c r="AG93" s="71"/>
      <c r="AH93" s="72"/>
    </row>
    <row r="94" spans="1:34">
      <c r="A94" s="571">
        <v>56</v>
      </c>
      <c r="B94" s="571" t="s">
        <v>177</v>
      </c>
      <c r="C94" s="571" t="s">
        <v>832</v>
      </c>
      <c r="D94" s="76" t="s">
        <v>2295</v>
      </c>
      <c r="E94" s="117">
        <v>42.863999999999997</v>
      </c>
      <c r="F94" s="154">
        <v>208829</v>
      </c>
      <c r="G94" s="117">
        <v>40.008000000000003</v>
      </c>
      <c r="H94" s="117">
        <v>163633</v>
      </c>
      <c r="I94" s="117">
        <v>41.418999999999997</v>
      </c>
      <c r="J94" s="154">
        <v>183810</v>
      </c>
      <c r="K94" s="117">
        <v>40.085000000000001</v>
      </c>
      <c r="L94" s="117">
        <v>192002</v>
      </c>
      <c r="M94" s="117">
        <v>61.631</v>
      </c>
      <c r="N94" s="154">
        <v>300952</v>
      </c>
      <c r="O94" s="117">
        <v>35.345999999999997</v>
      </c>
      <c r="P94" s="117">
        <v>180665</v>
      </c>
      <c r="Q94" s="117">
        <v>60.226999999999997</v>
      </c>
      <c r="R94" s="154">
        <v>303693</v>
      </c>
      <c r="S94" s="117">
        <v>84.034999999999997</v>
      </c>
      <c r="T94" s="117">
        <v>431100</v>
      </c>
      <c r="U94" s="117">
        <v>228.93600000000001</v>
      </c>
      <c r="V94" s="154">
        <v>208774</v>
      </c>
      <c r="W94" s="117">
        <v>72.001999999999995</v>
      </c>
      <c r="X94" s="117">
        <v>342010.5</v>
      </c>
      <c r="Y94" s="117">
        <v>38.936</v>
      </c>
      <c r="Z94" s="154">
        <v>180272.99</v>
      </c>
      <c r="AA94" s="117">
        <v>62.164999999999999</v>
      </c>
      <c r="AB94" s="117">
        <v>283691.15000000002</v>
      </c>
      <c r="AC94" s="117">
        <f t="shared" si="20"/>
        <v>807.654</v>
      </c>
      <c r="AD94" s="117">
        <f t="shared" si="20"/>
        <v>2979432.64</v>
      </c>
      <c r="AE94" s="76"/>
      <c r="AF94" s="76"/>
      <c r="AG94" s="76"/>
      <c r="AH94" s="77"/>
    </row>
    <row r="95" spans="1:34">
      <c r="A95" s="572"/>
      <c r="B95" s="572"/>
      <c r="C95" s="572"/>
      <c r="D95" s="76" t="s">
        <v>2319</v>
      </c>
      <c r="E95" s="117">
        <v>234</v>
      </c>
      <c r="F95" s="154">
        <v>198660</v>
      </c>
      <c r="G95" s="117">
        <v>260</v>
      </c>
      <c r="H95" s="117">
        <v>2388100</v>
      </c>
      <c r="I95" s="117">
        <v>182</v>
      </c>
      <c r="J95" s="154">
        <v>1470740</v>
      </c>
      <c r="K95" s="117">
        <v>182</v>
      </c>
      <c r="L95" s="117">
        <v>1391260</v>
      </c>
      <c r="M95" s="117">
        <v>54.6</v>
      </c>
      <c r="N95" s="154">
        <v>3844100</v>
      </c>
      <c r="O95" s="117">
        <v>312</v>
      </c>
      <c r="P95" s="117">
        <v>1917760.0079999999</v>
      </c>
      <c r="Q95" s="117">
        <v>231.4</v>
      </c>
      <c r="R95" s="154">
        <v>3361020</v>
      </c>
      <c r="S95" s="117">
        <v>416</v>
      </c>
      <c r="T95" s="117">
        <v>1816880</v>
      </c>
      <c r="U95" s="117">
        <v>390</v>
      </c>
      <c r="V95" s="154">
        <v>1628640</v>
      </c>
      <c r="W95" s="117">
        <v>286</v>
      </c>
      <c r="X95" s="117">
        <v>1139320</v>
      </c>
      <c r="Y95" s="117">
        <v>364</v>
      </c>
      <c r="Z95" s="154">
        <v>1236040</v>
      </c>
      <c r="AA95" s="117">
        <v>338</v>
      </c>
      <c r="AB95" s="117">
        <v>1391000</v>
      </c>
      <c r="AC95" s="117">
        <f t="shared" si="20"/>
        <v>3250</v>
      </c>
      <c r="AD95" s="117">
        <f t="shared" si="20"/>
        <v>21783520.008000001</v>
      </c>
      <c r="AE95" s="76"/>
      <c r="AF95" s="76"/>
      <c r="AG95" s="76"/>
      <c r="AH95" s="77"/>
    </row>
    <row r="96" spans="1:34">
      <c r="A96" s="572"/>
      <c r="B96" s="572"/>
      <c r="C96" s="572"/>
      <c r="D96" s="76" t="s">
        <v>2298</v>
      </c>
      <c r="E96" s="117">
        <v>52</v>
      </c>
      <c r="F96" s="154">
        <v>791960</v>
      </c>
      <c r="G96" s="117">
        <v>78</v>
      </c>
      <c r="H96" s="117">
        <v>131780</v>
      </c>
      <c r="I96" s="117">
        <v>234</v>
      </c>
      <c r="J96" s="154">
        <v>4090060</v>
      </c>
      <c r="K96" s="117">
        <v>0</v>
      </c>
      <c r="L96" s="117">
        <v>0</v>
      </c>
      <c r="M96" s="117">
        <v>0</v>
      </c>
      <c r="N96" s="154">
        <v>0</v>
      </c>
      <c r="O96" s="117">
        <v>135.19999999999999</v>
      </c>
      <c r="P96" s="117">
        <v>2525380</v>
      </c>
      <c r="Q96" s="117">
        <v>130</v>
      </c>
      <c r="R96" s="154">
        <v>1289600</v>
      </c>
      <c r="S96" s="117">
        <v>0</v>
      </c>
      <c r="T96" s="117">
        <v>0</v>
      </c>
      <c r="U96" s="117">
        <v>0</v>
      </c>
      <c r="V96" s="154">
        <v>0</v>
      </c>
      <c r="W96" s="117">
        <v>370</v>
      </c>
      <c r="X96" s="117">
        <v>2802340</v>
      </c>
      <c r="Y96" s="117">
        <v>0</v>
      </c>
      <c r="Z96" s="154">
        <v>0</v>
      </c>
      <c r="AA96" s="117">
        <v>0</v>
      </c>
      <c r="AB96" s="117">
        <v>0</v>
      </c>
      <c r="AC96" s="117">
        <f t="shared" si="20"/>
        <v>999.2</v>
      </c>
      <c r="AD96" s="117">
        <f t="shared" si="20"/>
        <v>11631120</v>
      </c>
      <c r="AE96" s="76"/>
      <c r="AF96" s="76"/>
      <c r="AG96" s="76"/>
      <c r="AH96" s="77"/>
    </row>
    <row r="97" spans="1:34">
      <c r="A97" s="573"/>
      <c r="B97" s="573"/>
      <c r="C97" s="573"/>
      <c r="D97" s="76" t="s">
        <v>2301</v>
      </c>
      <c r="E97" s="117">
        <v>26</v>
      </c>
      <c r="F97" s="154">
        <v>332540</v>
      </c>
      <c r="G97" s="117">
        <v>0</v>
      </c>
      <c r="H97" s="117">
        <v>0</v>
      </c>
      <c r="I97" s="117">
        <v>0</v>
      </c>
      <c r="J97" s="154">
        <v>0</v>
      </c>
      <c r="K97" s="117">
        <v>26</v>
      </c>
      <c r="L97" s="117">
        <v>314860</v>
      </c>
      <c r="M97" s="117">
        <v>0</v>
      </c>
      <c r="N97" s="154">
        <v>0</v>
      </c>
      <c r="O97" s="117">
        <v>0</v>
      </c>
      <c r="P97" s="117">
        <v>0</v>
      </c>
      <c r="Q97" s="117">
        <v>0</v>
      </c>
      <c r="R97" s="154">
        <v>0</v>
      </c>
      <c r="S97" s="117">
        <v>26</v>
      </c>
      <c r="T97" s="117">
        <v>305760</v>
      </c>
      <c r="U97" s="117">
        <v>0</v>
      </c>
      <c r="V97" s="154">
        <v>0</v>
      </c>
      <c r="W97" s="117">
        <v>0</v>
      </c>
      <c r="X97" s="117">
        <v>0</v>
      </c>
      <c r="Y97" s="117">
        <v>0</v>
      </c>
      <c r="Z97" s="154">
        <v>0</v>
      </c>
      <c r="AA97" s="117">
        <v>26</v>
      </c>
      <c r="AB97" s="117">
        <v>301340</v>
      </c>
      <c r="AC97" s="117">
        <f t="shared" si="20"/>
        <v>104</v>
      </c>
      <c r="AD97" s="117">
        <f t="shared" si="20"/>
        <v>1254500</v>
      </c>
      <c r="AE97" s="76"/>
      <c r="AF97" s="76"/>
      <c r="AG97" s="76"/>
      <c r="AH97" s="77"/>
    </row>
    <row r="98" spans="1:34">
      <c r="A98" s="71">
        <v>57</v>
      </c>
      <c r="B98" s="72" t="s">
        <v>182</v>
      </c>
      <c r="C98" s="71" t="s">
        <v>837</v>
      </c>
      <c r="D98" s="71" t="s">
        <v>619</v>
      </c>
      <c r="E98" s="71"/>
      <c r="F98" s="72"/>
      <c r="G98" s="71"/>
      <c r="H98" s="71"/>
      <c r="I98" s="71"/>
      <c r="J98" s="72"/>
      <c r="K98" s="71"/>
      <c r="L98" s="71"/>
      <c r="M98" s="71"/>
      <c r="N98" s="72"/>
      <c r="O98" s="71"/>
      <c r="P98" s="71"/>
      <c r="Q98" s="71"/>
      <c r="R98" s="72"/>
      <c r="S98" s="71"/>
      <c r="T98" s="71"/>
      <c r="U98" s="71"/>
      <c r="V98" s="72"/>
      <c r="W98" s="71"/>
      <c r="X98" s="71"/>
      <c r="Y98" s="71"/>
      <c r="Z98" s="72"/>
      <c r="AA98" s="71"/>
      <c r="AB98" s="71"/>
      <c r="AC98" s="71"/>
      <c r="AD98" s="72"/>
      <c r="AE98" s="71"/>
      <c r="AF98" s="71"/>
      <c r="AG98" s="71"/>
      <c r="AH98" s="72"/>
    </row>
    <row r="99" spans="1:34">
      <c r="A99" s="76">
        <v>58</v>
      </c>
      <c r="B99" s="77" t="s">
        <v>173</v>
      </c>
      <c r="C99" s="76" t="s">
        <v>840</v>
      </c>
      <c r="D99" s="76" t="s">
        <v>619</v>
      </c>
      <c r="E99" s="76"/>
      <c r="F99" s="77"/>
      <c r="G99" s="76"/>
      <c r="H99" s="76"/>
      <c r="I99" s="76"/>
      <c r="J99" s="77"/>
      <c r="K99" s="76"/>
      <c r="L99" s="76"/>
      <c r="M99" s="76"/>
      <c r="N99" s="77"/>
      <c r="O99" s="76"/>
      <c r="P99" s="76"/>
      <c r="Q99" s="76"/>
      <c r="R99" s="77"/>
      <c r="S99" s="76"/>
      <c r="T99" s="76"/>
      <c r="U99" s="76"/>
      <c r="V99" s="77"/>
      <c r="W99" s="76"/>
      <c r="X99" s="76"/>
      <c r="Y99" s="76"/>
      <c r="Z99" s="77"/>
      <c r="AA99" s="76"/>
      <c r="AB99" s="76"/>
      <c r="AC99" s="76"/>
      <c r="AD99" s="77"/>
      <c r="AE99" s="76"/>
      <c r="AF99" s="76"/>
      <c r="AG99" s="76"/>
      <c r="AH99" s="77"/>
    </row>
    <row r="100" spans="1:34">
      <c r="A100" s="71">
        <v>60</v>
      </c>
      <c r="B100" s="72" t="s">
        <v>842</v>
      </c>
      <c r="C100" s="71" t="s">
        <v>843</v>
      </c>
      <c r="D100" s="71" t="s">
        <v>619</v>
      </c>
      <c r="E100" s="71"/>
      <c r="F100" s="72"/>
      <c r="G100" s="71"/>
      <c r="H100" s="71"/>
      <c r="I100" s="71"/>
      <c r="J100" s="72"/>
      <c r="K100" s="71"/>
      <c r="L100" s="71"/>
      <c r="M100" s="71"/>
      <c r="N100" s="72"/>
      <c r="O100" s="71"/>
      <c r="P100" s="71"/>
      <c r="Q100" s="71"/>
      <c r="R100" s="72"/>
      <c r="S100" s="71"/>
      <c r="T100" s="71"/>
      <c r="U100" s="71"/>
      <c r="V100" s="72"/>
      <c r="W100" s="71"/>
      <c r="X100" s="71"/>
      <c r="Y100" s="71"/>
      <c r="Z100" s="72"/>
      <c r="AA100" s="71"/>
      <c r="AB100" s="71"/>
      <c r="AC100" s="71"/>
      <c r="AD100" s="72"/>
      <c r="AE100" s="71"/>
      <c r="AF100" s="71"/>
      <c r="AG100" s="71"/>
      <c r="AH100" s="72"/>
    </row>
    <row r="101" spans="1:34">
      <c r="A101" s="76">
        <v>61</v>
      </c>
      <c r="B101" s="77" t="s">
        <v>459</v>
      </c>
      <c r="C101" s="76" t="s">
        <v>847</v>
      </c>
      <c r="D101" s="76" t="s">
        <v>2242</v>
      </c>
      <c r="E101" s="117"/>
      <c r="F101" s="154"/>
      <c r="G101" s="117"/>
      <c r="H101" s="117"/>
      <c r="I101" s="117"/>
      <c r="J101" s="154"/>
      <c r="K101" s="117">
        <v>510</v>
      </c>
      <c r="L101" s="117">
        <v>1275000</v>
      </c>
      <c r="M101" s="117"/>
      <c r="N101" s="154"/>
      <c r="O101" s="117">
        <v>480</v>
      </c>
      <c r="P101" s="117">
        <v>1543200</v>
      </c>
      <c r="Q101" s="117"/>
      <c r="R101" s="154"/>
      <c r="S101" s="117">
        <v>1410</v>
      </c>
      <c r="T101" s="117">
        <v>2543640</v>
      </c>
      <c r="U101" s="117">
        <v>2610</v>
      </c>
      <c r="V101" s="154">
        <v>4708440</v>
      </c>
      <c r="W101" s="117">
        <v>1590</v>
      </c>
      <c r="X101" s="117">
        <v>5247000</v>
      </c>
      <c r="Y101" s="117">
        <v>2220</v>
      </c>
      <c r="Z101" s="154">
        <v>8147400</v>
      </c>
      <c r="AA101" s="117"/>
      <c r="AB101" s="117"/>
      <c r="AC101" s="117">
        <f t="shared" ref="AC101:AD101" si="21">AA101+Y101+W101+U101+S101+Q101+O101+M101+K101+I101+G101+E101</f>
        <v>8820</v>
      </c>
      <c r="AD101" s="117">
        <f t="shared" si="21"/>
        <v>23464680</v>
      </c>
      <c r="AE101" s="76"/>
      <c r="AF101" s="76"/>
      <c r="AG101" s="76"/>
      <c r="AH101" s="77"/>
    </row>
    <row r="102" spans="1:34">
      <c r="A102" s="71">
        <v>63</v>
      </c>
      <c r="B102" s="72" t="s">
        <v>851</v>
      </c>
      <c r="C102" s="71" t="s">
        <v>852</v>
      </c>
      <c r="D102" s="71" t="s">
        <v>619</v>
      </c>
      <c r="E102" s="71"/>
      <c r="F102" s="72"/>
      <c r="G102" s="71"/>
      <c r="H102" s="71"/>
      <c r="I102" s="71"/>
      <c r="J102" s="72"/>
      <c r="K102" s="71"/>
      <c r="L102" s="71"/>
      <c r="M102" s="71"/>
      <c r="N102" s="72"/>
      <c r="O102" s="71"/>
      <c r="P102" s="71"/>
      <c r="Q102" s="71"/>
      <c r="R102" s="72"/>
      <c r="S102" s="71"/>
      <c r="T102" s="71"/>
      <c r="U102" s="71"/>
      <c r="V102" s="72"/>
      <c r="W102" s="71"/>
      <c r="X102" s="71"/>
      <c r="Y102" s="71"/>
      <c r="Z102" s="72"/>
      <c r="AA102" s="71"/>
      <c r="AB102" s="71"/>
      <c r="AC102" s="71"/>
      <c r="AD102" s="72"/>
      <c r="AE102" s="71"/>
      <c r="AF102" s="71"/>
      <c r="AG102" s="71"/>
      <c r="AH102" s="72"/>
    </row>
    <row r="103" spans="1:34">
      <c r="A103" s="76">
        <v>66</v>
      </c>
      <c r="B103" s="77" t="s">
        <v>28</v>
      </c>
      <c r="C103" s="76" t="s">
        <v>853</v>
      </c>
      <c r="D103" s="76" t="s">
        <v>619</v>
      </c>
      <c r="E103" s="76"/>
      <c r="F103" s="77"/>
      <c r="G103" s="76"/>
      <c r="H103" s="76"/>
      <c r="I103" s="76"/>
      <c r="J103" s="77"/>
      <c r="K103" s="76"/>
      <c r="L103" s="76"/>
      <c r="M103" s="76"/>
      <c r="N103" s="77"/>
      <c r="O103" s="76"/>
      <c r="P103" s="76"/>
      <c r="Q103" s="76"/>
      <c r="R103" s="77"/>
      <c r="S103" s="76"/>
      <c r="T103" s="76"/>
      <c r="U103" s="76"/>
      <c r="V103" s="77"/>
      <c r="W103" s="76"/>
      <c r="X103" s="76"/>
      <c r="Y103" s="76"/>
      <c r="Z103" s="77"/>
      <c r="AA103" s="76"/>
      <c r="AB103" s="76"/>
      <c r="AC103" s="76"/>
      <c r="AD103" s="77"/>
      <c r="AE103" s="76"/>
      <c r="AF103" s="76"/>
      <c r="AG103" s="76"/>
      <c r="AH103" s="77"/>
    </row>
    <row r="104" spans="1:34">
      <c r="A104" s="71">
        <v>68</v>
      </c>
      <c r="B104" s="72" t="s">
        <v>858</v>
      </c>
      <c r="C104" s="71" t="s">
        <v>859</v>
      </c>
      <c r="D104" s="71" t="s">
        <v>619</v>
      </c>
      <c r="E104" s="71"/>
      <c r="F104" s="72"/>
      <c r="G104" s="71"/>
      <c r="H104" s="71"/>
      <c r="I104" s="71"/>
      <c r="J104" s="72"/>
      <c r="K104" s="71"/>
      <c r="L104" s="71"/>
      <c r="M104" s="71"/>
      <c r="N104" s="72"/>
      <c r="O104" s="71"/>
      <c r="P104" s="71"/>
      <c r="Q104" s="71"/>
      <c r="R104" s="72"/>
      <c r="S104" s="71"/>
      <c r="T104" s="71"/>
      <c r="U104" s="71"/>
      <c r="V104" s="72"/>
      <c r="W104" s="71"/>
      <c r="X104" s="71"/>
      <c r="Y104" s="71"/>
      <c r="Z104" s="72"/>
      <c r="AA104" s="71"/>
      <c r="AB104" s="71"/>
      <c r="AC104" s="71"/>
      <c r="AD104" s="72"/>
      <c r="AE104" s="71"/>
      <c r="AF104" s="71"/>
      <c r="AG104" s="71"/>
      <c r="AH104" s="72"/>
    </row>
    <row r="105" spans="1:34">
      <c r="A105" s="76">
        <v>70</v>
      </c>
      <c r="B105" s="77" t="s">
        <v>860</v>
      </c>
      <c r="C105" s="76" t="s">
        <v>861</v>
      </c>
      <c r="D105" s="76" t="s">
        <v>619</v>
      </c>
      <c r="E105" s="76"/>
      <c r="F105" s="77"/>
      <c r="G105" s="76"/>
      <c r="H105" s="76"/>
      <c r="I105" s="76"/>
      <c r="J105" s="77"/>
      <c r="K105" s="76"/>
      <c r="L105" s="76"/>
      <c r="M105" s="76"/>
      <c r="N105" s="77"/>
      <c r="O105" s="76"/>
      <c r="P105" s="76"/>
      <c r="Q105" s="76"/>
      <c r="R105" s="77"/>
      <c r="S105" s="76"/>
      <c r="T105" s="76"/>
      <c r="U105" s="76"/>
      <c r="V105" s="77"/>
      <c r="W105" s="76"/>
      <c r="X105" s="76"/>
      <c r="Y105" s="76"/>
      <c r="Z105" s="77"/>
      <c r="AA105" s="76"/>
      <c r="AB105" s="76"/>
      <c r="AC105" s="76"/>
      <c r="AD105" s="77"/>
      <c r="AE105" s="76"/>
      <c r="AF105" s="76"/>
      <c r="AG105" s="76"/>
      <c r="AH105" s="77"/>
    </row>
    <row r="106" spans="1:34">
      <c r="A106" s="71">
        <v>71</v>
      </c>
      <c r="B106" s="72" t="s">
        <v>863</v>
      </c>
      <c r="C106" s="71" t="s">
        <v>864</v>
      </c>
      <c r="D106" s="71" t="s">
        <v>619</v>
      </c>
      <c r="E106" s="71"/>
      <c r="F106" s="72"/>
      <c r="G106" s="71"/>
      <c r="H106" s="71"/>
      <c r="I106" s="71"/>
      <c r="J106" s="72"/>
      <c r="K106" s="71"/>
      <c r="L106" s="71"/>
      <c r="M106" s="71"/>
      <c r="N106" s="72"/>
      <c r="O106" s="71"/>
      <c r="P106" s="71"/>
      <c r="Q106" s="71"/>
      <c r="R106" s="72"/>
      <c r="S106" s="71"/>
      <c r="T106" s="71"/>
      <c r="U106" s="71"/>
      <c r="V106" s="72"/>
      <c r="W106" s="71"/>
      <c r="X106" s="71"/>
      <c r="Y106" s="71"/>
      <c r="Z106" s="72"/>
      <c r="AA106" s="71"/>
      <c r="AB106" s="71"/>
      <c r="AC106" s="71"/>
      <c r="AD106" s="72"/>
      <c r="AE106" s="71"/>
      <c r="AF106" s="71"/>
      <c r="AG106" s="71"/>
      <c r="AH106" s="72"/>
    </row>
    <row r="107" spans="1:34">
      <c r="A107" s="76">
        <v>74</v>
      </c>
      <c r="B107" s="77" t="s">
        <v>867</v>
      </c>
      <c r="C107" s="76" t="s">
        <v>868</v>
      </c>
      <c r="D107" s="76" t="s">
        <v>619</v>
      </c>
      <c r="E107" s="76"/>
      <c r="F107" s="77"/>
      <c r="G107" s="76"/>
      <c r="H107" s="76"/>
      <c r="I107" s="76"/>
      <c r="J107" s="77"/>
      <c r="K107" s="76"/>
      <c r="L107" s="76"/>
      <c r="M107" s="76"/>
      <c r="N107" s="77"/>
      <c r="O107" s="76"/>
      <c r="P107" s="76"/>
      <c r="Q107" s="76"/>
      <c r="R107" s="77"/>
      <c r="S107" s="76"/>
      <c r="T107" s="76"/>
      <c r="U107" s="76"/>
      <c r="V107" s="77"/>
      <c r="W107" s="76"/>
      <c r="X107" s="76"/>
      <c r="Y107" s="76"/>
      <c r="Z107" s="77"/>
      <c r="AA107" s="76"/>
      <c r="AB107" s="76"/>
      <c r="AC107" s="76"/>
      <c r="AD107" s="77"/>
      <c r="AE107" s="76"/>
      <c r="AF107" s="76"/>
      <c r="AG107" s="76"/>
      <c r="AH107" s="77"/>
    </row>
    <row r="108" spans="1:34">
      <c r="A108" s="71">
        <v>75</v>
      </c>
      <c r="B108" s="72" t="s">
        <v>874</v>
      </c>
      <c r="C108" s="71" t="s">
        <v>875</v>
      </c>
      <c r="D108" s="71" t="s">
        <v>619</v>
      </c>
      <c r="E108" s="71"/>
      <c r="F108" s="72"/>
      <c r="G108" s="71"/>
      <c r="H108" s="71"/>
      <c r="I108" s="71"/>
      <c r="J108" s="72"/>
      <c r="K108" s="71"/>
      <c r="L108" s="71"/>
      <c r="M108" s="71"/>
      <c r="N108" s="72"/>
      <c r="O108" s="71"/>
      <c r="P108" s="71"/>
      <c r="Q108" s="71"/>
      <c r="R108" s="72"/>
      <c r="S108" s="71"/>
      <c r="T108" s="71"/>
      <c r="U108" s="71"/>
      <c r="V108" s="72"/>
      <c r="W108" s="71"/>
      <c r="X108" s="71"/>
      <c r="Y108" s="71"/>
      <c r="Z108" s="72"/>
      <c r="AA108" s="71"/>
      <c r="AB108" s="71"/>
      <c r="AC108" s="71"/>
      <c r="AD108" s="72"/>
      <c r="AE108" s="71"/>
      <c r="AF108" s="71"/>
      <c r="AG108" s="71"/>
      <c r="AH108" s="72"/>
    </row>
    <row r="109" spans="1:34">
      <c r="A109" s="76">
        <v>79</v>
      </c>
      <c r="B109" s="77" t="s">
        <v>877</v>
      </c>
      <c r="C109" s="76" t="s">
        <v>878</v>
      </c>
      <c r="D109" s="76" t="s">
        <v>619</v>
      </c>
      <c r="E109" s="76"/>
      <c r="F109" s="77"/>
      <c r="G109" s="76"/>
      <c r="H109" s="76"/>
      <c r="I109" s="76"/>
      <c r="J109" s="77"/>
      <c r="K109" s="76"/>
      <c r="L109" s="76"/>
      <c r="M109" s="76"/>
      <c r="N109" s="77"/>
      <c r="O109" s="76"/>
      <c r="P109" s="76"/>
      <c r="Q109" s="76"/>
      <c r="R109" s="77"/>
      <c r="S109" s="76"/>
      <c r="T109" s="76"/>
      <c r="U109" s="76"/>
      <c r="V109" s="77"/>
      <c r="W109" s="76"/>
      <c r="X109" s="76"/>
      <c r="Y109" s="76"/>
      <c r="Z109" s="77"/>
      <c r="AA109" s="76"/>
      <c r="AB109" s="76"/>
      <c r="AC109" s="76"/>
      <c r="AD109" s="77"/>
      <c r="AE109" s="76"/>
      <c r="AF109" s="76"/>
      <c r="AG109" s="76"/>
      <c r="AH109" s="77"/>
    </row>
    <row r="110" spans="1:34">
      <c r="A110" s="71">
        <v>80</v>
      </c>
      <c r="B110" s="72" t="s">
        <v>881</v>
      </c>
      <c r="C110" s="71" t="s">
        <v>882</v>
      </c>
      <c r="D110" s="71" t="s">
        <v>619</v>
      </c>
      <c r="E110" s="71"/>
      <c r="F110" s="72"/>
      <c r="G110" s="71"/>
      <c r="H110" s="71"/>
      <c r="I110" s="71"/>
      <c r="J110" s="72"/>
      <c r="K110" s="71"/>
      <c r="L110" s="71"/>
      <c r="M110" s="71"/>
      <c r="N110" s="72"/>
      <c r="O110" s="71"/>
      <c r="P110" s="71"/>
      <c r="Q110" s="71"/>
      <c r="R110" s="72"/>
      <c r="S110" s="71"/>
      <c r="T110" s="71"/>
      <c r="U110" s="71"/>
      <c r="V110" s="72"/>
      <c r="W110" s="71"/>
      <c r="X110" s="71"/>
      <c r="Y110" s="71"/>
      <c r="Z110" s="72"/>
      <c r="AA110" s="71"/>
      <c r="AB110" s="71"/>
      <c r="AC110" s="71"/>
      <c r="AD110" s="72"/>
      <c r="AE110" s="71"/>
      <c r="AF110" s="71"/>
      <c r="AG110" s="71"/>
      <c r="AH110" s="72"/>
    </row>
    <row r="111" spans="1:34">
      <c r="A111" s="76">
        <v>85</v>
      </c>
      <c r="B111" s="77" t="s">
        <v>894</v>
      </c>
      <c r="C111" s="76" t="s">
        <v>895</v>
      </c>
      <c r="D111" s="76" t="s">
        <v>619</v>
      </c>
      <c r="E111" s="76"/>
      <c r="F111" s="77"/>
      <c r="G111" s="76"/>
      <c r="H111" s="76"/>
      <c r="I111" s="76"/>
      <c r="J111" s="77"/>
      <c r="K111" s="76"/>
      <c r="L111" s="76"/>
      <c r="M111" s="76"/>
      <c r="N111" s="77"/>
      <c r="O111" s="76"/>
      <c r="P111" s="76"/>
      <c r="Q111" s="76"/>
      <c r="R111" s="77"/>
      <c r="S111" s="76"/>
      <c r="T111" s="76"/>
      <c r="U111" s="76"/>
      <c r="V111" s="77"/>
      <c r="W111" s="76"/>
      <c r="X111" s="76"/>
      <c r="Y111" s="76"/>
      <c r="Z111" s="77"/>
      <c r="AA111" s="76"/>
      <c r="AB111" s="76"/>
      <c r="AC111" s="76"/>
      <c r="AD111" s="77"/>
      <c r="AE111" s="76"/>
      <c r="AF111" s="76"/>
      <c r="AG111" s="76"/>
      <c r="AH111" s="77"/>
    </row>
    <row r="112" spans="1:34">
      <c r="A112" s="576">
        <v>87</v>
      </c>
      <c r="B112" s="576" t="s">
        <v>197</v>
      </c>
      <c r="C112" s="576" t="s">
        <v>902</v>
      </c>
      <c r="D112" s="71" t="s">
        <v>2295</v>
      </c>
      <c r="E112" s="87">
        <v>0</v>
      </c>
      <c r="F112" s="155">
        <v>0</v>
      </c>
      <c r="G112" s="87">
        <v>0</v>
      </c>
      <c r="H112" s="87">
        <v>0</v>
      </c>
      <c r="I112" s="87">
        <v>0</v>
      </c>
      <c r="J112" s="155">
        <v>0</v>
      </c>
      <c r="K112" s="87">
        <v>0</v>
      </c>
      <c r="L112" s="87">
        <v>0</v>
      </c>
      <c r="M112" s="87">
        <v>0</v>
      </c>
      <c r="N112" s="155">
        <v>0</v>
      </c>
      <c r="O112" s="87">
        <v>15</v>
      </c>
      <c r="P112" s="87">
        <v>428066.34</v>
      </c>
      <c r="Q112" s="87">
        <v>0</v>
      </c>
      <c r="R112" s="155">
        <v>0</v>
      </c>
      <c r="S112" s="87">
        <v>0</v>
      </c>
      <c r="T112" s="87">
        <v>0</v>
      </c>
      <c r="U112" s="87">
        <v>0</v>
      </c>
      <c r="V112" s="155">
        <v>0</v>
      </c>
      <c r="W112" s="87">
        <v>0</v>
      </c>
      <c r="X112" s="87">
        <v>0</v>
      </c>
      <c r="Y112" s="87">
        <v>0</v>
      </c>
      <c r="Z112" s="155">
        <v>0</v>
      </c>
      <c r="AA112" s="87">
        <v>0</v>
      </c>
      <c r="AB112" s="87">
        <v>0</v>
      </c>
      <c r="AC112" s="116">
        <f t="shared" ref="AC112:AD113" si="22">AA112+Y112+W112+U112+S112+Q112+O112+M112+K112+I112+G112+E112</f>
        <v>15</v>
      </c>
      <c r="AD112" s="116">
        <f t="shared" si="22"/>
        <v>428066.34</v>
      </c>
      <c r="AE112" s="71" t="s">
        <v>2320</v>
      </c>
      <c r="AF112" s="71" t="s">
        <v>2321</v>
      </c>
      <c r="AG112" s="71" t="s">
        <v>2322</v>
      </c>
      <c r="AH112" s="72">
        <v>13081</v>
      </c>
    </row>
    <row r="113" spans="1:34">
      <c r="A113" s="577"/>
      <c r="B113" s="577"/>
      <c r="C113" s="577"/>
      <c r="D113" s="71" t="s">
        <v>2298</v>
      </c>
      <c r="E113" s="87">
        <v>0</v>
      </c>
      <c r="F113" s="155">
        <v>0</v>
      </c>
      <c r="G113" s="87">
        <v>52</v>
      </c>
      <c r="H113" s="87">
        <v>788967.09</v>
      </c>
      <c r="I113" s="87">
        <v>52</v>
      </c>
      <c r="J113" s="155">
        <v>788967.09</v>
      </c>
      <c r="K113" s="87">
        <v>0</v>
      </c>
      <c r="L113" s="87">
        <v>0</v>
      </c>
      <c r="M113" s="87">
        <v>0</v>
      </c>
      <c r="N113" s="155">
        <v>0</v>
      </c>
      <c r="O113" s="87">
        <v>104</v>
      </c>
      <c r="P113" s="87">
        <v>1732817.84</v>
      </c>
      <c r="Q113" s="87">
        <v>0</v>
      </c>
      <c r="R113" s="155">
        <v>0</v>
      </c>
      <c r="S113" s="87">
        <v>0</v>
      </c>
      <c r="T113" s="87">
        <v>0</v>
      </c>
      <c r="U113" s="87">
        <v>52</v>
      </c>
      <c r="V113" s="155">
        <v>477079.61499999999</v>
      </c>
      <c r="W113" s="87">
        <v>52</v>
      </c>
      <c r="X113" s="87">
        <v>477079.61499999999</v>
      </c>
      <c r="Y113" s="87">
        <v>0</v>
      </c>
      <c r="Z113" s="155">
        <v>0</v>
      </c>
      <c r="AA113" s="87">
        <v>52</v>
      </c>
      <c r="AB113" s="87">
        <v>366044.95</v>
      </c>
      <c r="AC113" s="116">
        <f t="shared" si="22"/>
        <v>364</v>
      </c>
      <c r="AD113" s="116">
        <f t="shared" si="22"/>
        <v>4630956.2</v>
      </c>
      <c r="AE113" s="71" t="s">
        <v>2320</v>
      </c>
      <c r="AF113" s="71" t="s">
        <v>2321</v>
      </c>
      <c r="AG113" s="71" t="s">
        <v>2322</v>
      </c>
      <c r="AH113" s="72">
        <v>13081</v>
      </c>
    </row>
    <row r="114" spans="1:34">
      <c r="A114" s="76">
        <v>89</v>
      </c>
      <c r="B114" s="77" t="s">
        <v>198</v>
      </c>
      <c r="C114" s="76" t="s">
        <v>907</v>
      </c>
      <c r="D114" s="76" t="s">
        <v>619</v>
      </c>
      <c r="E114" s="76"/>
      <c r="F114" s="77"/>
      <c r="G114" s="76"/>
      <c r="H114" s="76"/>
      <c r="I114" s="76"/>
      <c r="J114" s="77"/>
      <c r="K114" s="76"/>
      <c r="L114" s="76"/>
      <c r="M114" s="76"/>
      <c r="N114" s="77"/>
      <c r="O114" s="76"/>
      <c r="P114" s="76"/>
      <c r="Q114" s="76"/>
      <c r="R114" s="77"/>
      <c r="S114" s="76"/>
      <c r="T114" s="76"/>
      <c r="U114" s="76"/>
      <c r="V114" s="77"/>
      <c r="W114" s="76"/>
      <c r="X114" s="76"/>
      <c r="Y114" s="76"/>
      <c r="Z114" s="77"/>
      <c r="AA114" s="76"/>
      <c r="AB114" s="76"/>
      <c r="AC114" s="76"/>
      <c r="AD114" s="77"/>
      <c r="AE114" s="76"/>
      <c r="AF114" s="76"/>
      <c r="AG114" s="76"/>
      <c r="AH114" s="77"/>
    </row>
    <row r="115" spans="1:34">
      <c r="A115" s="71">
        <v>92</v>
      </c>
      <c r="B115" s="72" t="s">
        <v>912</v>
      </c>
      <c r="C115" s="71" t="s">
        <v>913</v>
      </c>
      <c r="D115" s="71" t="s">
        <v>619</v>
      </c>
      <c r="E115" s="71"/>
      <c r="F115" s="72"/>
      <c r="G115" s="71"/>
      <c r="H115" s="71"/>
      <c r="I115" s="71"/>
      <c r="J115" s="72"/>
      <c r="K115" s="71"/>
      <c r="L115" s="71"/>
      <c r="M115" s="71"/>
      <c r="N115" s="72"/>
      <c r="O115" s="71"/>
      <c r="P115" s="71"/>
      <c r="Q115" s="71"/>
      <c r="R115" s="72"/>
      <c r="S115" s="71"/>
      <c r="T115" s="71"/>
      <c r="U115" s="71"/>
      <c r="V115" s="72"/>
      <c r="W115" s="71"/>
      <c r="X115" s="71"/>
      <c r="Y115" s="71"/>
      <c r="Z115" s="72"/>
      <c r="AA115" s="71"/>
      <c r="AB115" s="71"/>
      <c r="AC115" s="71"/>
      <c r="AD115" s="72"/>
      <c r="AE115" s="71"/>
      <c r="AF115" s="71"/>
      <c r="AG115" s="71"/>
      <c r="AH115" s="72"/>
    </row>
    <row r="116" spans="1:34">
      <c r="A116" s="76">
        <v>95</v>
      </c>
      <c r="B116" s="77" t="s">
        <v>914</v>
      </c>
      <c r="C116" s="76" t="s">
        <v>915</v>
      </c>
      <c r="D116" s="76" t="s">
        <v>619</v>
      </c>
      <c r="E116" s="76"/>
      <c r="F116" s="77"/>
      <c r="G116" s="76"/>
      <c r="H116" s="76"/>
      <c r="I116" s="76"/>
      <c r="J116" s="77"/>
      <c r="K116" s="76"/>
      <c r="L116" s="76"/>
      <c r="M116" s="76"/>
      <c r="N116" s="77"/>
      <c r="O116" s="76"/>
      <c r="P116" s="76"/>
      <c r="Q116" s="76"/>
      <c r="R116" s="77"/>
      <c r="S116" s="76"/>
      <c r="T116" s="76"/>
      <c r="U116" s="76"/>
      <c r="V116" s="77"/>
      <c r="W116" s="76"/>
      <c r="X116" s="76"/>
      <c r="Y116" s="76"/>
      <c r="Z116" s="77"/>
      <c r="AA116" s="76"/>
      <c r="AB116" s="76"/>
      <c r="AC116" s="76"/>
      <c r="AD116" s="77"/>
      <c r="AE116" s="76"/>
      <c r="AF116" s="76"/>
      <c r="AG116" s="76"/>
      <c r="AH116" s="77"/>
    </row>
    <row r="117" spans="1:34">
      <c r="A117" s="71">
        <v>97</v>
      </c>
      <c r="B117" s="72" t="s">
        <v>917</v>
      </c>
      <c r="C117" s="71" t="s">
        <v>918</v>
      </c>
      <c r="D117" s="71" t="s">
        <v>619</v>
      </c>
      <c r="E117" s="71"/>
      <c r="F117" s="72"/>
      <c r="G117" s="71"/>
      <c r="H117" s="71"/>
      <c r="I117" s="71"/>
      <c r="J117" s="72"/>
      <c r="K117" s="71"/>
      <c r="L117" s="71"/>
      <c r="M117" s="71"/>
      <c r="N117" s="72"/>
      <c r="O117" s="71"/>
      <c r="P117" s="71"/>
      <c r="Q117" s="71"/>
      <c r="R117" s="72"/>
      <c r="S117" s="71"/>
      <c r="T117" s="71"/>
      <c r="U117" s="71"/>
      <c r="V117" s="72"/>
      <c r="W117" s="71"/>
      <c r="X117" s="71"/>
      <c r="Y117" s="71"/>
      <c r="Z117" s="72"/>
      <c r="AA117" s="71"/>
      <c r="AB117" s="71"/>
      <c r="AC117" s="71"/>
      <c r="AD117" s="72"/>
      <c r="AE117" s="71"/>
      <c r="AF117" s="71"/>
      <c r="AG117" s="71"/>
      <c r="AH117" s="72"/>
    </row>
    <row r="118" spans="1:34">
      <c r="A118" s="76">
        <v>98</v>
      </c>
      <c r="B118" s="77" t="s">
        <v>922</v>
      </c>
      <c r="C118" s="76" t="s">
        <v>923</v>
      </c>
      <c r="D118" s="76" t="s">
        <v>619</v>
      </c>
      <c r="E118" s="76"/>
      <c r="F118" s="77"/>
      <c r="G118" s="76"/>
      <c r="H118" s="76"/>
      <c r="I118" s="76"/>
      <c r="J118" s="77"/>
      <c r="K118" s="76"/>
      <c r="L118" s="76"/>
      <c r="M118" s="76"/>
      <c r="N118" s="77"/>
      <c r="O118" s="76"/>
      <c r="P118" s="76"/>
      <c r="Q118" s="76"/>
      <c r="R118" s="77"/>
      <c r="S118" s="76"/>
      <c r="T118" s="76"/>
      <c r="U118" s="76"/>
      <c r="V118" s="77"/>
      <c r="W118" s="76"/>
      <c r="X118" s="76"/>
      <c r="Y118" s="76"/>
      <c r="Z118" s="77"/>
      <c r="AA118" s="76"/>
      <c r="AB118" s="76"/>
      <c r="AC118" s="76"/>
      <c r="AD118" s="77"/>
      <c r="AE118" s="76"/>
      <c r="AF118" s="76"/>
      <c r="AG118" s="76"/>
      <c r="AH118" s="77"/>
    </row>
    <row r="119" spans="1:34">
      <c r="A119" s="71">
        <v>105</v>
      </c>
      <c r="B119" s="72" t="s">
        <v>82</v>
      </c>
      <c r="C119" s="71" t="s">
        <v>926</v>
      </c>
      <c r="D119" s="71" t="s">
        <v>2323</v>
      </c>
      <c r="E119" s="87">
        <v>2587.83</v>
      </c>
      <c r="F119" s="155">
        <v>130685.42000000001</v>
      </c>
      <c r="G119" s="87">
        <v>1117.5149999999999</v>
      </c>
      <c r="H119" s="87">
        <v>56434.51</v>
      </c>
      <c r="I119" s="87">
        <v>2673.9799999999996</v>
      </c>
      <c r="J119" s="155">
        <v>135035.99</v>
      </c>
      <c r="K119" s="87">
        <v>2312.44</v>
      </c>
      <c r="L119" s="87">
        <v>139902.62</v>
      </c>
      <c r="M119" s="87">
        <v>749.98500000000001</v>
      </c>
      <c r="N119" s="155">
        <v>45374.09</v>
      </c>
      <c r="O119" s="87">
        <v>2284.7200000000003</v>
      </c>
      <c r="P119" s="87">
        <v>138225.56</v>
      </c>
      <c r="Q119" s="87">
        <v>2992.1950000000002</v>
      </c>
      <c r="R119" s="155">
        <v>176189.92</v>
      </c>
      <c r="S119" s="87">
        <v>775.73</v>
      </c>
      <c r="T119" s="87">
        <v>46931.67</v>
      </c>
      <c r="U119" s="87">
        <v>654.22500000000002</v>
      </c>
      <c r="V119" s="155">
        <v>39580.61</v>
      </c>
      <c r="W119" s="87">
        <v>624.15499999999997</v>
      </c>
      <c r="X119" s="87">
        <v>37761.339999999997</v>
      </c>
      <c r="Y119" s="87"/>
      <c r="Z119" s="155"/>
      <c r="AA119" s="87">
        <v>777.84</v>
      </c>
      <c r="AB119" s="87">
        <v>47059.32</v>
      </c>
      <c r="AC119" s="116">
        <f t="shared" ref="AC119:AD119" si="23">AA119+Y119+W119+U119+S119+Q119+O119+M119+K119+I119+G119+E119</f>
        <v>17550.614999999998</v>
      </c>
      <c r="AD119" s="116">
        <f t="shared" si="23"/>
        <v>993181.05</v>
      </c>
      <c r="AE119" s="71"/>
      <c r="AF119" s="71"/>
      <c r="AG119" s="71"/>
      <c r="AH119" s="72"/>
    </row>
    <row r="120" spans="1:34">
      <c r="A120" s="76">
        <v>106</v>
      </c>
      <c r="B120" s="77" t="s">
        <v>72</v>
      </c>
      <c r="C120" s="76" t="s">
        <v>928</v>
      </c>
      <c r="D120" s="76" t="s">
        <v>619</v>
      </c>
      <c r="E120" s="76"/>
      <c r="F120" s="77"/>
      <c r="G120" s="76"/>
      <c r="H120" s="76"/>
      <c r="I120" s="76"/>
      <c r="J120" s="77"/>
      <c r="K120" s="76"/>
      <c r="L120" s="76"/>
      <c r="M120" s="76"/>
      <c r="N120" s="77"/>
      <c r="O120" s="76"/>
      <c r="P120" s="76"/>
      <c r="Q120" s="76"/>
      <c r="R120" s="77"/>
      <c r="S120" s="76"/>
      <c r="T120" s="76"/>
      <c r="U120" s="76"/>
      <c r="V120" s="77"/>
      <c r="W120" s="76"/>
      <c r="X120" s="76"/>
      <c r="Y120" s="76"/>
      <c r="Z120" s="77"/>
      <c r="AA120" s="76"/>
      <c r="AB120" s="76"/>
      <c r="AC120" s="76"/>
      <c r="AD120" s="77"/>
      <c r="AE120" s="76"/>
      <c r="AF120" s="76"/>
      <c r="AG120" s="76"/>
      <c r="AH120" s="77"/>
    </row>
    <row r="121" spans="1:34">
      <c r="A121" s="71">
        <v>107</v>
      </c>
      <c r="B121" s="72" t="s">
        <v>92</v>
      </c>
      <c r="C121" s="71" t="s">
        <v>932</v>
      </c>
      <c r="D121" s="71" t="s">
        <v>619</v>
      </c>
      <c r="E121" s="71"/>
      <c r="F121" s="72"/>
      <c r="G121" s="71"/>
      <c r="H121" s="71"/>
      <c r="I121" s="71"/>
      <c r="J121" s="72"/>
      <c r="K121" s="71"/>
      <c r="L121" s="71"/>
      <c r="M121" s="71"/>
      <c r="N121" s="72"/>
      <c r="O121" s="71"/>
      <c r="P121" s="71"/>
      <c r="Q121" s="71"/>
      <c r="R121" s="72"/>
      <c r="S121" s="71"/>
      <c r="T121" s="71"/>
      <c r="U121" s="71"/>
      <c r="V121" s="72"/>
      <c r="W121" s="71"/>
      <c r="X121" s="71"/>
      <c r="Y121" s="71"/>
      <c r="Z121" s="72"/>
      <c r="AA121" s="71"/>
      <c r="AB121" s="71"/>
      <c r="AC121" s="71"/>
      <c r="AD121" s="72"/>
      <c r="AE121" s="71"/>
      <c r="AF121" s="71"/>
      <c r="AG121" s="71"/>
      <c r="AH121" s="72"/>
    </row>
    <row r="122" spans="1:34">
      <c r="A122" s="76">
        <v>49</v>
      </c>
      <c r="B122" s="76" t="s">
        <v>189</v>
      </c>
      <c r="C122" s="76" t="s">
        <v>934</v>
      </c>
      <c r="D122" s="76" t="s">
        <v>2229</v>
      </c>
      <c r="E122" s="117">
        <v>454</v>
      </c>
      <c r="F122" s="154">
        <v>4387809.3600000003</v>
      </c>
      <c r="G122" s="117">
        <v>1008</v>
      </c>
      <c r="H122" s="117">
        <v>9805285.5600000005</v>
      </c>
      <c r="I122" s="117">
        <v>1121</v>
      </c>
      <c r="J122" s="154">
        <v>11118353.529999999</v>
      </c>
      <c r="K122" s="117">
        <v>642</v>
      </c>
      <c r="L122" s="117">
        <v>6537566.04</v>
      </c>
      <c r="M122" s="117">
        <v>810</v>
      </c>
      <c r="N122" s="154">
        <v>8267646.5199999996</v>
      </c>
      <c r="O122" s="117">
        <v>860</v>
      </c>
      <c r="P122" s="117">
        <v>8263316.2000000002</v>
      </c>
      <c r="Q122" s="117">
        <v>890</v>
      </c>
      <c r="R122" s="154">
        <v>8191805.2599999998</v>
      </c>
      <c r="S122" s="117">
        <v>1042</v>
      </c>
      <c r="T122" s="117">
        <v>8085719.2000000002</v>
      </c>
      <c r="U122" s="117">
        <v>820</v>
      </c>
      <c r="V122" s="154">
        <v>6527505.2800000003</v>
      </c>
      <c r="W122" s="117">
        <v>601</v>
      </c>
      <c r="X122" s="117">
        <v>4650192.96</v>
      </c>
      <c r="Y122" s="117">
        <v>1085</v>
      </c>
      <c r="Z122" s="154">
        <v>8307656</v>
      </c>
      <c r="AA122" s="117">
        <v>608</v>
      </c>
      <c r="AB122" s="76">
        <v>4830261.0999999996</v>
      </c>
      <c r="AC122" s="117">
        <f t="shared" ref="AC122:AD123" si="24">AA122+Y122+W122+U122+S122+Q122+O122+M122+K122+I122+G122+E122</f>
        <v>9941</v>
      </c>
      <c r="AD122" s="117">
        <f t="shared" si="24"/>
        <v>88973117.00999999</v>
      </c>
      <c r="AE122" s="76"/>
      <c r="AF122" s="76"/>
      <c r="AG122" s="76"/>
      <c r="AH122" s="77"/>
    </row>
    <row r="123" spans="1:34">
      <c r="A123" s="71">
        <v>18</v>
      </c>
      <c r="B123" s="72" t="s">
        <v>3331</v>
      </c>
      <c r="C123" s="71" t="s">
        <v>2445</v>
      </c>
      <c r="D123" s="71" t="s">
        <v>2298</v>
      </c>
      <c r="E123" s="87">
        <v>1632000</v>
      </c>
      <c r="F123" s="155">
        <v>26936400</v>
      </c>
      <c r="G123" s="87">
        <v>2112000</v>
      </c>
      <c r="H123" s="87">
        <v>35068080</v>
      </c>
      <c r="I123" s="87">
        <v>2280000</v>
      </c>
      <c r="J123" s="155">
        <v>39932030</v>
      </c>
      <c r="K123" s="87">
        <v>1272000</v>
      </c>
      <c r="L123" s="87">
        <v>23211840</v>
      </c>
      <c r="M123" s="87">
        <v>2280000</v>
      </c>
      <c r="N123" s="155">
        <v>39939840</v>
      </c>
      <c r="O123" s="87">
        <v>1944000</v>
      </c>
      <c r="P123" s="87">
        <v>29225760</v>
      </c>
      <c r="Q123" s="87">
        <v>2088000</v>
      </c>
      <c r="R123" s="155">
        <v>28096080</v>
      </c>
      <c r="S123" s="87">
        <v>1032000</v>
      </c>
      <c r="T123" s="87">
        <v>11141520</v>
      </c>
      <c r="U123" s="87">
        <v>2016000</v>
      </c>
      <c r="V123" s="155">
        <v>11141520</v>
      </c>
      <c r="W123" s="87">
        <v>2544000</v>
      </c>
      <c r="X123" s="87">
        <v>23341920</v>
      </c>
      <c r="Y123" s="87">
        <v>1104000</v>
      </c>
      <c r="Z123" s="155">
        <v>9232560</v>
      </c>
      <c r="AA123" s="87">
        <v>2160000</v>
      </c>
      <c r="AB123" s="87">
        <v>17505360</v>
      </c>
      <c r="AC123" s="116">
        <f t="shared" si="24"/>
        <v>22464000</v>
      </c>
      <c r="AD123" s="116">
        <f t="shared" si="24"/>
        <v>294772910</v>
      </c>
      <c r="AE123" s="71"/>
      <c r="AF123" s="71"/>
      <c r="AG123" s="71"/>
      <c r="AH123" s="72"/>
    </row>
    <row r="124" spans="1:34">
      <c r="A124" s="571"/>
      <c r="B124" s="580" t="s">
        <v>3704</v>
      </c>
      <c r="C124" s="571" t="s">
        <v>3705</v>
      </c>
      <c r="D124" s="76" t="s">
        <v>2295</v>
      </c>
      <c r="E124" s="117">
        <v>37042.800000000003</v>
      </c>
      <c r="F124" s="154">
        <v>1704824</v>
      </c>
      <c r="G124" s="117">
        <v>24880.6</v>
      </c>
      <c r="H124" s="117">
        <v>1031276</v>
      </c>
      <c r="I124" s="117">
        <v>61441.7</v>
      </c>
      <c r="J124" s="154">
        <v>2891878</v>
      </c>
      <c r="K124" s="117">
        <v>37041.800000000003</v>
      </c>
      <c r="L124" s="117">
        <v>1807990</v>
      </c>
      <c r="M124" s="117">
        <v>73090</v>
      </c>
      <c r="N124" s="154">
        <v>4606272</v>
      </c>
      <c r="O124" s="117">
        <v>55570</v>
      </c>
      <c r="P124" s="117">
        <v>3586034</v>
      </c>
      <c r="Q124" s="117">
        <v>24878.2</v>
      </c>
      <c r="R124" s="154">
        <v>1572683</v>
      </c>
      <c r="S124" s="117">
        <v>43396.7</v>
      </c>
      <c r="T124" s="117">
        <v>3057039</v>
      </c>
      <c r="U124" s="117">
        <v>93130.3</v>
      </c>
      <c r="V124" s="154">
        <v>5030626.54</v>
      </c>
      <c r="W124" s="117">
        <v>56904.1</v>
      </c>
      <c r="X124" s="117">
        <v>2549062.5</v>
      </c>
      <c r="Y124" s="117">
        <v>39542.800000000003</v>
      </c>
      <c r="Z124" s="154">
        <v>1772227</v>
      </c>
      <c r="AA124" s="117">
        <v>25537.1</v>
      </c>
      <c r="AB124" s="117">
        <v>1251843</v>
      </c>
      <c r="AC124" s="117">
        <v>572456.1</v>
      </c>
      <c r="AD124" s="117">
        <v>30861755.039999999</v>
      </c>
      <c r="AE124" s="76"/>
      <c r="AF124" s="76"/>
      <c r="AG124" s="76" t="s">
        <v>3711</v>
      </c>
      <c r="AH124" s="77"/>
    </row>
    <row r="125" spans="1:34">
      <c r="A125" s="573"/>
      <c r="B125" s="582"/>
      <c r="C125" s="573"/>
      <c r="D125" s="76" t="s">
        <v>2298</v>
      </c>
      <c r="E125" s="117">
        <v>49017.3</v>
      </c>
      <c r="F125" s="154">
        <v>896223</v>
      </c>
      <c r="G125" s="117">
        <v>73518.2</v>
      </c>
      <c r="H125" s="117">
        <v>1443401</v>
      </c>
      <c r="I125" s="117">
        <v>73522.899999999994</v>
      </c>
      <c r="J125" s="154">
        <v>1547273</v>
      </c>
      <c r="K125" s="117">
        <v>98051.8</v>
      </c>
      <c r="L125" s="117">
        <v>1939416</v>
      </c>
      <c r="M125" s="117">
        <v>98050.8</v>
      </c>
      <c r="N125" s="154">
        <v>1837640</v>
      </c>
      <c r="O125" s="117">
        <v>24521.3</v>
      </c>
      <c r="P125" s="117">
        <v>393257</v>
      </c>
      <c r="Q125" s="117">
        <v>49042.1</v>
      </c>
      <c r="R125" s="154">
        <v>760349</v>
      </c>
      <c r="S125" s="117">
        <v>49054.3</v>
      </c>
      <c r="T125" s="117">
        <v>568632</v>
      </c>
      <c r="U125" s="117">
        <v>24523.200000000001</v>
      </c>
      <c r="V125" s="154">
        <v>264066</v>
      </c>
      <c r="W125" s="117">
        <v>24514.2</v>
      </c>
      <c r="X125" s="117">
        <v>274718</v>
      </c>
      <c r="Y125" s="117">
        <v>24520.6</v>
      </c>
      <c r="Z125" s="154">
        <v>220927</v>
      </c>
      <c r="AA125" s="117">
        <v>24518</v>
      </c>
      <c r="AB125" s="117">
        <v>209111</v>
      </c>
      <c r="AC125" s="117">
        <v>612854.69999999984</v>
      </c>
      <c r="AD125" s="117">
        <v>10355013</v>
      </c>
      <c r="AE125" s="76"/>
      <c r="AF125" s="76"/>
      <c r="AG125" s="76" t="s">
        <v>3711</v>
      </c>
      <c r="AH125" s="77"/>
    </row>
    <row r="126" spans="1:34">
      <c r="A126" s="576"/>
      <c r="B126" s="576" t="s">
        <v>1878</v>
      </c>
      <c r="C126" s="576" t="s">
        <v>2461</v>
      </c>
      <c r="D126" s="71" t="s">
        <v>2295</v>
      </c>
      <c r="E126" s="87">
        <v>0</v>
      </c>
      <c r="F126" s="155">
        <v>0</v>
      </c>
      <c r="G126" s="87">
        <v>0</v>
      </c>
      <c r="H126" s="87">
        <v>0</v>
      </c>
      <c r="I126" s="87">
        <v>21</v>
      </c>
      <c r="J126" s="155">
        <v>1194</v>
      </c>
      <c r="K126" s="87">
        <v>0</v>
      </c>
      <c r="L126" s="87">
        <v>0</v>
      </c>
      <c r="M126" s="87">
        <v>23.5</v>
      </c>
      <c r="N126" s="155">
        <v>1395</v>
      </c>
      <c r="O126" s="87">
        <v>22</v>
      </c>
      <c r="P126" s="87">
        <v>1593</v>
      </c>
      <c r="Q126" s="87">
        <v>0</v>
      </c>
      <c r="R126" s="155">
        <v>0</v>
      </c>
      <c r="S126" s="87">
        <v>21.5</v>
      </c>
      <c r="T126" s="87">
        <v>956</v>
      </c>
      <c r="U126" s="87">
        <v>10</v>
      </c>
      <c r="V126" s="155">
        <v>470</v>
      </c>
      <c r="W126" s="87">
        <v>18</v>
      </c>
      <c r="X126" s="87">
        <v>789</v>
      </c>
      <c r="Y126" s="87">
        <v>9</v>
      </c>
      <c r="Z126" s="155">
        <v>415</v>
      </c>
      <c r="AA126" s="87">
        <v>19</v>
      </c>
      <c r="AB126" s="87">
        <v>902</v>
      </c>
      <c r="AC126" s="116">
        <f t="shared" ref="AC126" si="25">AA126+Y126+W126+U126+S126+Q126+O126+M126+K126+I126+G126+E126</f>
        <v>144</v>
      </c>
      <c r="AD126" s="116">
        <f t="shared" ref="AD126" si="26">AB126+Z126+X126+V126+T126+R126+P126+N126+L126+J126+H126+F126</f>
        <v>7714</v>
      </c>
      <c r="AE126" s="71"/>
      <c r="AF126" s="71"/>
      <c r="AG126" s="71"/>
      <c r="AH126" s="72"/>
    </row>
    <row r="127" spans="1:34">
      <c r="A127" s="584"/>
      <c r="B127" s="584"/>
      <c r="C127" s="584"/>
      <c r="D127" s="71" t="s">
        <v>2298</v>
      </c>
      <c r="E127" s="87">
        <v>130.33000000000001</v>
      </c>
      <c r="F127" s="155">
        <v>2546</v>
      </c>
      <c r="G127" s="87">
        <v>225.33</v>
      </c>
      <c r="H127" s="87">
        <v>4490</v>
      </c>
      <c r="I127" s="87">
        <v>255.66</v>
      </c>
      <c r="J127" s="155">
        <v>5382</v>
      </c>
      <c r="K127" s="87">
        <v>200.66</v>
      </c>
      <c r="L127" s="87">
        <v>3707</v>
      </c>
      <c r="M127" s="87">
        <v>225.66</v>
      </c>
      <c r="N127" s="155">
        <v>4532</v>
      </c>
      <c r="O127" s="87">
        <v>125.33</v>
      </c>
      <c r="P127" s="87">
        <v>2122</v>
      </c>
      <c r="Q127" s="87">
        <v>150.33000000000001</v>
      </c>
      <c r="R127" s="155">
        <v>1946</v>
      </c>
      <c r="S127" s="87">
        <v>200</v>
      </c>
      <c r="T127" s="87">
        <v>1734</v>
      </c>
      <c r="U127" s="87">
        <v>149.33000000000001</v>
      </c>
      <c r="V127" s="155">
        <v>1493</v>
      </c>
      <c r="W127" s="87">
        <v>189.33</v>
      </c>
      <c r="X127" s="87">
        <v>1585</v>
      </c>
      <c r="Y127" s="87">
        <v>204.5</v>
      </c>
      <c r="Z127" s="155">
        <v>1728</v>
      </c>
      <c r="AA127" s="87">
        <v>154.5</v>
      </c>
      <c r="AB127" s="87">
        <v>1595</v>
      </c>
      <c r="AC127" s="116">
        <f t="shared" ref="AC127:AC128" si="27">AA127+Y127+W127+U127+S127+Q127+O127+M127+K127+I127+G127+E127</f>
        <v>2210.96</v>
      </c>
      <c r="AD127" s="116">
        <f t="shared" ref="AD127:AD128" si="28">AB127+Z127+X127+V127+T127+R127+P127+N127+L127+J127+H127+F127</f>
        <v>32860</v>
      </c>
      <c r="AE127" s="71"/>
      <c r="AF127" s="71"/>
      <c r="AG127" s="71"/>
      <c r="AH127" s="72"/>
    </row>
    <row r="128" spans="1:34">
      <c r="A128" s="577"/>
      <c r="B128" s="577"/>
      <c r="C128" s="577"/>
      <c r="D128" s="71" t="s">
        <v>2301</v>
      </c>
      <c r="E128" s="87">
        <v>0</v>
      </c>
      <c r="F128" s="155">
        <v>0</v>
      </c>
      <c r="G128" s="87">
        <v>0</v>
      </c>
      <c r="H128" s="87">
        <v>0</v>
      </c>
      <c r="I128" s="87">
        <v>0</v>
      </c>
      <c r="J128" s="155">
        <v>0</v>
      </c>
      <c r="K128" s="87">
        <v>22</v>
      </c>
      <c r="L128" s="87">
        <v>297</v>
      </c>
      <c r="M128" s="87">
        <v>0</v>
      </c>
      <c r="N128" s="155">
        <v>0</v>
      </c>
      <c r="O128" s="87">
        <v>0</v>
      </c>
      <c r="P128" s="87">
        <v>0</v>
      </c>
      <c r="Q128" s="87">
        <v>0</v>
      </c>
      <c r="R128" s="155">
        <v>0</v>
      </c>
      <c r="S128" s="87">
        <v>25.2</v>
      </c>
      <c r="T128" s="87">
        <v>229</v>
      </c>
      <c r="U128" s="87">
        <v>23</v>
      </c>
      <c r="V128" s="155">
        <v>248</v>
      </c>
      <c r="W128" s="87">
        <v>0</v>
      </c>
      <c r="X128" s="87">
        <v>0</v>
      </c>
      <c r="Y128" s="87">
        <v>49</v>
      </c>
      <c r="Z128" s="155">
        <v>489</v>
      </c>
      <c r="AA128" s="87">
        <v>0</v>
      </c>
      <c r="AB128" s="87">
        <v>0</v>
      </c>
      <c r="AC128" s="116">
        <f t="shared" si="27"/>
        <v>119.2</v>
      </c>
      <c r="AD128" s="116">
        <f t="shared" si="28"/>
        <v>1263</v>
      </c>
      <c r="AE128" s="71"/>
      <c r="AF128" s="71"/>
      <c r="AG128" s="71"/>
      <c r="AH128" s="72"/>
    </row>
    <row r="129" spans="1:34">
      <c r="A129" s="76"/>
      <c r="B129" s="76"/>
      <c r="C129" s="76"/>
      <c r="D129" s="76"/>
      <c r="E129" s="117"/>
      <c r="F129" s="154"/>
      <c r="G129" s="117"/>
      <c r="H129" s="117"/>
      <c r="I129" s="117"/>
      <c r="J129" s="154"/>
      <c r="K129" s="117"/>
      <c r="L129" s="117"/>
      <c r="M129" s="117"/>
      <c r="N129" s="154"/>
      <c r="O129" s="117"/>
      <c r="P129" s="117"/>
      <c r="Q129" s="117"/>
      <c r="R129" s="154"/>
      <c r="S129" s="117"/>
      <c r="T129" s="117"/>
      <c r="U129" s="117"/>
      <c r="V129" s="154"/>
      <c r="W129" s="117"/>
      <c r="X129" s="117"/>
      <c r="Y129" s="117"/>
      <c r="Z129" s="154"/>
      <c r="AA129" s="117"/>
      <c r="AB129" s="76"/>
      <c r="AC129" s="117"/>
      <c r="AD129" s="117"/>
      <c r="AE129" s="76"/>
      <c r="AF129" s="76"/>
      <c r="AG129" s="76"/>
      <c r="AH129" s="77"/>
    </row>
    <row r="130" spans="1:34">
      <c r="A130" s="71"/>
      <c r="B130" s="72"/>
      <c r="C130" s="71"/>
      <c r="D130" s="71"/>
      <c r="E130" s="71"/>
      <c r="F130" s="72"/>
      <c r="G130" s="71"/>
      <c r="H130" s="71"/>
      <c r="I130" s="71"/>
      <c r="J130" s="72"/>
      <c r="K130" s="71"/>
      <c r="L130" s="71"/>
      <c r="M130" s="71"/>
      <c r="N130" s="72"/>
      <c r="O130" s="71"/>
      <c r="P130" s="71"/>
      <c r="Q130" s="71"/>
      <c r="R130" s="72"/>
      <c r="S130" s="71"/>
      <c r="T130" s="71"/>
      <c r="U130" s="71"/>
      <c r="V130" s="72"/>
      <c r="W130" s="71"/>
      <c r="X130" s="71"/>
      <c r="Y130" s="71"/>
      <c r="Z130" s="72"/>
      <c r="AA130" s="71"/>
      <c r="AB130" s="71"/>
      <c r="AC130" s="71"/>
      <c r="AD130" s="72"/>
      <c r="AE130" s="71"/>
      <c r="AF130" s="71"/>
      <c r="AG130" s="71"/>
      <c r="AH130" s="72"/>
    </row>
    <row r="131" spans="1:34">
      <c r="A131" s="76"/>
      <c r="B131" s="76"/>
      <c r="C131" s="76"/>
      <c r="D131" s="76"/>
      <c r="E131" s="117"/>
      <c r="F131" s="154"/>
      <c r="G131" s="117"/>
      <c r="H131" s="117"/>
      <c r="I131" s="117"/>
      <c r="J131" s="154"/>
      <c r="K131" s="117"/>
      <c r="L131" s="117"/>
      <c r="M131" s="117"/>
      <c r="N131" s="154"/>
      <c r="O131" s="117"/>
      <c r="P131" s="117"/>
      <c r="Q131" s="117"/>
      <c r="R131" s="154"/>
      <c r="S131" s="117"/>
      <c r="T131" s="117"/>
      <c r="U131" s="117"/>
      <c r="V131" s="154"/>
      <c r="W131" s="117"/>
      <c r="X131" s="117"/>
      <c r="Y131" s="117"/>
      <c r="Z131" s="154"/>
      <c r="AA131" s="117"/>
      <c r="AB131" s="76"/>
      <c r="AC131" s="117"/>
      <c r="AD131" s="117"/>
      <c r="AE131" s="76"/>
      <c r="AF131" s="76"/>
      <c r="AG131" s="76"/>
      <c r="AH131" s="77"/>
    </row>
    <row r="132" spans="1:34">
      <c r="A132" s="71"/>
      <c r="B132" s="72"/>
      <c r="C132" s="71"/>
      <c r="D132" s="71"/>
      <c r="E132" s="71"/>
      <c r="F132" s="72"/>
      <c r="G132" s="71"/>
      <c r="H132" s="71"/>
      <c r="I132" s="71"/>
      <c r="J132" s="72"/>
      <c r="K132" s="71"/>
      <c r="L132" s="71"/>
      <c r="M132" s="71"/>
      <c r="N132" s="72"/>
      <c r="O132" s="71"/>
      <c r="P132" s="71"/>
      <c r="Q132" s="71"/>
      <c r="R132" s="72"/>
      <c r="S132" s="71"/>
      <c r="T132" s="71"/>
      <c r="U132" s="71"/>
      <c r="V132" s="72"/>
      <c r="W132" s="71"/>
      <c r="X132" s="71"/>
      <c r="Y132" s="71"/>
      <c r="Z132" s="72"/>
      <c r="AA132" s="71"/>
      <c r="AB132" s="71"/>
      <c r="AC132" s="71"/>
      <c r="AD132" s="72"/>
      <c r="AE132" s="71"/>
      <c r="AF132" s="71"/>
      <c r="AG132" s="71"/>
      <c r="AH132" s="72"/>
    </row>
    <row r="133" spans="1:34">
      <c r="A133" s="76"/>
      <c r="B133" s="76"/>
      <c r="C133" s="76"/>
      <c r="D133" s="76"/>
      <c r="E133" s="117"/>
      <c r="F133" s="154"/>
      <c r="G133" s="117"/>
      <c r="H133" s="117"/>
      <c r="I133" s="117"/>
      <c r="J133" s="154"/>
      <c r="K133" s="117"/>
      <c r="L133" s="117"/>
      <c r="M133" s="117"/>
      <c r="N133" s="154"/>
      <c r="O133" s="117"/>
      <c r="P133" s="117"/>
      <c r="Q133" s="117"/>
      <c r="R133" s="154"/>
      <c r="S133" s="117"/>
      <c r="T133" s="117"/>
      <c r="U133" s="117"/>
      <c r="V133" s="154"/>
      <c r="W133" s="117"/>
      <c r="X133" s="117"/>
      <c r="Y133" s="117"/>
      <c r="Z133" s="154"/>
      <c r="AA133" s="117"/>
      <c r="AB133" s="76"/>
      <c r="AC133" s="117"/>
      <c r="AD133" s="117"/>
      <c r="AE133" s="76"/>
      <c r="AF133" s="76"/>
      <c r="AG133" s="76"/>
      <c r="AH133" s="77"/>
    </row>
  </sheetData>
  <mergeCells count="105">
    <mergeCell ref="A20:A21"/>
    <mergeCell ref="B20:B21"/>
    <mergeCell ref="C20:C21"/>
    <mergeCell ref="A22:A23"/>
    <mergeCell ref="A10:A11"/>
    <mergeCell ref="B10:B11"/>
    <mergeCell ref="C10:C11"/>
    <mergeCell ref="A12:A17"/>
    <mergeCell ref="B12:B17"/>
    <mergeCell ref="C12:C17"/>
    <mergeCell ref="A18:A19"/>
    <mergeCell ref="B18:B19"/>
    <mergeCell ref="C18:C19"/>
    <mergeCell ref="B22:B23"/>
    <mergeCell ref="C22:C23"/>
    <mergeCell ref="AF6:AF7"/>
    <mergeCell ref="AG6:AG7"/>
    <mergeCell ref="AH6:AH7"/>
    <mergeCell ref="A8:A9"/>
    <mergeCell ref="B8:B9"/>
    <mergeCell ref="C8:C9"/>
    <mergeCell ref="U6:V6"/>
    <mergeCell ref="W6:X6"/>
    <mergeCell ref="Y6:Z6"/>
    <mergeCell ref="AA6:AB6"/>
    <mergeCell ref="AC6:AD6"/>
    <mergeCell ref="AE6:AE7"/>
    <mergeCell ref="I6:J6"/>
    <mergeCell ref="K6:L6"/>
    <mergeCell ref="M6:N6"/>
    <mergeCell ref="O6:P6"/>
    <mergeCell ref="Q6:R6"/>
    <mergeCell ref="S6:T6"/>
    <mergeCell ref="A6:A7"/>
    <mergeCell ref="B6:B7"/>
    <mergeCell ref="C6:C7"/>
    <mergeCell ref="D6:D7"/>
    <mergeCell ref="E6:F6"/>
    <mergeCell ref="G6:H6"/>
    <mergeCell ref="A26:A31"/>
    <mergeCell ref="B26:B31"/>
    <mergeCell ref="C26:C31"/>
    <mergeCell ref="A32:A33"/>
    <mergeCell ref="B32:B33"/>
    <mergeCell ref="C32:C33"/>
    <mergeCell ref="A34:A35"/>
    <mergeCell ref="B34:B35"/>
    <mergeCell ref="C34:C35"/>
    <mergeCell ref="A36:A37"/>
    <mergeCell ref="B36:B37"/>
    <mergeCell ref="C36:C37"/>
    <mergeCell ref="A39:A40"/>
    <mergeCell ref="B39:B40"/>
    <mergeCell ref="C39:C40"/>
    <mergeCell ref="A41:A44"/>
    <mergeCell ref="B41:B44"/>
    <mergeCell ref="C41:C44"/>
    <mergeCell ref="A46:A47"/>
    <mergeCell ref="B46:B47"/>
    <mergeCell ref="C46:C47"/>
    <mergeCell ref="A48:A49"/>
    <mergeCell ref="B48:B49"/>
    <mergeCell ref="C48:C49"/>
    <mergeCell ref="A51:A52"/>
    <mergeCell ref="B51:B52"/>
    <mergeCell ref="C51:C52"/>
    <mergeCell ref="A54:A55"/>
    <mergeCell ref="B54:B55"/>
    <mergeCell ref="C54:C55"/>
    <mergeCell ref="A57:A58"/>
    <mergeCell ref="B57:B58"/>
    <mergeCell ref="C57:C58"/>
    <mergeCell ref="A59:A60"/>
    <mergeCell ref="B59:B60"/>
    <mergeCell ref="C59:C60"/>
    <mergeCell ref="A61:A65"/>
    <mergeCell ref="B61:B65"/>
    <mergeCell ref="C61:C65"/>
    <mergeCell ref="A66:A67"/>
    <mergeCell ref="B66:B67"/>
    <mergeCell ref="C66:C67"/>
    <mergeCell ref="A68:A70"/>
    <mergeCell ref="B68:B70"/>
    <mergeCell ref="C68:C70"/>
    <mergeCell ref="C126:C128"/>
    <mergeCell ref="B126:B128"/>
    <mergeCell ref="A126:A128"/>
    <mergeCell ref="A74:A76"/>
    <mergeCell ref="B74:B76"/>
    <mergeCell ref="C74:C76"/>
    <mergeCell ref="A79:A80"/>
    <mergeCell ref="B79:B80"/>
    <mergeCell ref="C79:C80"/>
    <mergeCell ref="A112:A113"/>
    <mergeCell ref="B112:B113"/>
    <mergeCell ref="C112:C113"/>
    <mergeCell ref="A83:A84"/>
    <mergeCell ref="B83:B84"/>
    <mergeCell ref="C83:C84"/>
    <mergeCell ref="A94:A97"/>
    <mergeCell ref="B94:B97"/>
    <mergeCell ref="C94:C97"/>
    <mergeCell ref="C124:C125"/>
    <mergeCell ref="B124:B125"/>
    <mergeCell ref="A124:A12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3:D65"/>
  <sheetViews>
    <sheetView zoomScale="90" zoomScaleNormal="90" workbookViewId="0">
      <selection activeCell="A3" sqref="A3"/>
    </sheetView>
  </sheetViews>
  <sheetFormatPr baseColWidth="10" defaultRowHeight="13.8"/>
  <cols>
    <col min="1" max="1" width="10.69921875" style="67"/>
    <col min="2" max="2" width="57.59765625" bestFit="1" customWidth="1"/>
  </cols>
  <sheetData>
    <row r="3" spans="1:4" ht="16.2">
      <c r="A3" s="10" t="s">
        <v>2326</v>
      </c>
    </row>
    <row r="6" spans="1:4">
      <c r="C6" s="613" t="s">
        <v>1086</v>
      </c>
      <c r="D6" s="613"/>
    </row>
    <row r="7" spans="1:4" ht="14.4" thickBot="1">
      <c r="B7" s="97" t="s">
        <v>1087</v>
      </c>
      <c r="C7" s="97" t="s">
        <v>1088</v>
      </c>
      <c r="D7" s="97" t="s">
        <v>1081</v>
      </c>
    </row>
    <row r="8" spans="1:4" ht="15" thickTop="1">
      <c r="A8" s="36">
        <v>5</v>
      </c>
      <c r="B8" s="98" t="s">
        <v>643</v>
      </c>
      <c r="C8" s="36"/>
      <c r="D8" s="36" t="s">
        <v>1089</v>
      </c>
    </row>
    <row r="9" spans="1:4" ht="14.4">
      <c r="A9" s="34">
        <v>8</v>
      </c>
      <c r="B9" s="99" t="s">
        <v>656</v>
      </c>
      <c r="C9" s="34" t="s">
        <v>1089</v>
      </c>
      <c r="D9" s="34"/>
    </row>
    <row r="10" spans="1:4" ht="14.4">
      <c r="A10" s="36">
        <v>10</v>
      </c>
      <c r="B10" s="98" t="s">
        <v>666</v>
      </c>
      <c r="C10" s="36" t="s">
        <v>1089</v>
      </c>
      <c r="D10" s="36"/>
    </row>
    <row r="11" spans="1:4" ht="14.4">
      <c r="A11" s="34">
        <v>11</v>
      </c>
      <c r="B11" s="99" t="s">
        <v>670</v>
      </c>
      <c r="C11" s="34"/>
      <c r="D11" s="34" t="s">
        <v>1089</v>
      </c>
    </row>
    <row r="12" spans="1:4" ht="14.4">
      <c r="A12" s="36">
        <v>13</v>
      </c>
      <c r="B12" s="98" t="s">
        <v>682</v>
      </c>
      <c r="C12" s="36" t="s">
        <v>1089</v>
      </c>
      <c r="D12" s="36"/>
    </row>
    <row r="13" spans="1:4" ht="14.4">
      <c r="A13" s="34">
        <v>14</v>
      </c>
      <c r="B13" s="99" t="s">
        <v>96</v>
      </c>
      <c r="C13" s="34"/>
      <c r="D13" s="34" t="s">
        <v>1089</v>
      </c>
    </row>
    <row r="14" spans="1:4" ht="14.4">
      <c r="A14" s="36">
        <v>16</v>
      </c>
      <c r="B14" s="98" t="s">
        <v>700</v>
      </c>
      <c r="C14" s="36"/>
      <c r="D14" s="36" t="s">
        <v>1089</v>
      </c>
    </row>
    <row r="15" spans="1:4" ht="14.4">
      <c r="A15" s="34">
        <v>17</v>
      </c>
      <c r="B15" s="99" t="s">
        <v>102</v>
      </c>
      <c r="C15" s="34"/>
      <c r="D15" s="34" t="s">
        <v>1089</v>
      </c>
    </row>
    <row r="16" spans="1:4" ht="14.4">
      <c r="A16" s="36">
        <v>19</v>
      </c>
      <c r="B16" s="98" t="s">
        <v>229</v>
      </c>
      <c r="C16" s="36"/>
      <c r="D16" s="36" t="s">
        <v>1089</v>
      </c>
    </row>
    <row r="17" spans="1:4" ht="14.4">
      <c r="A17" s="34">
        <v>20</v>
      </c>
      <c r="B17" s="99" t="s">
        <v>713</v>
      </c>
      <c r="C17" s="34"/>
      <c r="D17" s="34" t="s">
        <v>1089</v>
      </c>
    </row>
    <row r="18" spans="1:4" ht="14.4">
      <c r="A18" s="36">
        <v>21</v>
      </c>
      <c r="B18" s="98" t="s">
        <v>717</v>
      </c>
      <c r="C18" s="36"/>
      <c r="D18" s="36" t="s">
        <v>1089</v>
      </c>
    </row>
    <row r="19" spans="1:4" ht="14.4">
      <c r="A19" s="34">
        <v>22</v>
      </c>
      <c r="B19" s="99" t="s">
        <v>721</v>
      </c>
      <c r="C19" s="34"/>
      <c r="D19" s="34"/>
    </row>
    <row r="20" spans="1:4" ht="14.4">
      <c r="A20" s="36">
        <v>24</v>
      </c>
      <c r="B20" s="98" t="s">
        <v>729</v>
      </c>
      <c r="C20" s="36"/>
      <c r="D20" s="36" t="s">
        <v>1089</v>
      </c>
    </row>
    <row r="21" spans="1:4" ht="14.4">
      <c r="A21" s="34">
        <v>25</v>
      </c>
      <c r="B21" s="99" t="s">
        <v>128</v>
      </c>
      <c r="C21" s="34"/>
      <c r="D21" s="34" t="s">
        <v>1089</v>
      </c>
    </row>
    <row r="22" spans="1:4" ht="14.4">
      <c r="A22" s="36">
        <v>26</v>
      </c>
      <c r="B22" s="98" t="s">
        <v>740</v>
      </c>
      <c r="C22" s="36" t="s">
        <v>1090</v>
      </c>
      <c r="D22" s="36"/>
    </row>
    <row r="23" spans="1:4" ht="14.4">
      <c r="A23" s="34">
        <v>29</v>
      </c>
      <c r="B23" s="99" t="s">
        <v>752</v>
      </c>
      <c r="C23" s="34" t="s">
        <v>1089</v>
      </c>
      <c r="D23" s="34"/>
    </row>
    <row r="24" spans="1:4" ht="14.4">
      <c r="A24" s="36">
        <v>32</v>
      </c>
      <c r="B24" s="98" t="s">
        <v>763</v>
      </c>
      <c r="C24" s="36"/>
      <c r="D24" s="36" t="s">
        <v>1089</v>
      </c>
    </row>
    <row r="25" spans="1:4" ht="14.4">
      <c r="A25" s="34">
        <v>33</v>
      </c>
      <c r="B25" s="99" t="s">
        <v>767</v>
      </c>
      <c r="C25" s="34" t="s">
        <v>1089</v>
      </c>
      <c r="D25" s="34"/>
    </row>
    <row r="26" spans="1:4" ht="14.4">
      <c r="A26" s="36">
        <v>34</v>
      </c>
      <c r="B26" s="98" t="s">
        <v>774</v>
      </c>
      <c r="C26" s="36" t="s">
        <v>1089</v>
      </c>
      <c r="D26" s="36"/>
    </row>
    <row r="27" spans="1:4" ht="14.4">
      <c r="A27" s="34">
        <v>36</v>
      </c>
      <c r="B27" s="99" t="s">
        <v>778</v>
      </c>
      <c r="C27" s="34"/>
      <c r="D27" s="34" t="s">
        <v>1089</v>
      </c>
    </row>
    <row r="28" spans="1:4" ht="14.4">
      <c r="A28" s="36">
        <v>38</v>
      </c>
      <c r="B28" s="98" t="s">
        <v>786</v>
      </c>
      <c r="C28" s="36"/>
      <c r="D28" s="36" t="s">
        <v>1089</v>
      </c>
    </row>
    <row r="29" spans="1:4" ht="14.4">
      <c r="A29" s="34">
        <v>41</v>
      </c>
      <c r="B29" s="99" t="s">
        <v>227</v>
      </c>
      <c r="C29" s="34"/>
      <c r="D29" s="34" t="s">
        <v>1089</v>
      </c>
    </row>
    <row r="30" spans="1:4" ht="14.4">
      <c r="A30" s="36">
        <v>45</v>
      </c>
      <c r="B30" s="98" t="s">
        <v>801</v>
      </c>
      <c r="C30" s="36"/>
      <c r="D30" s="36" t="s">
        <v>1089</v>
      </c>
    </row>
    <row r="31" spans="1:4" ht="14.4">
      <c r="A31" s="34">
        <v>47</v>
      </c>
      <c r="B31" s="99" t="s">
        <v>806</v>
      </c>
      <c r="C31" s="34"/>
      <c r="D31" s="34" t="s">
        <v>1089</v>
      </c>
    </row>
    <row r="32" spans="1:4" ht="14.4">
      <c r="A32" s="36">
        <v>48</v>
      </c>
      <c r="B32" s="98" t="s">
        <v>812</v>
      </c>
      <c r="C32" s="36"/>
      <c r="D32" s="36" t="s">
        <v>1089</v>
      </c>
    </row>
    <row r="33" spans="1:4" ht="14.4">
      <c r="A33" s="34">
        <v>49</v>
      </c>
      <c r="B33" s="99" t="s">
        <v>189</v>
      </c>
      <c r="C33" s="34"/>
      <c r="D33" s="34"/>
    </row>
    <row r="34" spans="1:4" ht="14.4">
      <c r="A34" s="36">
        <v>53</v>
      </c>
      <c r="B34" s="98" t="s">
        <v>175</v>
      </c>
      <c r="C34" s="36"/>
      <c r="D34" s="36" t="s">
        <v>1089</v>
      </c>
    </row>
    <row r="35" spans="1:4" ht="14.4">
      <c r="A35" s="34">
        <v>55</v>
      </c>
      <c r="B35" s="99" t="s">
        <v>827</v>
      </c>
      <c r="C35" s="34"/>
      <c r="D35" s="34" t="s">
        <v>1089</v>
      </c>
    </row>
    <row r="36" spans="1:4" ht="14.4">
      <c r="A36" s="36">
        <v>58</v>
      </c>
      <c r="B36" s="98" t="s">
        <v>173</v>
      </c>
      <c r="C36" s="36"/>
      <c r="D36" s="36" t="s">
        <v>1089</v>
      </c>
    </row>
    <row r="37" spans="1:4" ht="14.4">
      <c r="A37" s="34">
        <v>61</v>
      </c>
      <c r="B37" s="99" t="s">
        <v>459</v>
      </c>
      <c r="C37" s="34"/>
      <c r="D37" s="34" t="s">
        <v>1089</v>
      </c>
    </row>
    <row r="38" spans="1:4" ht="14.4">
      <c r="A38" s="36">
        <v>63</v>
      </c>
      <c r="B38" s="98" t="s">
        <v>851</v>
      </c>
      <c r="C38" s="36"/>
      <c r="D38" s="36" t="s">
        <v>1089</v>
      </c>
    </row>
    <row r="39" spans="1:4" ht="14.4">
      <c r="A39" s="34">
        <v>71</v>
      </c>
      <c r="B39" s="99" t="s">
        <v>863</v>
      </c>
      <c r="C39" s="34"/>
      <c r="D39" s="34" t="s">
        <v>1089</v>
      </c>
    </row>
    <row r="40" spans="1:4" ht="14.4">
      <c r="A40" s="36">
        <v>74</v>
      </c>
      <c r="B40" s="98" t="s">
        <v>867</v>
      </c>
      <c r="C40" s="36"/>
      <c r="D40" s="36" t="s">
        <v>1089</v>
      </c>
    </row>
    <row r="41" spans="1:4" ht="14.4">
      <c r="A41" s="34">
        <v>79</v>
      </c>
      <c r="B41" s="99" t="s">
        <v>877</v>
      </c>
      <c r="C41" s="34"/>
      <c r="D41" s="34" t="s">
        <v>1089</v>
      </c>
    </row>
    <row r="42" spans="1:4" ht="14.4">
      <c r="A42" s="36">
        <v>80</v>
      </c>
      <c r="B42" s="98" t="s">
        <v>881</v>
      </c>
      <c r="C42" s="36"/>
      <c r="D42" s="36" t="s">
        <v>1089</v>
      </c>
    </row>
    <row r="43" spans="1:4" ht="14.4">
      <c r="A43" s="34">
        <v>85</v>
      </c>
      <c r="B43" s="99" t="s">
        <v>894</v>
      </c>
      <c r="C43" s="34" t="s">
        <v>1090</v>
      </c>
      <c r="D43" s="34"/>
    </row>
    <row r="44" spans="1:4" ht="14.4">
      <c r="A44" s="36">
        <v>87</v>
      </c>
      <c r="B44" s="98" t="s">
        <v>197</v>
      </c>
      <c r="C44" s="36" t="s">
        <v>1090</v>
      </c>
      <c r="D44" s="36"/>
    </row>
    <row r="45" spans="1:4" ht="14.4">
      <c r="A45" s="34">
        <v>89</v>
      </c>
      <c r="B45" s="99" t="s">
        <v>198</v>
      </c>
      <c r="C45" s="34"/>
      <c r="D45" s="34" t="s">
        <v>1089</v>
      </c>
    </row>
    <row r="46" spans="1:4" ht="14.4">
      <c r="A46" s="36">
        <v>97</v>
      </c>
      <c r="B46" s="98" t="s">
        <v>917</v>
      </c>
      <c r="C46" s="36"/>
      <c r="D46" s="36" t="s">
        <v>1089</v>
      </c>
    </row>
    <row r="47" spans="1:4" ht="14.4">
      <c r="A47" s="34">
        <v>98</v>
      </c>
      <c r="B47" s="99" t="s">
        <v>922</v>
      </c>
      <c r="C47" s="34"/>
      <c r="D47" s="34" t="s">
        <v>1089</v>
      </c>
    </row>
    <row r="48" spans="1:4" ht="14.4">
      <c r="A48" s="36">
        <v>106</v>
      </c>
      <c r="B48" s="98" t="s">
        <v>72</v>
      </c>
      <c r="C48" s="36" t="s">
        <v>1090</v>
      </c>
      <c r="D48" s="36"/>
    </row>
    <row r="49" spans="1:4" ht="14.4">
      <c r="A49" s="34">
        <v>107</v>
      </c>
      <c r="B49" s="99" t="s">
        <v>92</v>
      </c>
      <c r="C49" s="34"/>
      <c r="D49" s="34" t="s">
        <v>1089</v>
      </c>
    </row>
    <row r="50" spans="1:4" ht="14.4">
      <c r="A50" s="36">
        <v>18</v>
      </c>
      <c r="B50" s="98" t="s">
        <v>3331</v>
      </c>
      <c r="C50" s="36" t="s">
        <v>1089</v>
      </c>
      <c r="D50" s="36"/>
    </row>
    <row r="51" spans="1:4" ht="14.4">
      <c r="A51" s="34"/>
      <c r="B51" s="99" t="s">
        <v>3659</v>
      </c>
      <c r="C51" s="34"/>
      <c r="D51" s="34" t="s">
        <v>1089</v>
      </c>
    </row>
    <row r="52" spans="1:4" ht="14.4">
      <c r="A52" s="36"/>
      <c r="B52" s="98" t="s">
        <v>3704</v>
      </c>
      <c r="C52" s="36"/>
      <c r="D52" s="36" t="s">
        <v>1089</v>
      </c>
    </row>
    <row r="53" spans="1:4" ht="14.4">
      <c r="A53" s="34"/>
      <c r="B53" s="99" t="s">
        <v>3714</v>
      </c>
      <c r="C53" s="34"/>
      <c r="D53" s="34" t="s">
        <v>1089</v>
      </c>
    </row>
    <row r="54" spans="1:4" ht="14.4">
      <c r="A54" s="36"/>
      <c r="B54" s="98" t="s">
        <v>3734</v>
      </c>
      <c r="C54" s="36"/>
      <c r="D54" s="36" t="s">
        <v>1089</v>
      </c>
    </row>
    <row r="55" spans="1:4" ht="14.4">
      <c r="A55" s="34"/>
      <c r="B55" s="99" t="s">
        <v>3736</v>
      </c>
      <c r="C55" s="34"/>
      <c r="D55" s="34" t="s">
        <v>1089</v>
      </c>
    </row>
    <row r="56" spans="1:4" ht="14.4">
      <c r="A56" s="36"/>
      <c r="B56" s="98" t="s">
        <v>3747</v>
      </c>
      <c r="C56" s="36"/>
      <c r="D56" s="36" t="s">
        <v>1089</v>
      </c>
    </row>
    <row r="57" spans="1:4" ht="14.4">
      <c r="A57" s="34"/>
      <c r="B57" s="99" t="s">
        <v>1878</v>
      </c>
      <c r="C57" s="34"/>
      <c r="D57" s="34" t="s">
        <v>1089</v>
      </c>
    </row>
    <row r="58" spans="1:4" ht="14.4">
      <c r="A58" s="36"/>
      <c r="B58" s="98"/>
      <c r="C58" s="36"/>
      <c r="D58" s="36"/>
    </row>
    <row r="59" spans="1:4" ht="14.4">
      <c r="A59" s="34"/>
      <c r="B59" s="99"/>
      <c r="C59" s="34"/>
      <c r="D59" s="34"/>
    </row>
    <row r="60" spans="1:4" ht="14.4">
      <c r="A60" s="36"/>
      <c r="B60" s="98"/>
      <c r="C60" s="36"/>
      <c r="D60" s="36"/>
    </row>
    <row r="61" spans="1:4" ht="14.4">
      <c r="A61" s="34"/>
      <c r="B61" s="99"/>
      <c r="C61" s="34"/>
      <c r="D61" s="34"/>
    </row>
    <row r="62" spans="1:4" ht="14.4">
      <c r="A62" s="36"/>
      <c r="B62" s="98"/>
      <c r="C62" s="36"/>
      <c r="D62" s="36"/>
    </row>
    <row r="63" spans="1:4" ht="14.4">
      <c r="A63" s="34"/>
      <c r="B63" s="99"/>
      <c r="C63" s="34"/>
      <c r="D63" s="34"/>
    </row>
    <row r="64" spans="1:4" ht="14.4">
      <c r="A64" s="36"/>
      <c r="B64" s="98"/>
      <c r="C64" s="36"/>
      <c r="D64" s="36"/>
    </row>
    <row r="65" spans="1:4" ht="14.4">
      <c r="A65" s="34"/>
      <c r="B65" s="99"/>
      <c r="C65" s="34"/>
      <c r="D65" s="34"/>
    </row>
  </sheetData>
  <mergeCells count="1">
    <mergeCell ref="C6:D6"/>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3:D14"/>
  <sheetViews>
    <sheetView workbookViewId="0">
      <selection activeCell="A3" sqref="A3"/>
    </sheetView>
  </sheetViews>
  <sheetFormatPr baseColWidth="10" defaultRowHeight="13.8"/>
  <cols>
    <col min="2" max="2" width="29.296875" bestFit="1" customWidth="1"/>
  </cols>
  <sheetData>
    <row r="3" spans="1:4" ht="16.2">
      <c r="A3" s="10" t="s">
        <v>2437</v>
      </c>
    </row>
    <row r="6" spans="1:4">
      <c r="A6" s="67"/>
      <c r="C6" s="613" t="s">
        <v>1086</v>
      </c>
      <c r="D6" s="613"/>
    </row>
    <row r="7" spans="1:4" ht="14.4" thickBot="1">
      <c r="A7" s="67"/>
      <c r="B7" s="97" t="s">
        <v>1087</v>
      </c>
      <c r="C7" s="97" t="s">
        <v>1088</v>
      </c>
      <c r="D7" s="97" t="s">
        <v>1081</v>
      </c>
    </row>
    <row r="8" spans="1:4" ht="15" thickTop="1">
      <c r="A8" s="36">
        <v>5</v>
      </c>
      <c r="B8" s="98" t="s">
        <v>1023</v>
      </c>
      <c r="C8" s="36" t="s">
        <v>1089</v>
      </c>
      <c r="D8" s="36"/>
    </row>
    <row r="9" spans="1:4" ht="14.4">
      <c r="A9" s="34">
        <v>8</v>
      </c>
      <c r="B9" s="99" t="s">
        <v>1027</v>
      </c>
      <c r="C9" s="34" t="s">
        <v>1089</v>
      </c>
      <c r="D9" s="34"/>
    </row>
    <row r="10" spans="1:4" ht="14.4">
      <c r="A10" s="36">
        <v>10</v>
      </c>
      <c r="B10" s="98" t="s">
        <v>1029</v>
      </c>
      <c r="C10" s="36" t="s">
        <v>1089</v>
      </c>
      <c r="D10" s="36"/>
    </row>
    <row r="11" spans="1:4" ht="14.4">
      <c r="A11" s="34">
        <v>11</v>
      </c>
      <c r="B11" s="99" t="s">
        <v>1032</v>
      </c>
      <c r="C11" s="34" t="s">
        <v>1089</v>
      </c>
      <c r="D11" s="34"/>
    </row>
    <row r="12" spans="1:4" ht="14.4">
      <c r="A12" s="36">
        <v>13</v>
      </c>
      <c r="B12" s="98" t="s">
        <v>1035</v>
      </c>
      <c r="C12" s="36" t="s">
        <v>1089</v>
      </c>
      <c r="D12" s="36"/>
    </row>
    <row r="13" spans="1:4" ht="14.4">
      <c r="A13" s="34">
        <v>14</v>
      </c>
      <c r="B13" s="99" t="s">
        <v>1039</v>
      </c>
      <c r="C13" s="34" t="s">
        <v>1090</v>
      </c>
      <c r="D13" s="34"/>
    </row>
    <row r="14" spans="1:4" ht="14.4">
      <c r="A14" s="36">
        <v>16</v>
      </c>
      <c r="B14" s="98" t="s">
        <v>1051</v>
      </c>
      <c r="C14" s="36" t="s">
        <v>1090</v>
      </c>
      <c r="D14" s="36"/>
    </row>
  </sheetData>
  <mergeCells count="1">
    <mergeCell ref="C6: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0"/>
  <dimension ref="A3:E110"/>
  <sheetViews>
    <sheetView workbookViewId="0">
      <selection activeCell="A3" sqref="A3"/>
    </sheetView>
  </sheetViews>
  <sheetFormatPr baseColWidth="10" defaultColWidth="11.59765625" defaultRowHeight="12"/>
  <cols>
    <col min="1" max="1" width="26.296875" style="156" bestFit="1" customWidth="1"/>
    <col min="2" max="2" width="80.3984375" style="156" customWidth="1"/>
    <col min="3" max="3" width="17.59765625" style="157" bestFit="1" customWidth="1"/>
    <col min="4" max="4" width="11" style="157" customWidth="1"/>
    <col min="5" max="5" width="16" style="156" customWidth="1"/>
    <col min="6" max="16384" width="11.59765625" style="156"/>
  </cols>
  <sheetData>
    <row r="3" spans="1:5" ht="16.2">
      <c r="A3" s="10" t="s">
        <v>2438</v>
      </c>
    </row>
    <row r="5" spans="1:5">
      <c r="A5" s="158"/>
      <c r="B5" s="158"/>
      <c r="C5" s="159"/>
      <c r="D5" s="159"/>
      <c r="E5" s="158"/>
    </row>
    <row r="6" spans="1:5" ht="13.8" thickBot="1">
      <c r="A6" s="97" t="s">
        <v>2327</v>
      </c>
      <c r="B6" s="97" t="s">
        <v>2328</v>
      </c>
      <c r="C6" s="97" t="s">
        <v>2329</v>
      </c>
      <c r="D6" s="97"/>
    </row>
    <row r="7" spans="1:5" ht="15.6" customHeight="1" thickTop="1" thickBot="1">
      <c r="A7" s="621" t="s">
        <v>2330</v>
      </c>
      <c r="B7" s="622"/>
      <c r="C7" s="91" t="s">
        <v>2331</v>
      </c>
      <c r="D7" s="91" t="s">
        <v>2332</v>
      </c>
    </row>
    <row r="8" spans="1:5">
      <c r="A8" s="623" t="s">
        <v>2333</v>
      </c>
      <c r="B8" s="160" t="s">
        <v>2334</v>
      </c>
      <c r="C8" s="161" t="s">
        <v>2335</v>
      </c>
      <c r="D8" s="162" t="s">
        <v>2336</v>
      </c>
    </row>
    <row r="9" spans="1:5">
      <c r="A9" s="624"/>
      <c r="B9" s="163" t="s">
        <v>2337</v>
      </c>
      <c r="C9" s="164" t="s">
        <v>2335</v>
      </c>
      <c r="D9" s="165" t="s">
        <v>2336</v>
      </c>
    </row>
    <row r="10" spans="1:5">
      <c r="A10" s="624"/>
      <c r="B10" s="163" t="s">
        <v>2338</v>
      </c>
      <c r="C10" s="164" t="s">
        <v>2335</v>
      </c>
      <c r="D10" s="165" t="s">
        <v>2336</v>
      </c>
    </row>
    <row r="11" spans="1:5">
      <c r="A11" s="624"/>
      <c r="B11" s="163" t="s">
        <v>2339</v>
      </c>
      <c r="C11" s="164" t="s">
        <v>2335</v>
      </c>
      <c r="D11" s="165" t="s">
        <v>2336</v>
      </c>
    </row>
    <row r="12" spans="1:5">
      <c r="A12" s="624"/>
      <c r="B12" s="163" t="s">
        <v>2340</v>
      </c>
      <c r="C12" s="164" t="s">
        <v>2335</v>
      </c>
      <c r="D12" s="165" t="s">
        <v>2336</v>
      </c>
    </row>
    <row r="13" spans="1:5">
      <c r="A13" s="624"/>
      <c r="B13" s="163" t="s">
        <v>2341</v>
      </c>
      <c r="C13" s="164" t="s">
        <v>2335</v>
      </c>
      <c r="D13" s="165"/>
    </row>
    <row r="14" spans="1:5" ht="12.6" thickBot="1">
      <c r="A14" s="625"/>
      <c r="B14" s="166" t="s">
        <v>2342</v>
      </c>
      <c r="C14" s="167" t="s">
        <v>2335</v>
      </c>
      <c r="D14" s="168" t="s">
        <v>2336</v>
      </c>
    </row>
    <row r="15" spans="1:5">
      <c r="A15" s="623" t="s">
        <v>2343</v>
      </c>
      <c r="B15" s="160" t="s">
        <v>2344</v>
      </c>
      <c r="C15" s="161" t="s">
        <v>2335</v>
      </c>
      <c r="D15" s="162"/>
    </row>
    <row r="16" spans="1:5" ht="12.6" thickBot="1">
      <c r="A16" s="625"/>
      <c r="B16" s="166" t="s">
        <v>2345</v>
      </c>
      <c r="C16" s="167" t="s">
        <v>2335</v>
      </c>
      <c r="D16" s="168"/>
    </row>
    <row r="17" spans="1:4">
      <c r="A17" s="623" t="s">
        <v>1</v>
      </c>
      <c r="B17" s="160" t="s">
        <v>2346</v>
      </c>
      <c r="C17" s="169"/>
      <c r="D17" s="162" t="s">
        <v>2336</v>
      </c>
    </row>
    <row r="18" spans="1:4">
      <c r="A18" s="624"/>
      <c r="B18" s="163" t="s">
        <v>2347</v>
      </c>
      <c r="C18" s="170"/>
      <c r="D18" s="165" t="s">
        <v>2336</v>
      </c>
    </row>
    <row r="19" spans="1:4">
      <c r="A19" s="624"/>
      <c r="B19" s="163" t="s">
        <v>2348</v>
      </c>
      <c r="C19" s="170"/>
      <c r="D19" s="165" t="s">
        <v>2336</v>
      </c>
    </row>
    <row r="20" spans="1:4">
      <c r="A20" s="624"/>
      <c r="B20" s="163" t="s">
        <v>2349</v>
      </c>
      <c r="C20" s="170"/>
      <c r="D20" s="165" t="s">
        <v>2336</v>
      </c>
    </row>
    <row r="21" spans="1:4">
      <c r="A21" s="624"/>
      <c r="B21" s="163" t="s">
        <v>2350</v>
      </c>
      <c r="C21" s="170"/>
      <c r="D21" s="165" t="s">
        <v>2336</v>
      </c>
    </row>
    <row r="22" spans="1:4">
      <c r="A22" s="624"/>
      <c r="B22" s="163" t="s">
        <v>2351</v>
      </c>
      <c r="C22" s="170"/>
      <c r="D22" s="165" t="s">
        <v>2336</v>
      </c>
    </row>
    <row r="23" spans="1:4">
      <c r="A23" s="624"/>
      <c r="B23" s="163" t="s">
        <v>2352</v>
      </c>
      <c r="C23" s="170"/>
      <c r="D23" s="165" t="s">
        <v>2336</v>
      </c>
    </row>
    <row r="24" spans="1:4">
      <c r="A24" s="624"/>
      <c r="B24" s="163" t="s">
        <v>2353</v>
      </c>
      <c r="C24" s="170"/>
      <c r="D24" s="165" t="s">
        <v>2336</v>
      </c>
    </row>
    <row r="25" spans="1:4">
      <c r="A25" s="624"/>
      <c r="B25" s="163" t="s">
        <v>2354</v>
      </c>
      <c r="C25" s="170"/>
      <c r="D25" s="165" t="s">
        <v>2336</v>
      </c>
    </row>
    <row r="26" spans="1:4">
      <c r="A26" s="624"/>
      <c r="B26" s="163" t="s">
        <v>2355</v>
      </c>
      <c r="C26" s="164" t="s">
        <v>2335</v>
      </c>
      <c r="D26" s="165" t="s">
        <v>2336</v>
      </c>
    </row>
    <row r="27" spans="1:4">
      <c r="A27" s="624"/>
      <c r="B27" s="163" t="s">
        <v>2356</v>
      </c>
      <c r="C27" s="164" t="s">
        <v>2335</v>
      </c>
      <c r="D27" s="165"/>
    </row>
    <row r="28" spans="1:4">
      <c r="A28" s="624"/>
      <c r="B28" s="163" t="s">
        <v>2357</v>
      </c>
      <c r="C28" s="164" t="s">
        <v>2335</v>
      </c>
      <c r="D28" s="165"/>
    </row>
    <row r="29" spans="1:4">
      <c r="A29" s="624"/>
      <c r="B29" s="163" t="s">
        <v>2358</v>
      </c>
      <c r="C29" s="164" t="s">
        <v>2335</v>
      </c>
      <c r="D29" s="165"/>
    </row>
    <row r="30" spans="1:4">
      <c r="A30" s="624"/>
      <c r="B30" s="163" t="s">
        <v>2359</v>
      </c>
      <c r="C30" s="170"/>
      <c r="D30" s="165" t="s">
        <v>2336</v>
      </c>
    </row>
    <row r="31" spans="1:4">
      <c r="A31" s="624"/>
      <c r="B31" s="163" t="s">
        <v>2360</v>
      </c>
      <c r="C31" s="170"/>
      <c r="D31" s="165" t="s">
        <v>2336</v>
      </c>
    </row>
    <row r="32" spans="1:4">
      <c r="A32" s="624"/>
      <c r="B32" s="163" t="s">
        <v>2361</v>
      </c>
      <c r="C32" s="164" t="s">
        <v>2335</v>
      </c>
      <c r="D32" s="165" t="s">
        <v>2336</v>
      </c>
    </row>
    <row r="33" spans="1:4">
      <c r="A33" s="624"/>
      <c r="B33" s="163" t="s">
        <v>2362</v>
      </c>
      <c r="C33" s="164" t="s">
        <v>2335</v>
      </c>
      <c r="D33" s="165"/>
    </row>
    <row r="34" spans="1:4">
      <c r="A34" s="624"/>
      <c r="B34" s="163" t="s">
        <v>2363</v>
      </c>
      <c r="C34" s="170"/>
      <c r="D34" s="165" t="s">
        <v>2336</v>
      </c>
    </row>
    <row r="35" spans="1:4">
      <c r="A35" s="624"/>
      <c r="B35" s="163" t="s">
        <v>2364</v>
      </c>
      <c r="C35" s="164" t="s">
        <v>2335</v>
      </c>
      <c r="D35" s="165"/>
    </row>
    <row r="36" spans="1:4">
      <c r="A36" s="624"/>
      <c r="B36" s="163" t="s">
        <v>2365</v>
      </c>
      <c r="C36" s="170"/>
      <c r="D36" s="165" t="s">
        <v>2336</v>
      </c>
    </row>
    <row r="37" spans="1:4">
      <c r="A37" s="624"/>
      <c r="B37" s="163" t="s">
        <v>2366</v>
      </c>
      <c r="C37" s="170"/>
      <c r="D37" s="165" t="s">
        <v>2336</v>
      </c>
    </row>
    <row r="38" spans="1:4">
      <c r="A38" s="624"/>
      <c r="B38" s="163" t="s">
        <v>2367</v>
      </c>
      <c r="C38" s="164" t="s">
        <v>2335</v>
      </c>
      <c r="D38" s="165"/>
    </row>
    <row r="39" spans="1:4">
      <c r="A39" s="624"/>
      <c r="B39" s="163" t="s">
        <v>2368</v>
      </c>
      <c r="C39" s="164" t="s">
        <v>2335</v>
      </c>
      <c r="D39" s="165"/>
    </row>
    <row r="40" spans="1:4">
      <c r="A40" s="624"/>
      <c r="B40" s="163" t="s">
        <v>2369</v>
      </c>
      <c r="C40" s="164" t="s">
        <v>2335</v>
      </c>
      <c r="D40" s="165" t="s">
        <v>2336</v>
      </c>
    </row>
    <row r="41" spans="1:4">
      <c r="A41" s="624"/>
      <c r="B41" s="163" t="s">
        <v>2370</v>
      </c>
      <c r="C41" s="170"/>
      <c r="D41" s="165" t="s">
        <v>2336</v>
      </c>
    </row>
    <row r="42" spans="1:4">
      <c r="A42" s="624"/>
      <c r="B42" s="163" t="s">
        <v>2371</v>
      </c>
      <c r="C42" s="164" t="s">
        <v>2335</v>
      </c>
      <c r="D42" s="165"/>
    </row>
    <row r="43" spans="1:4">
      <c r="A43" s="624"/>
      <c r="B43" s="163" t="s">
        <v>2372</v>
      </c>
      <c r="C43" s="164" t="s">
        <v>2335</v>
      </c>
      <c r="D43" s="165" t="s">
        <v>2336</v>
      </c>
    </row>
    <row r="44" spans="1:4">
      <c r="A44" s="624"/>
      <c r="B44" s="163" t="s">
        <v>2373</v>
      </c>
      <c r="C44" s="170"/>
      <c r="D44" s="165" t="s">
        <v>2336</v>
      </c>
    </row>
    <row r="45" spans="1:4">
      <c r="A45" s="624"/>
      <c r="B45" s="163" t="s">
        <v>2374</v>
      </c>
      <c r="C45" s="164" t="s">
        <v>2335</v>
      </c>
      <c r="D45" s="165"/>
    </row>
    <row r="46" spans="1:4">
      <c r="A46" s="624"/>
      <c r="B46" s="163" t="s">
        <v>2375</v>
      </c>
      <c r="C46" s="164" t="s">
        <v>2335</v>
      </c>
      <c r="D46" s="165" t="s">
        <v>2336</v>
      </c>
    </row>
    <row r="47" spans="1:4">
      <c r="A47" s="624"/>
      <c r="B47" s="163" t="s">
        <v>2376</v>
      </c>
      <c r="C47" s="164" t="s">
        <v>2335</v>
      </c>
      <c r="D47" s="165"/>
    </row>
    <row r="48" spans="1:4">
      <c r="A48" s="626"/>
      <c r="B48" s="171" t="s">
        <v>2187</v>
      </c>
      <c r="C48" s="164" t="s">
        <v>2335</v>
      </c>
      <c r="D48" s="165" t="s">
        <v>2336</v>
      </c>
    </row>
    <row r="49" spans="1:4">
      <c r="A49" s="626"/>
      <c r="B49" s="171" t="s">
        <v>2173</v>
      </c>
      <c r="C49" s="164" t="s">
        <v>2335</v>
      </c>
      <c r="D49" s="165" t="s">
        <v>2336</v>
      </c>
    </row>
    <row r="50" spans="1:4">
      <c r="A50" s="626"/>
      <c r="B50" s="171" t="s">
        <v>2162</v>
      </c>
      <c r="C50" s="164" t="s">
        <v>2335</v>
      </c>
      <c r="D50" s="165" t="s">
        <v>2336</v>
      </c>
    </row>
    <row r="51" spans="1:4">
      <c r="A51" s="626"/>
      <c r="B51" s="171" t="s">
        <v>2186</v>
      </c>
      <c r="C51" s="164" t="s">
        <v>2335</v>
      </c>
      <c r="D51" s="165" t="s">
        <v>2336</v>
      </c>
    </row>
    <row r="52" spans="1:4" ht="12.6" thickBot="1">
      <c r="A52" s="625"/>
      <c r="B52" s="166" t="s">
        <v>2377</v>
      </c>
      <c r="C52" s="167" t="s">
        <v>2335</v>
      </c>
      <c r="D52" s="168"/>
    </row>
    <row r="53" spans="1:4" ht="15.6" thickTop="1" thickBot="1">
      <c r="A53" s="621" t="s">
        <v>2378</v>
      </c>
      <c r="B53" s="622"/>
      <c r="C53" s="91"/>
      <c r="D53" s="91"/>
    </row>
    <row r="54" spans="1:4" ht="12.6" thickBot="1">
      <c r="A54" s="172" t="s">
        <v>2333</v>
      </c>
      <c r="B54" s="173" t="s">
        <v>2379</v>
      </c>
      <c r="C54" s="174" t="s">
        <v>2335</v>
      </c>
      <c r="D54" s="175" t="s">
        <v>2336</v>
      </c>
    </row>
    <row r="55" spans="1:4">
      <c r="A55" s="614" t="s">
        <v>1</v>
      </c>
      <c r="B55" s="160" t="s">
        <v>2380</v>
      </c>
      <c r="C55" s="161" t="s">
        <v>2335</v>
      </c>
      <c r="D55" s="162" t="s">
        <v>2336</v>
      </c>
    </row>
    <row r="56" spans="1:4" ht="12.6" thickBot="1">
      <c r="A56" s="616"/>
      <c r="B56" s="166" t="s">
        <v>2381</v>
      </c>
      <c r="C56" s="176"/>
      <c r="D56" s="168" t="s">
        <v>2336</v>
      </c>
    </row>
    <row r="57" spans="1:4">
      <c r="A57" s="614" t="s">
        <v>2343</v>
      </c>
      <c r="B57" s="160" t="s">
        <v>2382</v>
      </c>
      <c r="C57" s="161" t="s">
        <v>2335</v>
      </c>
      <c r="D57" s="162" t="s">
        <v>2336</v>
      </c>
    </row>
    <row r="58" spans="1:4" ht="12.6" thickBot="1">
      <c r="A58" s="616"/>
      <c r="B58" s="166" t="s">
        <v>2383</v>
      </c>
      <c r="C58" s="167" t="s">
        <v>2335</v>
      </c>
      <c r="D58" s="168"/>
    </row>
    <row r="59" spans="1:4">
      <c r="A59" s="614" t="s">
        <v>2384</v>
      </c>
      <c r="B59" s="160" t="s">
        <v>2385</v>
      </c>
      <c r="C59" s="161" t="s">
        <v>2335</v>
      </c>
      <c r="D59" s="162"/>
    </row>
    <row r="60" spans="1:4">
      <c r="A60" s="615"/>
      <c r="B60" s="163" t="s">
        <v>2386</v>
      </c>
      <c r="C60" s="164" t="s">
        <v>2335</v>
      </c>
      <c r="D60" s="165" t="s">
        <v>2336</v>
      </c>
    </row>
    <row r="61" spans="1:4">
      <c r="A61" s="615"/>
      <c r="B61" s="163" t="s">
        <v>2387</v>
      </c>
      <c r="C61" s="164" t="s">
        <v>2335</v>
      </c>
      <c r="D61" s="165"/>
    </row>
    <row r="62" spans="1:4">
      <c r="A62" s="615"/>
      <c r="B62" s="163" t="s">
        <v>2388</v>
      </c>
      <c r="C62" s="177" t="s">
        <v>2389</v>
      </c>
      <c r="D62" s="178"/>
    </row>
    <row r="63" spans="1:4">
      <c r="A63" s="615"/>
      <c r="B63" s="163" t="s">
        <v>2390</v>
      </c>
      <c r="C63" s="177" t="s">
        <v>2389</v>
      </c>
      <c r="D63" s="178"/>
    </row>
    <row r="64" spans="1:4">
      <c r="A64" s="615"/>
      <c r="B64" s="163" t="s">
        <v>2391</v>
      </c>
      <c r="C64" s="164" t="s">
        <v>2335</v>
      </c>
      <c r="D64" s="165"/>
    </row>
    <row r="65" spans="1:4">
      <c r="A65" s="615"/>
      <c r="B65" s="163" t="s">
        <v>2392</v>
      </c>
      <c r="C65" s="164" t="s">
        <v>2335</v>
      </c>
      <c r="D65" s="165"/>
    </row>
    <row r="66" spans="1:4">
      <c r="A66" s="615"/>
      <c r="B66" s="163" t="s">
        <v>2393</v>
      </c>
      <c r="C66" s="164" t="s">
        <v>2335</v>
      </c>
      <c r="D66" s="165"/>
    </row>
    <row r="67" spans="1:4">
      <c r="A67" s="615"/>
      <c r="B67" s="163" t="s">
        <v>2394</v>
      </c>
      <c r="C67" s="164" t="s">
        <v>2335</v>
      </c>
      <c r="D67" s="165"/>
    </row>
    <row r="68" spans="1:4">
      <c r="A68" s="615"/>
      <c r="B68" s="163" t="s">
        <v>2395</v>
      </c>
      <c r="C68" s="164" t="s">
        <v>2335</v>
      </c>
      <c r="D68" s="165"/>
    </row>
    <row r="69" spans="1:4">
      <c r="A69" s="615"/>
      <c r="B69" s="163" t="s">
        <v>2396</v>
      </c>
      <c r="C69" s="164" t="s">
        <v>2335</v>
      </c>
      <c r="D69" s="165"/>
    </row>
    <row r="70" spans="1:4">
      <c r="A70" s="615"/>
      <c r="B70" s="163" t="s">
        <v>2397</v>
      </c>
      <c r="C70" s="164" t="s">
        <v>2335</v>
      </c>
      <c r="D70" s="165"/>
    </row>
    <row r="71" spans="1:4">
      <c r="A71" s="615"/>
      <c r="B71" s="163" t="s">
        <v>2398</v>
      </c>
      <c r="C71" s="164" t="s">
        <v>2335</v>
      </c>
      <c r="D71" s="165"/>
    </row>
    <row r="72" spans="1:4">
      <c r="A72" s="615"/>
      <c r="B72" s="163" t="s">
        <v>2399</v>
      </c>
      <c r="C72" s="164" t="s">
        <v>2335</v>
      </c>
      <c r="D72" s="165"/>
    </row>
    <row r="73" spans="1:4">
      <c r="A73" s="615"/>
      <c r="B73" s="163" t="s">
        <v>2400</v>
      </c>
      <c r="C73" s="164" t="s">
        <v>2335</v>
      </c>
      <c r="D73" s="165"/>
    </row>
    <row r="74" spans="1:4">
      <c r="A74" s="615"/>
      <c r="B74" s="163" t="s">
        <v>2401</v>
      </c>
      <c r="C74" s="164" t="s">
        <v>2335</v>
      </c>
      <c r="D74" s="165"/>
    </row>
    <row r="75" spans="1:4">
      <c r="A75" s="615"/>
      <c r="B75" s="163" t="s">
        <v>2188</v>
      </c>
      <c r="C75" s="164" t="s">
        <v>2335</v>
      </c>
      <c r="D75" s="165"/>
    </row>
    <row r="76" spans="1:4">
      <c r="A76" s="615"/>
      <c r="B76" s="179" t="s">
        <v>2402</v>
      </c>
      <c r="C76" s="164" t="s">
        <v>2335</v>
      </c>
      <c r="D76" s="165"/>
    </row>
    <row r="77" spans="1:4">
      <c r="A77" s="615"/>
      <c r="B77" s="179" t="s">
        <v>2200</v>
      </c>
      <c r="C77" s="180"/>
      <c r="D77" s="165" t="s">
        <v>2336</v>
      </c>
    </row>
    <row r="78" spans="1:4" ht="12.6" thickBot="1">
      <c r="A78" s="616"/>
      <c r="B78" s="166" t="s">
        <v>2403</v>
      </c>
      <c r="C78" s="167" t="s">
        <v>2335</v>
      </c>
      <c r="D78" s="168"/>
    </row>
    <row r="79" spans="1:4">
      <c r="A79" s="617" t="s">
        <v>2404</v>
      </c>
      <c r="B79" s="160" t="s">
        <v>2405</v>
      </c>
      <c r="C79" s="161" t="s">
        <v>2335</v>
      </c>
      <c r="D79" s="162"/>
    </row>
    <row r="80" spans="1:4">
      <c r="A80" s="618"/>
      <c r="B80" s="163" t="s">
        <v>2406</v>
      </c>
      <c r="C80" s="164" t="s">
        <v>2335</v>
      </c>
      <c r="D80" s="165"/>
    </row>
    <row r="81" spans="1:4">
      <c r="A81" s="618"/>
      <c r="B81" s="163" t="s">
        <v>2182</v>
      </c>
      <c r="C81" s="164" t="s">
        <v>2335</v>
      </c>
      <c r="D81" s="165"/>
    </row>
    <row r="82" spans="1:4">
      <c r="A82" s="618"/>
      <c r="B82" s="163" t="s">
        <v>2178</v>
      </c>
      <c r="C82" s="164" t="s">
        <v>2335</v>
      </c>
      <c r="D82" s="165"/>
    </row>
    <row r="83" spans="1:4">
      <c r="A83" s="618"/>
      <c r="B83" s="163" t="s">
        <v>2407</v>
      </c>
      <c r="C83" s="164" t="s">
        <v>2335</v>
      </c>
      <c r="D83" s="165"/>
    </row>
    <row r="84" spans="1:4">
      <c r="A84" s="618"/>
      <c r="B84" s="163" t="s">
        <v>2185</v>
      </c>
      <c r="C84" s="164" t="s">
        <v>2335</v>
      </c>
      <c r="D84" s="165"/>
    </row>
    <row r="85" spans="1:4">
      <c r="A85" s="618"/>
      <c r="B85" s="163" t="s">
        <v>2408</v>
      </c>
      <c r="C85" s="164" t="s">
        <v>2335</v>
      </c>
      <c r="D85" s="165"/>
    </row>
    <row r="86" spans="1:4">
      <c r="A86" s="618"/>
      <c r="B86" s="163" t="s">
        <v>2409</v>
      </c>
      <c r="C86" s="164" t="s">
        <v>2335</v>
      </c>
      <c r="D86" s="165"/>
    </row>
    <row r="87" spans="1:4">
      <c r="A87" s="618"/>
      <c r="B87" s="163" t="s">
        <v>2410</v>
      </c>
      <c r="C87" s="164" t="s">
        <v>2335</v>
      </c>
      <c r="D87" s="165"/>
    </row>
    <row r="88" spans="1:4">
      <c r="A88" s="618"/>
      <c r="B88" s="179" t="s">
        <v>2411</v>
      </c>
      <c r="C88" s="164" t="s">
        <v>2335</v>
      </c>
      <c r="D88" s="165"/>
    </row>
    <row r="89" spans="1:4">
      <c r="A89" s="618"/>
      <c r="B89" s="179" t="s">
        <v>2180</v>
      </c>
      <c r="C89" s="164" t="s">
        <v>2335</v>
      </c>
      <c r="D89" s="165"/>
    </row>
    <row r="90" spans="1:4">
      <c r="A90" s="618"/>
      <c r="B90" s="179" t="s">
        <v>2412</v>
      </c>
      <c r="C90" s="177" t="s">
        <v>2389</v>
      </c>
      <c r="D90" s="178"/>
    </row>
    <row r="91" spans="1:4" ht="12.6" thickBot="1">
      <c r="A91" s="619"/>
      <c r="B91" s="181" t="s">
        <v>2413</v>
      </c>
      <c r="C91" s="167" t="s">
        <v>2335</v>
      </c>
      <c r="D91" s="168"/>
    </row>
    <row r="92" spans="1:4">
      <c r="A92" s="617" t="s">
        <v>2414</v>
      </c>
      <c r="B92" s="160" t="s">
        <v>2415</v>
      </c>
      <c r="C92" s="169"/>
      <c r="D92" s="162" t="s">
        <v>2336</v>
      </c>
    </row>
    <row r="93" spans="1:4">
      <c r="A93" s="618"/>
      <c r="B93" s="163" t="s">
        <v>2416</v>
      </c>
      <c r="C93" s="170"/>
      <c r="D93" s="165" t="s">
        <v>2336</v>
      </c>
    </row>
    <row r="94" spans="1:4">
      <c r="A94" s="618"/>
      <c r="B94" s="163" t="s">
        <v>2417</v>
      </c>
      <c r="C94" s="170"/>
      <c r="D94" s="165" t="s">
        <v>2336</v>
      </c>
    </row>
    <row r="95" spans="1:4">
      <c r="A95" s="618"/>
      <c r="B95" s="163" t="s">
        <v>2418</v>
      </c>
      <c r="C95" s="170"/>
      <c r="D95" s="165" t="s">
        <v>2336</v>
      </c>
    </row>
    <row r="96" spans="1:4" ht="12.6" thickBot="1">
      <c r="A96" s="619"/>
      <c r="B96" s="166" t="s">
        <v>2419</v>
      </c>
      <c r="C96" s="176"/>
      <c r="D96" s="168" t="s">
        <v>2336</v>
      </c>
    </row>
    <row r="97" spans="1:4" ht="12.6" thickBot="1">
      <c r="A97" s="182" t="s">
        <v>1811</v>
      </c>
      <c r="B97" s="173" t="s">
        <v>2190</v>
      </c>
      <c r="C97" s="174" t="s">
        <v>2335</v>
      </c>
      <c r="D97" s="175" t="s">
        <v>2336</v>
      </c>
    </row>
    <row r="98" spans="1:4">
      <c r="A98" s="617" t="s">
        <v>2420</v>
      </c>
      <c r="B98" s="160" t="s">
        <v>2421</v>
      </c>
      <c r="C98" s="161" t="s">
        <v>2335</v>
      </c>
      <c r="D98" s="162"/>
    </row>
    <row r="99" spans="1:4">
      <c r="A99" s="620"/>
      <c r="B99" s="171" t="s">
        <v>2422</v>
      </c>
      <c r="C99" s="183" t="s">
        <v>2335</v>
      </c>
      <c r="D99" s="184"/>
    </row>
    <row r="100" spans="1:4" ht="12.6" thickBot="1">
      <c r="A100" s="619"/>
      <c r="B100" s="166" t="s">
        <v>2164</v>
      </c>
      <c r="C100" s="167" t="s">
        <v>2335</v>
      </c>
      <c r="D100" s="168"/>
    </row>
    <row r="101" spans="1:4" ht="12.6" thickBot="1">
      <c r="A101" s="182" t="s">
        <v>2423</v>
      </c>
      <c r="B101" s="173" t="s">
        <v>2424</v>
      </c>
      <c r="C101" s="174" t="s">
        <v>2335</v>
      </c>
      <c r="D101" s="175" t="s">
        <v>2336</v>
      </c>
    </row>
    <row r="102" spans="1:4">
      <c r="A102" s="617" t="s">
        <v>2425</v>
      </c>
      <c r="B102" s="185" t="s">
        <v>2170</v>
      </c>
      <c r="C102" s="161" t="s">
        <v>2335</v>
      </c>
      <c r="D102" s="162"/>
    </row>
    <row r="103" spans="1:4">
      <c r="A103" s="618"/>
      <c r="B103" s="179" t="s">
        <v>2426</v>
      </c>
      <c r="C103" s="177" t="s">
        <v>2389</v>
      </c>
      <c r="D103" s="178"/>
    </row>
    <row r="104" spans="1:4" ht="12.6" thickBot="1">
      <c r="A104" s="619"/>
      <c r="B104" s="186" t="s">
        <v>2427</v>
      </c>
      <c r="C104" s="167" t="s">
        <v>2335</v>
      </c>
      <c r="D104" s="168"/>
    </row>
    <row r="105" spans="1:4" ht="12.6" thickBot="1">
      <c r="A105" s="182" t="s">
        <v>2428</v>
      </c>
      <c r="B105" s="173" t="s">
        <v>2429</v>
      </c>
      <c r="C105" s="187" t="s">
        <v>2389</v>
      </c>
      <c r="D105" s="188"/>
    </row>
    <row r="106" spans="1:4" ht="12.6" thickBot="1">
      <c r="A106" s="182" t="s">
        <v>2430</v>
      </c>
      <c r="B106" s="189" t="s">
        <v>2431</v>
      </c>
      <c r="C106" s="187" t="s">
        <v>2389</v>
      </c>
      <c r="D106" s="188"/>
    </row>
    <row r="107" spans="1:4" ht="12.6" thickBot="1">
      <c r="A107" s="190" t="s">
        <v>2432</v>
      </c>
      <c r="B107" s="173" t="s">
        <v>2159</v>
      </c>
      <c r="C107" s="174" t="s">
        <v>2335</v>
      </c>
      <c r="D107" s="175"/>
    </row>
    <row r="108" spans="1:4" ht="12.6" thickBot="1">
      <c r="A108" s="190" t="s">
        <v>1387</v>
      </c>
      <c r="B108" s="173" t="s">
        <v>2433</v>
      </c>
      <c r="C108" s="174" t="s">
        <v>2335</v>
      </c>
      <c r="D108" s="175" t="s">
        <v>2336</v>
      </c>
    </row>
    <row r="109" spans="1:4" ht="12.6" thickBot="1">
      <c r="A109" s="190" t="s">
        <v>2434</v>
      </c>
      <c r="B109" s="173" t="s">
        <v>2435</v>
      </c>
      <c r="C109" s="174" t="s">
        <v>2335</v>
      </c>
      <c r="D109" s="175" t="s">
        <v>2336</v>
      </c>
    </row>
    <row r="110" spans="1:4">
      <c r="A110" s="191"/>
      <c r="B110" s="192" t="s">
        <v>2436</v>
      </c>
      <c r="C110" s="193"/>
      <c r="D110" s="194"/>
    </row>
  </sheetData>
  <mergeCells count="12">
    <mergeCell ref="A55:A56"/>
    <mergeCell ref="A57:A58"/>
    <mergeCell ref="A7:B7"/>
    <mergeCell ref="A53:B53"/>
    <mergeCell ref="A8:A14"/>
    <mergeCell ref="A15:A16"/>
    <mergeCell ref="A17:A52"/>
    <mergeCell ref="A59:A78"/>
    <mergeCell ref="A79:A91"/>
    <mergeCell ref="A92:A96"/>
    <mergeCell ref="A98:A100"/>
    <mergeCell ref="A102:A104"/>
  </mergeCells>
  <pageMargins left="0.7" right="0.7" top="0.75" bottom="0.75" header="0.3" footer="0.3"/>
  <legacy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3:B8"/>
  <sheetViews>
    <sheetView workbookViewId="0">
      <selection activeCell="A3" sqref="A3"/>
    </sheetView>
  </sheetViews>
  <sheetFormatPr baseColWidth="10" defaultRowHeight="13.8"/>
  <cols>
    <col min="1" max="1" width="3.69921875" customWidth="1"/>
    <col min="2" max="2" width="46.296875" bestFit="1" customWidth="1"/>
  </cols>
  <sheetData>
    <row r="3" spans="1:2" ht="16.2">
      <c r="A3" s="10" t="s">
        <v>2946</v>
      </c>
      <c r="B3" s="156"/>
    </row>
    <row r="4" spans="1:2" ht="16.2">
      <c r="A4" s="10"/>
      <c r="B4" s="156"/>
    </row>
    <row r="6" spans="1:2" ht="14.4" thickBot="1">
      <c r="A6" s="97" t="s">
        <v>1076</v>
      </c>
      <c r="B6" s="97" t="s">
        <v>1077</v>
      </c>
    </row>
    <row r="7" spans="1:2" ht="15" thickTop="1">
      <c r="A7" s="99">
        <v>1</v>
      </c>
      <c r="B7" s="99" t="s">
        <v>2439</v>
      </c>
    </row>
    <row r="8" spans="1:2" ht="14.4">
      <c r="A8" s="98">
        <v>2</v>
      </c>
      <c r="B8" s="98" t="s">
        <v>2440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3:D113"/>
  <sheetViews>
    <sheetView workbookViewId="0">
      <selection activeCell="C26" sqref="C26"/>
    </sheetView>
  </sheetViews>
  <sheetFormatPr baseColWidth="10" defaultColWidth="11.3984375" defaultRowHeight="12"/>
  <cols>
    <col min="1" max="1" width="3.59765625" style="195" bestFit="1" customWidth="1"/>
    <col min="2" max="2" width="58.69921875" style="195" bestFit="1" customWidth="1"/>
    <col min="3" max="3" width="9.59765625" style="195" bestFit="1" customWidth="1"/>
    <col min="4" max="4" width="28.59765625" style="195" bestFit="1" customWidth="1"/>
    <col min="5" max="16384" width="11.3984375" style="195"/>
  </cols>
  <sheetData>
    <row r="3" spans="1:4" ht="16.2">
      <c r="A3" s="10" t="s">
        <v>2947</v>
      </c>
    </row>
    <row r="6" spans="1:4" ht="13.8" thickBot="1">
      <c r="A6" s="97" t="s">
        <v>1076</v>
      </c>
      <c r="B6" s="97" t="s">
        <v>1077</v>
      </c>
      <c r="C6" s="97" t="s">
        <v>611</v>
      </c>
      <c r="D6" s="97" t="s">
        <v>2441</v>
      </c>
    </row>
    <row r="7" spans="1:4" ht="15" thickTop="1">
      <c r="A7" s="99">
        <v>1</v>
      </c>
      <c r="B7" s="99" t="s">
        <v>97</v>
      </c>
      <c r="C7" s="99" t="s">
        <v>618</v>
      </c>
      <c r="D7" s="34" t="s">
        <v>2442</v>
      </c>
    </row>
    <row r="8" spans="1:4" ht="14.4">
      <c r="A8" s="98">
        <v>2</v>
      </c>
      <c r="B8" s="98" t="s">
        <v>87</v>
      </c>
      <c r="C8" s="98" t="s">
        <v>625</v>
      </c>
      <c r="D8" s="36" t="s">
        <v>2442</v>
      </c>
    </row>
    <row r="9" spans="1:4" ht="14.4">
      <c r="A9" s="99">
        <v>3</v>
      </c>
      <c r="B9" s="99" t="s">
        <v>170</v>
      </c>
      <c r="C9" s="99" t="s">
        <v>630</v>
      </c>
      <c r="D9" s="34" t="s">
        <v>2442</v>
      </c>
    </row>
    <row r="10" spans="1:4" ht="14.4">
      <c r="A10" s="98">
        <v>4</v>
      </c>
      <c r="B10" s="98" t="s">
        <v>466</v>
      </c>
      <c r="C10" s="98" t="s">
        <v>635</v>
      </c>
      <c r="D10" s="36" t="s">
        <v>2442</v>
      </c>
    </row>
    <row r="11" spans="1:4" ht="14.4">
      <c r="A11" s="99">
        <v>5</v>
      </c>
      <c r="B11" s="99" t="s">
        <v>643</v>
      </c>
      <c r="C11" s="99" t="s">
        <v>644</v>
      </c>
      <c r="D11" s="34" t="s">
        <v>2442</v>
      </c>
    </row>
    <row r="12" spans="1:4" ht="14.4">
      <c r="A12" s="98">
        <v>6</v>
      </c>
      <c r="B12" s="98" t="s">
        <v>192</v>
      </c>
      <c r="C12" s="98" t="s">
        <v>649</v>
      </c>
      <c r="D12" s="36" t="s">
        <v>2442</v>
      </c>
    </row>
    <row r="13" spans="1:4" ht="14.4">
      <c r="A13" s="99">
        <v>7</v>
      </c>
      <c r="B13" s="99" t="s">
        <v>196</v>
      </c>
      <c r="C13" s="99" t="s">
        <v>655</v>
      </c>
      <c r="D13" s="34" t="s">
        <v>2442</v>
      </c>
    </row>
    <row r="14" spans="1:4" ht="14.4">
      <c r="A14" s="98">
        <v>8</v>
      </c>
      <c r="B14" s="98" t="s">
        <v>135</v>
      </c>
      <c r="C14" s="98" t="s">
        <v>2443</v>
      </c>
      <c r="D14" s="36" t="s">
        <v>2442</v>
      </c>
    </row>
    <row r="15" spans="1:4" ht="14.4">
      <c r="A15" s="99">
        <v>9</v>
      </c>
      <c r="B15" s="99" t="s">
        <v>35</v>
      </c>
      <c r="C15" s="99" t="s">
        <v>663</v>
      </c>
      <c r="D15" s="34" t="s">
        <v>2442</v>
      </c>
    </row>
    <row r="16" spans="1:4" ht="14.4">
      <c r="A16" s="98">
        <v>10</v>
      </c>
      <c r="B16" s="98" t="s">
        <v>105</v>
      </c>
      <c r="C16" s="98" t="s">
        <v>667</v>
      </c>
      <c r="D16" s="36" t="s">
        <v>2442</v>
      </c>
    </row>
    <row r="17" spans="1:4" ht="14.4">
      <c r="A17" s="99">
        <v>11</v>
      </c>
      <c r="B17" s="99" t="s">
        <v>64</v>
      </c>
      <c r="C17" s="99" t="s">
        <v>671</v>
      </c>
      <c r="D17" s="34" t="s">
        <v>2442</v>
      </c>
    </row>
    <row r="18" spans="1:4" ht="14.4">
      <c r="A18" s="98">
        <v>12</v>
      </c>
      <c r="B18" s="98" t="s">
        <v>113</v>
      </c>
      <c r="C18" s="98" t="s">
        <v>675</v>
      </c>
      <c r="D18" s="36" t="s">
        <v>2442</v>
      </c>
    </row>
    <row r="19" spans="1:4" ht="14.4">
      <c r="A19" s="99">
        <v>13</v>
      </c>
      <c r="B19" s="99" t="s">
        <v>27</v>
      </c>
      <c r="C19" s="99" t="s">
        <v>683</v>
      </c>
      <c r="D19" s="34" t="s">
        <v>2442</v>
      </c>
    </row>
    <row r="20" spans="1:4" ht="14.4">
      <c r="A20" s="98">
        <v>14</v>
      </c>
      <c r="B20" s="98" t="s">
        <v>96</v>
      </c>
      <c r="C20" s="98" t="s">
        <v>688</v>
      </c>
      <c r="D20" s="36" t="s">
        <v>2442</v>
      </c>
    </row>
    <row r="21" spans="1:4" ht="14.4">
      <c r="A21" s="99">
        <v>15</v>
      </c>
      <c r="B21" s="99" t="s">
        <v>99</v>
      </c>
      <c r="C21" s="99" t="s">
        <v>692</v>
      </c>
      <c r="D21" s="34" t="s">
        <v>2442</v>
      </c>
    </row>
    <row r="22" spans="1:4" ht="14.4">
      <c r="A22" s="98">
        <v>16</v>
      </c>
      <c r="B22" s="98" t="s">
        <v>2444</v>
      </c>
      <c r="C22" s="98" t="s">
        <v>701</v>
      </c>
      <c r="D22" s="36" t="s">
        <v>2442</v>
      </c>
    </row>
    <row r="23" spans="1:4" ht="14.4">
      <c r="A23" s="99">
        <v>17</v>
      </c>
      <c r="B23" s="99" t="s">
        <v>102</v>
      </c>
      <c r="C23" s="99" t="s">
        <v>707</v>
      </c>
      <c r="D23" s="34" t="s">
        <v>2442</v>
      </c>
    </row>
    <row r="24" spans="1:4" ht="14.4">
      <c r="A24" s="98">
        <v>18</v>
      </c>
      <c r="B24" s="98" t="s">
        <v>17</v>
      </c>
      <c r="C24" s="98" t="s">
        <v>2445</v>
      </c>
      <c r="D24" s="36" t="s">
        <v>2442</v>
      </c>
    </row>
    <row r="25" spans="1:4" ht="14.4">
      <c r="A25" s="99">
        <v>19</v>
      </c>
      <c r="B25" s="99" t="s">
        <v>229</v>
      </c>
      <c r="C25" s="99" t="s">
        <v>2446</v>
      </c>
      <c r="D25" s="34" t="s">
        <v>2442</v>
      </c>
    </row>
    <row r="26" spans="1:4" ht="14.4">
      <c r="A26" s="98">
        <v>20</v>
      </c>
      <c r="B26" s="98" t="s">
        <v>62</v>
      </c>
      <c r="C26" s="98" t="s">
        <v>714</v>
      </c>
      <c r="D26" s="36" t="s">
        <v>2442</v>
      </c>
    </row>
    <row r="27" spans="1:4" ht="14.4">
      <c r="A27" s="99">
        <v>21</v>
      </c>
      <c r="B27" s="99" t="s">
        <v>98</v>
      </c>
      <c r="C27" s="99" t="s">
        <v>718</v>
      </c>
      <c r="D27" s="34" t="s">
        <v>2442</v>
      </c>
    </row>
    <row r="28" spans="1:4" ht="14.4">
      <c r="A28" s="98">
        <v>22</v>
      </c>
      <c r="B28" s="98" t="s">
        <v>200</v>
      </c>
      <c r="C28" s="98" t="s">
        <v>722</v>
      </c>
      <c r="D28" s="36" t="s">
        <v>2442</v>
      </c>
    </row>
    <row r="29" spans="1:4" ht="14.4">
      <c r="A29" s="99">
        <v>23</v>
      </c>
      <c r="B29" s="99" t="s">
        <v>161</v>
      </c>
      <c r="C29" s="99" t="s">
        <v>726</v>
      </c>
      <c r="D29" s="34" t="s">
        <v>2442</v>
      </c>
    </row>
    <row r="30" spans="1:4" ht="14.4">
      <c r="A30" s="98">
        <v>24</v>
      </c>
      <c r="B30" s="98" t="s">
        <v>86</v>
      </c>
      <c r="C30" s="98" t="s">
        <v>730</v>
      </c>
      <c r="D30" s="36" t="s">
        <v>2442</v>
      </c>
    </row>
    <row r="31" spans="1:4" ht="14.4">
      <c r="A31" s="99">
        <v>25</v>
      </c>
      <c r="B31" s="99" t="s">
        <v>128</v>
      </c>
      <c r="C31" s="99" t="s">
        <v>736</v>
      </c>
      <c r="D31" s="34" t="s">
        <v>2442</v>
      </c>
    </row>
    <row r="32" spans="1:4" ht="14.4">
      <c r="A32" s="98">
        <v>26</v>
      </c>
      <c r="B32" s="98" t="s">
        <v>1845</v>
      </c>
      <c r="C32" s="98" t="s">
        <v>741</v>
      </c>
      <c r="D32" s="36" t="s">
        <v>2442</v>
      </c>
    </row>
    <row r="33" spans="1:4" ht="14.4">
      <c r="A33" s="99">
        <v>27</v>
      </c>
      <c r="B33" s="99" t="s">
        <v>115</v>
      </c>
      <c r="C33" s="99" t="s">
        <v>743</v>
      </c>
      <c r="D33" s="34" t="s">
        <v>2442</v>
      </c>
    </row>
    <row r="34" spans="1:4" ht="14.4">
      <c r="A34" s="98">
        <v>28</v>
      </c>
      <c r="B34" s="98" t="s">
        <v>1094</v>
      </c>
      <c r="C34" s="98" t="s">
        <v>748</v>
      </c>
      <c r="D34" s="36" t="s">
        <v>2442</v>
      </c>
    </row>
    <row r="35" spans="1:4" ht="14.4">
      <c r="A35" s="99">
        <v>29</v>
      </c>
      <c r="B35" s="99" t="s">
        <v>159</v>
      </c>
      <c r="C35" s="99" t="s">
        <v>753</v>
      </c>
      <c r="D35" s="34" t="s">
        <v>2442</v>
      </c>
    </row>
    <row r="36" spans="1:4" ht="14.4">
      <c r="A36" s="98">
        <v>30</v>
      </c>
      <c r="B36" s="98" t="s">
        <v>131</v>
      </c>
      <c r="C36" s="98" t="s">
        <v>2447</v>
      </c>
      <c r="D36" s="36" t="s">
        <v>2442</v>
      </c>
    </row>
    <row r="37" spans="1:4" ht="14.4">
      <c r="A37" s="99">
        <v>31</v>
      </c>
      <c r="B37" s="99" t="s">
        <v>41</v>
      </c>
      <c r="C37" s="99" t="s">
        <v>761</v>
      </c>
      <c r="D37" s="34" t="s">
        <v>2442</v>
      </c>
    </row>
    <row r="38" spans="1:4" ht="14.4">
      <c r="A38" s="98">
        <v>32</v>
      </c>
      <c r="B38" s="98" t="s">
        <v>100</v>
      </c>
      <c r="C38" s="98" t="s">
        <v>764</v>
      </c>
      <c r="D38" s="36" t="s">
        <v>2442</v>
      </c>
    </row>
    <row r="39" spans="1:4" ht="14.4">
      <c r="A39" s="99">
        <v>33</v>
      </c>
      <c r="B39" s="99" t="s">
        <v>111</v>
      </c>
      <c r="C39" s="99" t="s">
        <v>768</v>
      </c>
      <c r="D39" s="34" t="s">
        <v>2442</v>
      </c>
    </row>
    <row r="40" spans="1:4" ht="14.4">
      <c r="A40" s="98">
        <v>34</v>
      </c>
      <c r="B40" s="98" t="s">
        <v>774</v>
      </c>
      <c r="C40" s="98" t="s">
        <v>775</v>
      </c>
      <c r="D40" s="36" t="s">
        <v>2442</v>
      </c>
    </row>
    <row r="41" spans="1:4" ht="14.4">
      <c r="A41" s="99">
        <v>35</v>
      </c>
      <c r="B41" s="99" t="s">
        <v>1854</v>
      </c>
      <c r="C41" s="99" t="s">
        <v>2448</v>
      </c>
      <c r="D41" s="34" t="s">
        <v>2442</v>
      </c>
    </row>
    <row r="42" spans="1:4" ht="14.4">
      <c r="A42" s="98">
        <v>36</v>
      </c>
      <c r="B42" s="98" t="s">
        <v>778</v>
      </c>
      <c r="C42" s="98" t="s">
        <v>779</v>
      </c>
      <c r="D42" s="36" t="s">
        <v>2442</v>
      </c>
    </row>
    <row r="43" spans="1:4" ht="14.4">
      <c r="A43" s="99">
        <v>37</v>
      </c>
      <c r="B43" s="99" t="s">
        <v>1064</v>
      </c>
      <c r="C43" s="99" t="s">
        <v>784</v>
      </c>
      <c r="D43" s="34" t="s">
        <v>2442</v>
      </c>
    </row>
    <row r="44" spans="1:4" ht="14.4">
      <c r="A44" s="98">
        <v>38</v>
      </c>
      <c r="B44" s="98" t="s">
        <v>139</v>
      </c>
      <c r="C44" s="98" t="s">
        <v>787</v>
      </c>
      <c r="D44" s="36" t="s">
        <v>2442</v>
      </c>
    </row>
    <row r="45" spans="1:4" ht="14.4">
      <c r="A45" s="99">
        <v>39</v>
      </c>
      <c r="B45" s="99" t="s">
        <v>549</v>
      </c>
      <c r="C45" s="99" t="s">
        <v>789</v>
      </c>
      <c r="D45" s="34" t="s">
        <v>2442</v>
      </c>
    </row>
    <row r="46" spans="1:4" ht="14.4">
      <c r="A46" s="98">
        <v>40</v>
      </c>
      <c r="B46" s="98" t="s">
        <v>2449</v>
      </c>
      <c r="C46" s="98" t="s">
        <v>2450</v>
      </c>
      <c r="D46" s="36" t="s">
        <v>2442</v>
      </c>
    </row>
    <row r="47" spans="1:4" ht="14.4">
      <c r="A47" s="99">
        <v>41</v>
      </c>
      <c r="B47" s="99" t="s">
        <v>227</v>
      </c>
      <c r="C47" s="99" t="s">
        <v>2451</v>
      </c>
      <c r="D47" s="34" t="s">
        <v>2442</v>
      </c>
    </row>
    <row r="48" spans="1:4" ht="14.4">
      <c r="A48" s="98">
        <v>42</v>
      </c>
      <c r="B48" s="98" t="s">
        <v>2452</v>
      </c>
      <c r="C48" s="98" t="s">
        <v>793</v>
      </c>
      <c r="D48" s="36" t="s">
        <v>2442</v>
      </c>
    </row>
    <row r="49" spans="1:4" ht="14.4">
      <c r="A49" s="99">
        <v>43</v>
      </c>
      <c r="B49" s="99" t="s">
        <v>1856</v>
      </c>
      <c r="C49" s="99" t="s">
        <v>2453</v>
      </c>
      <c r="D49" s="34" t="s">
        <v>2442</v>
      </c>
    </row>
    <row r="50" spans="1:4" ht="14.4">
      <c r="A50" s="98">
        <v>44</v>
      </c>
      <c r="B50" s="98" t="s">
        <v>487</v>
      </c>
      <c r="C50" s="98" t="s">
        <v>2454</v>
      </c>
      <c r="D50" s="36" t="s">
        <v>2442</v>
      </c>
    </row>
    <row r="51" spans="1:4" ht="14.4">
      <c r="A51" s="99">
        <v>45</v>
      </c>
      <c r="B51" s="99" t="s">
        <v>2455</v>
      </c>
      <c r="C51" s="99" t="s">
        <v>2456</v>
      </c>
      <c r="D51" s="34" t="s">
        <v>2442</v>
      </c>
    </row>
    <row r="52" spans="1:4" ht="14.4">
      <c r="A52" s="98">
        <v>46</v>
      </c>
      <c r="B52" s="98" t="s">
        <v>1857</v>
      </c>
      <c r="C52" s="98" t="s">
        <v>804</v>
      </c>
      <c r="D52" s="36" t="s">
        <v>2442</v>
      </c>
    </row>
    <row r="53" spans="1:4" ht="14.4">
      <c r="A53" s="99">
        <v>47</v>
      </c>
      <c r="B53" s="99" t="s">
        <v>158</v>
      </c>
      <c r="C53" s="99" t="s">
        <v>807</v>
      </c>
      <c r="D53" s="34" t="s">
        <v>2442</v>
      </c>
    </row>
    <row r="54" spans="1:4" ht="14.4">
      <c r="A54" s="98">
        <v>48</v>
      </c>
      <c r="B54" s="98" t="s">
        <v>33</v>
      </c>
      <c r="C54" s="98" t="s">
        <v>813</v>
      </c>
      <c r="D54" s="36" t="s">
        <v>2442</v>
      </c>
    </row>
    <row r="55" spans="1:4" ht="14.4">
      <c r="A55" s="99">
        <v>49</v>
      </c>
      <c r="B55" s="99" t="s">
        <v>189</v>
      </c>
      <c r="C55" s="99" t="s">
        <v>934</v>
      </c>
      <c r="D55" s="34" t="s">
        <v>2442</v>
      </c>
    </row>
    <row r="56" spans="1:4" ht="14.4">
      <c r="A56" s="98">
        <v>50</v>
      </c>
      <c r="B56" s="98" t="s">
        <v>1865</v>
      </c>
      <c r="C56" s="98" t="s">
        <v>2457</v>
      </c>
      <c r="D56" s="36" t="s">
        <v>2442</v>
      </c>
    </row>
    <row r="57" spans="1:4" ht="14.4">
      <c r="A57" s="99">
        <v>51</v>
      </c>
      <c r="B57" s="99" t="s">
        <v>126</v>
      </c>
      <c r="C57" s="99" t="s">
        <v>817</v>
      </c>
      <c r="D57" s="34" t="s">
        <v>2442</v>
      </c>
    </row>
    <row r="58" spans="1:4" ht="14.4">
      <c r="A58" s="98">
        <v>52</v>
      </c>
      <c r="B58" s="98" t="s">
        <v>818</v>
      </c>
      <c r="C58" s="98" t="s">
        <v>819</v>
      </c>
      <c r="D58" s="36" t="s">
        <v>2442</v>
      </c>
    </row>
    <row r="59" spans="1:4" ht="14.4">
      <c r="A59" s="99">
        <v>53</v>
      </c>
      <c r="B59" s="99" t="s">
        <v>175</v>
      </c>
      <c r="C59" s="99" t="s">
        <v>824</v>
      </c>
      <c r="D59" s="34" t="s">
        <v>2442</v>
      </c>
    </row>
    <row r="60" spans="1:4" ht="14.4">
      <c r="A60" s="98">
        <v>54</v>
      </c>
      <c r="B60" s="98" t="s">
        <v>95</v>
      </c>
      <c r="C60" s="98" t="s">
        <v>562</v>
      </c>
      <c r="D60" s="36" t="s">
        <v>2442</v>
      </c>
    </row>
    <row r="61" spans="1:4" ht="14.4">
      <c r="A61" s="99">
        <v>55</v>
      </c>
      <c r="B61" s="99" t="s">
        <v>827</v>
      </c>
      <c r="C61" s="99" t="s">
        <v>828</v>
      </c>
      <c r="D61" s="34" t="s">
        <v>2442</v>
      </c>
    </row>
    <row r="62" spans="1:4" ht="14.4">
      <c r="A62" s="98">
        <v>56</v>
      </c>
      <c r="B62" s="98" t="s">
        <v>177</v>
      </c>
      <c r="C62" s="98" t="s">
        <v>832</v>
      </c>
      <c r="D62" s="36" t="s">
        <v>2442</v>
      </c>
    </row>
    <row r="63" spans="1:4" ht="14.4">
      <c r="A63" s="99">
        <v>57</v>
      </c>
      <c r="B63" s="99" t="s">
        <v>182</v>
      </c>
      <c r="C63" s="99" t="s">
        <v>837</v>
      </c>
      <c r="D63" s="34" t="s">
        <v>2442</v>
      </c>
    </row>
    <row r="64" spans="1:4" ht="14.4">
      <c r="A64" s="98">
        <v>58</v>
      </c>
      <c r="B64" s="98" t="s">
        <v>173</v>
      </c>
      <c r="C64" s="98" t="s">
        <v>840</v>
      </c>
      <c r="D64" s="36" t="s">
        <v>2442</v>
      </c>
    </row>
    <row r="65" spans="1:4" ht="14.4">
      <c r="A65" s="99">
        <v>59</v>
      </c>
      <c r="B65" s="99" t="s">
        <v>144</v>
      </c>
      <c r="C65" s="99" t="s">
        <v>2458</v>
      </c>
      <c r="D65" s="34" t="s">
        <v>2442</v>
      </c>
    </row>
    <row r="66" spans="1:4" ht="14.4">
      <c r="A66" s="98">
        <v>60</v>
      </c>
      <c r="B66" s="98" t="s">
        <v>440</v>
      </c>
      <c r="C66" s="98" t="s">
        <v>843</v>
      </c>
      <c r="D66" s="36" t="s">
        <v>2442</v>
      </c>
    </row>
    <row r="67" spans="1:4" ht="14.4">
      <c r="A67" s="99">
        <v>61</v>
      </c>
      <c r="B67" s="99" t="s">
        <v>459</v>
      </c>
      <c r="C67" s="99" t="s">
        <v>847</v>
      </c>
      <c r="D67" s="34" t="s">
        <v>2442</v>
      </c>
    </row>
    <row r="68" spans="1:4" ht="14.4">
      <c r="A68" s="98">
        <v>62</v>
      </c>
      <c r="B68" s="98" t="s">
        <v>1864</v>
      </c>
      <c r="C68" s="98" t="s">
        <v>2459</v>
      </c>
      <c r="D68" s="36" t="s">
        <v>2442</v>
      </c>
    </row>
    <row r="69" spans="1:4" ht="14.4">
      <c r="A69" s="99">
        <v>63</v>
      </c>
      <c r="B69" s="99" t="s">
        <v>55</v>
      </c>
      <c r="C69" s="99" t="s">
        <v>852</v>
      </c>
      <c r="D69" s="34" t="s">
        <v>2442</v>
      </c>
    </row>
    <row r="70" spans="1:4" ht="14.4">
      <c r="A70" s="98">
        <v>64</v>
      </c>
      <c r="B70" s="98" t="s">
        <v>107</v>
      </c>
      <c r="C70" s="98" t="s">
        <v>2460</v>
      </c>
      <c r="D70" s="36" t="s">
        <v>2442</v>
      </c>
    </row>
    <row r="71" spans="1:4" ht="14.4">
      <c r="A71" s="99">
        <v>65</v>
      </c>
      <c r="B71" s="99" t="s">
        <v>1879</v>
      </c>
      <c r="C71" s="99" t="s">
        <v>2461</v>
      </c>
      <c r="D71" s="34" t="s">
        <v>2442</v>
      </c>
    </row>
    <row r="72" spans="1:4" ht="14.4">
      <c r="A72" s="98">
        <v>66</v>
      </c>
      <c r="B72" s="98" t="s">
        <v>28</v>
      </c>
      <c r="C72" s="98" t="s">
        <v>853</v>
      </c>
      <c r="D72" s="36" t="s">
        <v>2442</v>
      </c>
    </row>
    <row r="73" spans="1:4" ht="14.4">
      <c r="A73" s="99">
        <v>67</v>
      </c>
      <c r="B73" s="99" t="s">
        <v>85</v>
      </c>
      <c r="C73" s="99" t="s">
        <v>2462</v>
      </c>
      <c r="D73" s="34" t="s">
        <v>2442</v>
      </c>
    </row>
    <row r="74" spans="1:4" ht="14.4">
      <c r="A74" s="98">
        <v>68</v>
      </c>
      <c r="B74" s="98" t="s">
        <v>1870</v>
      </c>
      <c r="C74" s="98" t="s">
        <v>859</v>
      </c>
      <c r="D74" s="36" t="s">
        <v>2442</v>
      </c>
    </row>
    <row r="75" spans="1:4" ht="14.4">
      <c r="A75" s="99">
        <v>69</v>
      </c>
      <c r="B75" s="99" t="s">
        <v>1097</v>
      </c>
      <c r="C75" s="99" t="s">
        <v>2463</v>
      </c>
      <c r="D75" s="34" t="s">
        <v>2442</v>
      </c>
    </row>
    <row r="76" spans="1:4" ht="14.4">
      <c r="A76" s="98">
        <v>70</v>
      </c>
      <c r="B76" s="98" t="s">
        <v>204</v>
      </c>
      <c r="C76" s="98" t="s">
        <v>861</v>
      </c>
      <c r="D76" s="36" t="s">
        <v>2442</v>
      </c>
    </row>
    <row r="77" spans="1:4" ht="14.4">
      <c r="A77" s="99">
        <v>71</v>
      </c>
      <c r="B77" s="99" t="s">
        <v>186</v>
      </c>
      <c r="C77" s="99" t="s">
        <v>864</v>
      </c>
      <c r="D77" s="34" t="s">
        <v>2442</v>
      </c>
    </row>
    <row r="78" spans="1:4" ht="14.4">
      <c r="A78" s="98">
        <v>72</v>
      </c>
      <c r="B78" s="98" t="s">
        <v>1873</v>
      </c>
      <c r="C78" s="98" t="s">
        <v>2448</v>
      </c>
      <c r="D78" s="36" t="s">
        <v>2442</v>
      </c>
    </row>
    <row r="79" spans="1:4" ht="14.4">
      <c r="A79" s="99">
        <v>73</v>
      </c>
      <c r="B79" s="99" t="s">
        <v>2464</v>
      </c>
      <c r="C79" s="99" t="s">
        <v>2465</v>
      </c>
      <c r="D79" s="34" t="s">
        <v>2442</v>
      </c>
    </row>
    <row r="80" spans="1:4" ht="14.4">
      <c r="A80" s="98">
        <v>74</v>
      </c>
      <c r="B80" s="98" t="s">
        <v>532</v>
      </c>
      <c r="C80" s="98" t="s">
        <v>868</v>
      </c>
      <c r="D80" s="36" t="s">
        <v>2442</v>
      </c>
    </row>
    <row r="81" spans="1:4" ht="14.4">
      <c r="A81" s="99">
        <v>75</v>
      </c>
      <c r="B81" s="99" t="s">
        <v>134</v>
      </c>
      <c r="C81" s="99" t="s">
        <v>875</v>
      </c>
      <c r="D81" s="34" t="s">
        <v>2442</v>
      </c>
    </row>
    <row r="82" spans="1:4" ht="14.4">
      <c r="A82" s="98">
        <v>76</v>
      </c>
      <c r="B82" s="98" t="s">
        <v>1877</v>
      </c>
      <c r="C82" s="98" t="s">
        <v>2448</v>
      </c>
      <c r="D82" s="36" t="s">
        <v>2442</v>
      </c>
    </row>
    <row r="83" spans="1:4" ht="14.4">
      <c r="A83" s="99">
        <v>77</v>
      </c>
      <c r="B83" s="99" t="s">
        <v>191</v>
      </c>
      <c r="C83" s="99" t="s">
        <v>2466</v>
      </c>
      <c r="D83" s="34" t="s">
        <v>2442</v>
      </c>
    </row>
    <row r="84" spans="1:4" ht="14.4">
      <c r="A84" s="98">
        <v>78</v>
      </c>
      <c r="B84" s="98" t="s">
        <v>375</v>
      </c>
      <c r="C84" s="98" t="s">
        <v>2467</v>
      </c>
      <c r="D84" s="36" t="s">
        <v>2442</v>
      </c>
    </row>
    <row r="85" spans="1:4" ht="14.4">
      <c r="A85" s="99">
        <v>79</v>
      </c>
      <c r="B85" s="99" t="s">
        <v>103</v>
      </c>
      <c r="C85" s="99" t="s">
        <v>878</v>
      </c>
      <c r="D85" s="34" t="s">
        <v>2442</v>
      </c>
    </row>
    <row r="86" spans="1:4" ht="14.4">
      <c r="A86" s="98">
        <v>80</v>
      </c>
      <c r="B86" s="98" t="s">
        <v>315</v>
      </c>
      <c r="C86" s="98" t="s">
        <v>882</v>
      </c>
      <c r="D86" s="36" t="s">
        <v>2442</v>
      </c>
    </row>
    <row r="87" spans="1:4" ht="14.4">
      <c r="A87" s="99">
        <v>81</v>
      </c>
      <c r="B87" s="99" t="s">
        <v>2468</v>
      </c>
      <c r="C87" s="99" t="s">
        <v>2469</v>
      </c>
      <c r="D87" s="34" t="s">
        <v>2442</v>
      </c>
    </row>
    <row r="88" spans="1:4" ht="14.4">
      <c r="A88" s="98">
        <v>82</v>
      </c>
      <c r="B88" s="98" t="s">
        <v>83</v>
      </c>
      <c r="C88" s="98" t="s">
        <v>2470</v>
      </c>
      <c r="D88" s="36" t="s">
        <v>2442</v>
      </c>
    </row>
    <row r="89" spans="1:4" ht="14.4">
      <c r="A89" s="99">
        <v>83</v>
      </c>
      <c r="B89" s="99" t="s">
        <v>153</v>
      </c>
      <c r="C89" s="99" t="s">
        <v>2471</v>
      </c>
      <c r="D89" s="34" t="s">
        <v>2442</v>
      </c>
    </row>
    <row r="90" spans="1:4" ht="14.4">
      <c r="A90" s="98">
        <v>84</v>
      </c>
      <c r="B90" s="98" t="s">
        <v>90</v>
      </c>
      <c r="C90" s="98" t="s">
        <v>2472</v>
      </c>
      <c r="D90" s="36" t="s">
        <v>2442</v>
      </c>
    </row>
    <row r="91" spans="1:4" ht="14.4">
      <c r="A91" s="99">
        <v>85</v>
      </c>
      <c r="B91" s="99" t="s">
        <v>110</v>
      </c>
      <c r="C91" s="99" t="s">
        <v>895</v>
      </c>
      <c r="D91" s="34" t="s">
        <v>2442</v>
      </c>
    </row>
    <row r="92" spans="1:4" ht="14.4">
      <c r="A92" s="98">
        <v>86</v>
      </c>
      <c r="B92" s="98" t="s">
        <v>129</v>
      </c>
      <c r="C92" s="98" t="s">
        <v>2473</v>
      </c>
      <c r="D92" s="36" t="s">
        <v>2442</v>
      </c>
    </row>
    <row r="93" spans="1:4" ht="14.4">
      <c r="A93" s="99">
        <v>87</v>
      </c>
      <c r="B93" s="99" t="s">
        <v>197</v>
      </c>
      <c r="C93" s="99" t="s">
        <v>902</v>
      </c>
      <c r="D93" s="34" t="s">
        <v>2442</v>
      </c>
    </row>
    <row r="94" spans="1:4" ht="14.4">
      <c r="A94" s="98">
        <v>88</v>
      </c>
      <c r="B94" s="98" t="s">
        <v>1884</v>
      </c>
      <c r="C94" s="98" t="s">
        <v>2474</v>
      </c>
      <c r="D94" s="36" t="s">
        <v>2442</v>
      </c>
    </row>
    <row r="95" spans="1:4" ht="14.4">
      <c r="A95" s="99">
        <v>89</v>
      </c>
      <c r="B95" s="99" t="s">
        <v>198</v>
      </c>
      <c r="C95" s="99" t="s">
        <v>907</v>
      </c>
      <c r="D95" s="34" t="s">
        <v>2442</v>
      </c>
    </row>
    <row r="96" spans="1:4" ht="14.4">
      <c r="A96" s="98">
        <v>90</v>
      </c>
      <c r="B96" s="98" t="s">
        <v>1883</v>
      </c>
      <c r="C96" s="98" t="s">
        <v>2475</v>
      </c>
      <c r="D96" s="36" t="s">
        <v>2442</v>
      </c>
    </row>
    <row r="97" spans="1:4" ht="14.4">
      <c r="A97" s="99">
        <v>91</v>
      </c>
      <c r="B97" s="99" t="s">
        <v>1887</v>
      </c>
      <c r="C97" s="99" t="s">
        <v>2476</v>
      </c>
      <c r="D97" s="34" t="s">
        <v>2442</v>
      </c>
    </row>
    <row r="98" spans="1:4" ht="14.4">
      <c r="A98" s="98">
        <v>92</v>
      </c>
      <c r="B98" s="98" t="s">
        <v>912</v>
      </c>
      <c r="C98" s="98" t="s">
        <v>913</v>
      </c>
      <c r="D98" s="36" t="s">
        <v>2442</v>
      </c>
    </row>
    <row r="99" spans="1:4" ht="14.4">
      <c r="A99" s="99">
        <v>93</v>
      </c>
      <c r="B99" s="99" t="s">
        <v>1880</v>
      </c>
      <c r="C99" s="99" t="s">
        <v>2477</v>
      </c>
      <c r="D99" s="34" t="s">
        <v>2442</v>
      </c>
    </row>
    <row r="100" spans="1:4" ht="14.4">
      <c r="A100" s="98">
        <v>94</v>
      </c>
      <c r="B100" s="98" t="s">
        <v>2478</v>
      </c>
      <c r="C100" s="98" t="s">
        <v>2479</v>
      </c>
      <c r="D100" s="36" t="s">
        <v>2442</v>
      </c>
    </row>
    <row r="101" spans="1:4" ht="14.4">
      <c r="A101" s="99">
        <v>95</v>
      </c>
      <c r="B101" s="99" t="s">
        <v>2480</v>
      </c>
      <c r="C101" s="99" t="s">
        <v>2481</v>
      </c>
      <c r="D101" s="34" t="s">
        <v>2442</v>
      </c>
    </row>
    <row r="102" spans="1:4" ht="14.4">
      <c r="A102" s="98">
        <v>96</v>
      </c>
      <c r="B102" s="98" t="s">
        <v>81</v>
      </c>
      <c r="C102" s="98" t="s">
        <v>2482</v>
      </c>
      <c r="D102" s="36" t="s">
        <v>2442</v>
      </c>
    </row>
    <row r="103" spans="1:4" ht="14.4">
      <c r="A103" s="99">
        <v>97</v>
      </c>
      <c r="B103" s="99" t="s">
        <v>109</v>
      </c>
      <c r="C103" s="99" t="s">
        <v>2483</v>
      </c>
      <c r="D103" s="34" t="s">
        <v>2442</v>
      </c>
    </row>
    <row r="104" spans="1:4" ht="14.4">
      <c r="A104" s="98">
        <v>98</v>
      </c>
      <c r="B104" s="98" t="s">
        <v>114</v>
      </c>
      <c r="C104" s="98" t="s">
        <v>923</v>
      </c>
      <c r="D104" s="36" t="s">
        <v>2442</v>
      </c>
    </row>
    <row r="105" spans="1:4" ht="14.4">
      <c r="A105" s="99">
        <v>99</v>
      </c>
      <c r="B105" s="99" t="s">
        <v>136</v>
      </c>
      <c r="C105" s="99" t="s">
        <v>1080</v>
      </c>
      <c r="D105" s="34" t="s">
        <v>2442</v>
      </c>
    </row>
    <row r="106" spans="1:4" ht="14.4">
      <c r="A106" s="98">
        <v>100</v>
      </c>
      <c r="B106" s="98" t="s">
        <v>160</v>
      </c>
      <c r="C106" s="98" t="s">
        <v>2484</v>
      </c>
      <c r="D106" s="36" t="s">
        <v>2442</v>
      </c>
    </row>
    <row r="107" spans="1:4" ht="14.4">
      <c r="A107" s="99">
        <v>101</v>
      </c>
      <c r="B107" s="99" t="s">
        <v>145</v>
      </c>
      <c r="C107" s="99" t="s">
        <v>2485</v>
      </c>
      <c r="D107" s="34" t="s">
        <v>2442</v>
      </c>
    </row>
    <row r="108" spans="1:4" ht="14.4">
      <c r="A108" s="98">
        <v>102</v>
      </c>
      <c r="B108" s="98" t="s">
        <v>500</v>
      </c>
      <c r="C108" s="98" t="s">
        <v>2486</v>
      </c>
      <c r="D108" s="36" t="s">
        <v>2442</v>
      </c>
    </row>
    <row r="109" spans="1:4" ht="14.4">
      <c r="A109" s="99">
        <v>103</v>
      </c>
      <c r="B109" s="99" t="s">
        <v>427</v>
      </c>
      <c r="C109" s="99" t="s">
        <v>2487</v>
      </c>
      <c r="D109" s="34" t="s">
        <v>2442</v>
      </c>
    </row>
    <row r="110" spans="1:4" ht="14.4">
      <c r="A110" s="98">
        <v>104</v>
      </c>
      <c r="B110" s="98" t="s">
        <v>2488</v>
      </c>
      <c r="C110" s="98" t="s">
        <v>2489</v>
      </c>
      <c r="D110" s="36" t="s">
        <v>2442</v>
      </c>
    </row>
    <row r="111" spans="1:4" ht="14.4">
      <c r="A111" s="99">
        <v>105</v>
      </c>
      <c r="B111" s="99" t="s">
        <v>82</v>
      </c>
      <c r="C111" s="99" t="s">
        <v>926</v>
      </c>
      <c r="D111" s="34" t="s">
        <v>2490</v>
      </c>
    </row>
    <row r="112" spans="1:4" ht="14.4">
      <c r="A112" s="98">
        <v>106</v>
      </c>
      <c r="B112" s="98" t="s">
        <v>72</v>
      </c>
      <c r="C112" s="98" t="s">
        <v>928</v>
      </c>
      <c r="D112" s="36" t="s">
        <v>2490</v>
      </c>
    </row>
    <row r="113" spans="1:4" ht="14.4">
      <c r="A113" s="99">
        <v>107</v>
      </c>
      <c r="B113" s="99" t="s">
        <v>92</v>
      </c>
      <c r="C113" s="99" t="s">
        <v>1082</v>
      </c>
      <c r="D113" s="34" t="s">
        <v>2490</v>
      </c>
    </row>
  </sheetData>
  <autoFilter ref="A6:D113"/>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3:C444"/>
  <sheetViews>
    <sheetView zoomScale="80" zoomScaleNormal="80" workbookViewId="0">
      <selection activeCell="A3" sqref="A3"/>
    </sheetView>
  </sheetViews>
  <sheetFormatPr baseColWidth="10" defaultColWidth="11.3984375" defaultRowHeight="12"/>
  <cols>
    <col min="1" max="1" width="6" style="195" bestFit="1" customWidth="1"/>
    <col min="2" max="2" width="58.69921875" style="195" bestFit="1" customWidth="1"/>
    <col min="3" max="3" width="9.59765625" style="195" bestFit="1" customWidth="1"/>
    <col min="4" max="16384" width="11.3984375" style="195"/>
  </cols>
  <sheetData>
    <row r="3" spans="1:3" ht="16.2">
      <c r="A3" s="10" t="s">
        <v>2945</v>
      </c>
    </row>
    <row r="4" spans="1:3" ht="16.2">
      <c r="A4" s="10"/>
    </row>
    <row r="6" spans="1:3" ht="13.8" thickBot="1">
      <c r="A6" s="97" t="s">
        <v>1076</v>
      </c>
      <c r="B6" s="97" t="s">
        <v>1077</v>
      </c>
      <c r="C6" s="97" t="s">
        <v>611</v>
      </c>
    </row>
    <row r="7" spans="1:3" ht="15" thickTop="1">
      <c r="A7" s="99">
        <v>1</v>
      </c>
      <c r="B7" s="99" t="s">
        <v>155</v>
      </c>
      <c r="C7" s="99" t="s">
        <v>2491</v>
      </c>
    </row>
    <row r="8" spans="1:3" ht="14.4">
      <c r="A8" s="98">
        <v>2</v>
      </c>
      <c r="B8" s="98" t="s">
        <v>193</v>
      </c>
      <c r="C8" s="98" t="s">
        <v>2492</v>
      </c>
    </row>
    <row r="9" spans="1:3" ht="14.4">
      <c r="A9" s="99">
        <v>3</v>
      </c>
      <c r="B9" s="99" t="s">
        <v>429</v>
      </c>
      <c r="C9" s="99" t="s">
        <v>2493</v>
      </c>
    </row>
    <row r="10" spans="1:3" ht="14.4">
      <c r="A10" s="98">
        <v>4</v>
      </c>
      <c r="B10" s="98" t="s">
        <v>1893</v>
      </c>
      <c r="C10" s="98" t="s">
        <v>2494</v>
      </c>
    </row>
    <row r="11" spans="1:3" ht="14.4">
      <c r="A11" s="99">
        <v>5</v>
      </c>
      <c r="B11" s="99" t="s">
        <v>524</v>
      </c>
      <c r="C11" s="99" t="s">
        <v>2495</v>
      </c>
    </row>
    <row r="12" spans="1:3" ht="14.4">
      <c r="A12" s="98">
        <v>6</v>
      </c>
      <c r="B12" s="98" t="s">
        <v>284</v>
      </c>
      <c r="C12" s="98" t="s">
        <v>2496</v>
      </c>
    </row>
    <row r="13" spans="1:3" ht="14.4">
      <c r="A13" s="99">
        <v>7</v>
      </c>
      <c r="B13" s="99" t="s">
        <v>368</v>
      </c>
      <c r="C13" s="99" t="s">
        <v>2497</v>
      </c>
    </row>
    <row r="14" spans="1:3" ht="14.4">
      <c r="A14" s="98">
        <v>8</v>
      </c>
      <c r="B14" s="98" t="s">
        <v>309</v>
      </c>
      <c r="C14" s="98" t="s">
        <v>2498</v>
      </c>
    </row>
    <row r="15" spans="1:3" ht="14.4">
      <c r="A15" s="99">
        <v>9</v>
      </c>
      <c r="B15" s="99" t="s">
        <v>408</v>
      </c>
      <c r="C15" s="99" t="s">
        <v>2499</v>
      </c>
    </row>
    <row r="16" spans="1:3" ht="14.4">
      <c r="A16" s="98">
        <v>10</v>
      </c>
      <c r="B16" s="98" t="s">
        <v>550</v>
      </c>
      <c r="C16" s="98" t="s">
        <v>2500</v>
      </c>
    </row>
    <row r="17" spans="1:3" ht="14.4">
      <c r="A17" s="99">
        <v>11</v>
      </c>
      <c r="B17" s="99" t="s">
        <v>2501</v>
      </c>
      <c r="C17" s="99" t="s">
        <v>2502</v>
      </c>
    </row>
    <row r="18" spans="1:3" ht="14.4">
      <c r="A18" s="98">
        <v>12</v>
      </c>
      <c r="B18" s="98" t="s">
        <v>365</v>
      </c>
      <c r="C18" s="98" t="s">
        <v>2503</v>
      </c>
    </row>
    <row r="19" spans="1:3" ht="14.4">
      <c r="A19" s="99">
        <v>13</v>
      </c>
      <c r="B19" s="99" t="s">
        <v>1897</v>
      </c>
      <c r="C19" s="99" t="s">
        <v>2504</v>
      </c>
    </row>
    <row r="20" spans="1:3" ht="14.4">
      <c r="A20" s="98">
        <v>14</v>
      </c>
      <c r="B20" s="98" t="s">
        <v>140</v>
      </c>
      <c r="C20" s="98" t="s">
        <v>2505</v>
      </c>
    </row>
    <row r="21" spans="1:3" ht="14.4">
      <c r="A21" s="99">
        <v>15</v>
      </c>
      <c r="B21" s="99" t="s">
        <v>236</v>
      </c>
      <c r="C21" s="99" t="s">
        <v>2506</v>
      </c>
    </row>
    <row r="22" spans="1:3" ht="14.4">
      <c r="A22" s="98">
        <v>16</v>
      </c>
      <c r="B22" s="98" t="s">
        <v>172</v>
      </c>
      <c r="C22" s="98" t="s">
        <v>2507</v>
      </c>
    </row>
    <row r="23" spans="1:3" ht="14.4">
      <c r="A23" s="99">
        <v>17</v>
      </c>
      <c r="B23" s="99" t="s">
        <v>119</v>
      </c>
      <c r="C23" s="99" t="s">
        <v>2508</v>
      </c>
    </row>
    <row r="24" spans="1:3" ht="14.4">
      <c r="A24" s="98">
        <v>18</v>
      </c>
      <c r="B24" s="98" t="s">
        <v>1918</v>
      </c>
      <c r="C24" s="98" t="s">
        <v>2509</v>
      </c>
    </row>
    <row r="25" spans="1:3" ht="14.4">
      <c r="A25" s="99">
        <v>19</v>
      </c>
      <c r="B25" s="99" t="s">
        <v>278</v>
      </c>
      <c r="C25" s="99" t="s">
        <v>2510</v>
      </c>
    </row>
    <row r="26" spans="1:3" ht="14.4">
      <c r="A26" s="98">
        <v>20</v>
      </c>
      <c r="B26" s="98" t="s">
        <v>556</v>
      </c>
      <c r="C26" s="98" t="s">
        <v>2511</v>
      </c>
    </row>
    <row r="27" spans="1:3" ht="14.4">
      <c r="A27" s="99">
        <v>21</v>
      </c>
      <c r="B27" s="99" t="s">
        <v>116</v>
      </c>
      <c r="C27" s="99" t="s">
        <v>2512</v>
      </c>
    </row>
    <row r="28" spans="1:3" ht="14.4">
      <c r="A28" s="98">
        <v>22</v>
      </c>
      <c r="B28" s="98" t="s">
        <v>201</v>
      </c>
      <c r="C28" s="98" t="s">
        <v>2513</v>
      </c>
    </row>
    <row r="29" spans="1:3" ht="14.4">
      <c r="A29" s="99">
        <v>23</v>
      </c>
      <c r="B29" s="99" t="s">
        <v>431</v>
      </c>
      <c r="C29" s="99" t="s">
        <v>2514</v>
      </c>
    </row>
    <row r="30" spans="1:3" ht="14.4">
      <c r="A30" s="98">
        <v>24</v>
      </c>
      <c r="B30" s="98" t="s">
        <v>184</v>
      </c>
      <c r="C30" s="98" t="s">
        <v>2515</v>
      </c>
    </row>
    <row r="31" spans="1:3" ht="14.4">
      <c r="A31" s="99">
        <v>25</v>
      </c>
      <c r="B31" s="99" t="s">
        <v>416</v>
      </c>
      <c r="C31" s="99" t="s">
        <v>2516</v>
      </c>
    </row>
    <row r="32" spans="1:3" ht="14.4">
      <c r="A32" s="98">
        <v>26</v>
      </c>
      <c r="B32" s="98" t="s">
        <v>122</v>
      </c>
      <c r="C32" s="98" t="s">
        <v>2517</v>
      </c>
    </row>
    <row r="33" spans="1:3" ht="14.4">
      <c r="A33" s="99">
        <v>27</v>
      </c>
      <c r="B33" s="99" t="s">
        <v>1904</v>
      </c>
      <c r="C33" s="99" t="s">
        <v>2518</v>
      </c>
    </row>
    <row r="34" spans="1:3" ht="14.4">
      <c r="A34" s="98">
        <v>28</v>
      </c>
      <c r="B34" s="98" t="s">
        <v>117</v>
      </c>
      <c r="C34" s="98" t="s">
        <v>2519</v>
      </c>
    </row>
    <row r="35" spans="1:3" ht="14.4">
      <c r="A35" s="99">
        <v>29</v>
      </c>
      <c r="B35" s="99" t="s">
        <v>317</v>
      </c>
      <c r="C35" s="99" t="s">
        <v>2520</v>
      </c>
    </row>
    <row r="36" spans="1:3" ht="14.4">
      <c r="A36" s="98">
        <v>30</v>
      </c>
      <c r="B36" s="98" t="s">
        <v>228</v>
      </c>
      <c r="C36" s="98" t="s">
        <v>2521</v>
      </c>
    </row>
    <row r="37" spans="1:3" ht="14.4">
      <c r="A37" s="99">
        <v>31</v>
      </c>
      <c r="B37" s="99" t="s">
        <v>133</v>
      </c>
      <c r="C37" s="99" t="s">
        <v>2522</v>
      </c>
    </row>
    <row r="38" spans="1:3" ht="14.4">
      <c r="A38" s="98">
        <v>32</v>
      </c>
      <c r="B38" s="98" t="s">
        <v>527</v>
      </c>
      <c r="C38" s="98" t="s">
        <v>2523</v>
      </c>
    </row>
    <row r="39" spans="1:3" ht="14.4">
      <c r="A39" s="99">
        <v>33</v>
      </c>
      <c r="B39" s="99" t="s">
        <v>106</v>
      </c>
      <c r="C39" s="99" t="s">
        <v>2524</v>
      </c>
    </row>
    <row r="40" spans="1:3" ht="14.4">
      <c r="A40" s="98">
        <v>34</v>
      </c>
      <c r="B40" s="98" t="s">
        <v>426</v>
      </c>
      <c r="C40" s="98" t="s">
        <v>2525</v>
      </c>
    </row>
    <row r="41" spans="1:3" ht="14.4">
      <c r="A41" s="99">
        <v>35</v>
      </c>
      <c r="B41" s="99" t="s">
        <v>477</v>
      </c>
      <c r="C41" s="99" t="s">
        <v>2526</v>
      </c>
    </row>
    <row r="42" spans="1:3" ht="14.4">
      <c r="A42" s="98">
        <v>36</v>
      </c>
      <c r="B42" s="98" t="s">
        <v>174</v>
      </c>
      <c r="C42" s="98" t="s">
        <v>2527</v>
      </c>
    </row>
    <row r="43" spans="1:3" ht="14.4">
      <c r="A43" s="99">
        <v>37</v>
      </c>
      <c r="B43" s="99" t="s">
        <v>1908</v>
      </c>
      <c r="C43" s="99" t="s">
        <v>2528</v>
      </c>
    </row>
    <row r="44" spans="1:3" ht="14.4">
      <c r="A44" s="98">
        <v>38</v>
      </c>
      <c r="B44" s="98" t="s">
        <v>2529</v>
      </c>
      <c r="C44" s="98" t="s">
        <v>2530</v>
      </c>
    </row>
    <row r="45" spans="1:3" ht="14.4">
      <c r="A45" s="99">
        <v>39</v>
      </c>
      <c r="B45" s="99" t="s">
        <v>142</v>
      </c>
      <c r="C45" s="99" t="s">
        <v>2531</v>
      </c>
    </row>
    <row r="46" spans="1:3" ht="14.4">
      <c r="A46" s="98">
        <v>40</v>
      </c>
      <c r="B46" s="98" t="s">
        <v>512</v>
      </c>
      <c r="C46" s="98" t="s">
        <v>2532</v>
      </c>
    </row>
    <row r="47" spans="1:3" ht="14.4">
      <c r="A47" s="99">
        <v>41</v>
      </c>
      <c r="B47" s="99" t="s">
        <v>555</v>
      </c>
      <c r="C47" s="99" t="s">
        <v>2533</v>
      </c>
    </row>
    <row r="48" spans="1:3" ht="14.4">
      <c r="A48" s="98">
        <v>42</v>
      </c>
      <c r="B48" s="98" t="s">
        <v>264</v>
      </c>
      <c r="C48" s="98" t="s">
        <v>2534</v>
      </c>
    </row>
    <row r="49" spans="1:3" ht="14.4">
      <c r="A49" s="99">
        <v>43</v>
      </c>
      <c r="B49" s="99" t="s">
        <v>125</v>
      </c>
      <c r="C49" s="99" t="s">
        <v>2535</v>
      </c>
    </row>
    <row r="50" spans="1:3" ht="14.4">
      <c r="A50" s="98">
        <v>44</v>
      </c>
      <c r="B50" s="98" t="s">
        <v>329</v>
      </c>
      <c r="C50" s="98" t="s">
        <v>2536</v>
      </c>
    </row>
    <row r="51" spans="1:3" ht="14.4">
      <c r="A51" s="99">
        <v>45</v>
      </c>
      <c r="B51" s="99" t="s">
        <v>203</v>
      </c>
      <c r="C51" s="99" t="s">
        <v>2537</v>
      </c>
    </row>
    <row r="52" spans="1:3" ht="14.4">
      <c r="A52" s="98">
        <v>46</v>
      </c>
      <c r="B52" s="98" t="s">
        <v>558</v>
      </c>
      <c r="C52" s="98" t="s">
        <v>2538</v>
      </c>
    </row>
    <row r="53" spans="1:3" ht="14.4">
      <c r="A53" s="99">
        <v>47</v>
      </c>
      <c r="B53" s="99" t="s">
        <v>522</v>
      </c>
      <c r="C53" s="99" t="s">
        <v>2539</v>
      </c>
    </row>
    <row r="54" spans="1:3" ht="14.4">
      <c r="A54" s="98">
        <v>48</v>
      </c>
      <c r="B54" s="98" t="s">
        <v>297</v>
      </c>
      <c r="C54" s="98" t="s">
        <v>2540</v>
      </c>
    </row>
    <row r="55" spans="1:3" ht="14.4">
      <c r="A55" s="99">
        <v>49</v>
      </c>
      <c r="B55" s="99" t="s">
        <v>2541</v>
      </c>
      <c r="C55" s="99" t="s">
        <v>2542</v>
      </c>
    </row>
    <row r="56" spans="1:3" ht="14.4">
      <c r="A56" s="98">
        <v>50</v>
      </c>
      <c r="B56" s="98" t="s">
        <v>528</v>
      </c>
      <c r="C56" s="98" t="s">
        <v>2543</v>
      </c>
    </row>
    <row r="57" spans="1:3" ht="14.4">
      <c r="A57" s="99">
        <v>51</v>
      </c>
      <c r="B57" s="99" t="s">
        <v>151</v>
      </c>
      <c r="C57" s="99" t="s">
        <v>2544</v>
      </c>
    </row>
    <row r="58" spans="1:3" ht="14.4">
      <c r="A58" s="98">
        <v>52</v>
      </c>
      <c r="B58" s="98" t="s">
        <v>491</v>
      </c>
      <c r="C58" s="98" t="s">
        <v>2545</v>
      </c>
    </row>
    <row r="59" spans="1:3" ht="14.4">
      <c r="A59" s="99">
        <v>53</v>
      </c>
      <c r="B59" s="99" t="s">
        <v>410</v>
      </c>
      <c r="C59" s="99" t="s">
        <v>2546</v>
      </c>
    </row>
    <row r="60" spans="1:3" ht="14.4">
      <c r="A60" s="98">
        <v>54</v>
      </c>
      <c r="B60" s="98" t="s">
        <v>166</v>
      </c>
      <c r="C60" s="98" t="s">
        <v>2547</v>
      </c>
    </row>
    <row r="61" spans="1:3" ht="14.4">
      <c r="A61" s="99">
        <v>55</v>
      </c>
      <c r="B61" s="99" t="s">
        <v>112</v>
      </c>
      <c r="C61" s="99" t="s">
        <v>2548</v>
      </c>
    </row>
    <row r="62" spans="1:3" ht="14.4">
      <c r="A62" s="98">
        <v>56</v>
      </c>
      <c r="B62" s="98" t="s">
        <v>80</v>
      </c>
      <c r="C62" s="98" t="s">
        <v>2549</v>
      </c>
    </row>
    <row r="63" spans="1:3" ht="14.4">
      <c r="A63" s="99">
        <v>57</v>
      </c>
      <c r="B63" s="99" t="s">
        <v>481</v>
      </c>
      <c r="C63" s="99" t="s">
        <v>2550</v>
      </c>
    </row>
    <row r="64" spans="1:3" ht="14.4">
      <c r="A64" s="98">
        <v>58</v>
      </c>
      <c r="B64" s="98" t="s">
        <v>1923</v>
      </c>
      <c r="C64" s="98" t="s">
        <v>2551</v>
      </c>
    </row>
    <row r="65" spans="1:3" ht="14.4">
      <c r="A65" s="99">
        <v>59</v>
      </c>
      <c r="B65" s="99" t="s">
        <v>548</v>
      </c>
      <c r="C65" s="99" t="s">
        <v>2552</v>
      </c>
    </row>
    <row r="66" spans="1:3" ht="14.4">
      <c r="A66" s="98">
        <v>60</v>
      </c>
      <c r="B66" s="98" t="s">
        <v>234</v>
      </c>
      <c r="C66" s="98" t="s">
        <v>2553</v>
      </c>
    </row>
    <row r="67" spans="1:3" ht="14.4">
      <c r="A67" s="99">
        <v>61</v>
      </c>
      <c r="B67" s="99" t="s">
        <v>180</v>
      </c>
      <c r="C67" s="99" t="s">
        <v>2554</v>
      </c>
    </row>
    <row r="68" spans="1:3" ht="14.4">
      <c r="A68" s="98">
        <v>62</v>
      </c>
      <c r="B68" s="98" t="s">
        <v>1939</v>
      </c>
      <c r="C68" s="98" t="s">
        <v>2555</v>
      </c>
    </row>
    <row r="69" spans="1:3" ht="14.4">
      <c r="A69" s="99">
        <v>63</v>
      </c>
      <c r="B69" s="99" t="s">
        <v>513</v>
      </c>
      <c r="C69" s="99" t="s">
        <v>2556</v>
      </c>
    </row>
    <row r="70" spans="1:3" ht="14.4">
      <c r="A70" s="98">
        <v>64</v>
      </c>
      <c r="B70" s="98" t="s">
        <v>1953</v>
      </c>
      <c r="C70" s="98" t="s">
        <v>2557</v>
      </c>
    </row>
    <row r="71" spans="1:3" ht="14.4">
      <c r="A71" s="99">
        <v>65</v>
      </c>
      <c r="B71" s="99" t="s">
        <v>51</v>
      </c>
      <c r="C71" s="99" t="s">
        <v>2558</v>
      </c>
    </row>
    <row r="72" spans="1:3" ht="14.4">
      <c r="A72" s="98">
        <v>66</v>
      </c>
      <c r="B72" s="98" t="s">
        <v>1962</v>
      </c>
      <c r="C72" s="98" t="s">
        <v>2559</v>
      </c>
    </row>
    <row r="73" spans="1:3" ht="14.4">
      <c r="A73" s="99">
        <v>67</v>
      </c>
      <c r="B73" s="99" t="s">
        <v>406</v>
      </c>
      <c r="C73" s="99" t="s">
        <v>2560</v>
      </c>
    </row>
    <row r="74" spans="1:3" ht="14.4">
      <c r="A74" s="98">
        <v>68</v>
      </c>
      <c r="B74" s="98" t="s">
        <v>363</v>
      </c>
      <c r="C74" s="98" t="s">
        <v>2561</v>
      </c>
    </row>
    <row r="75" spans="1:3" ht="14.4">
      <c r="A75" s="99">
        <v>69</v>
      </c>
      <c r="B75" s="99" t="s">
        <v>526</v>
      </c>
      <c r="C75" s="99" t="s">
        <v>2562</v>
      </c>
    </row>
    <row r="76" spans="1:3" ht="14.4">
      <c r="A76" s="98">
        <v>70</v>
      </c>
      <c r="B76" s="98" t="s">
        <v>333</v>
      </c>
      <c r="C76" s="98" t="s">
        <v>2563</v>
      </c>
    </row>
    <row r="77" spans="1:3" ht="14.4">
      <c r="A77" s="99">
        <v>71</v>
      </c>
      <c r="B77" s="99" t="s">
        <v>225</v>
      </c>
      <c r="C77" s="99" t="s">
        <v>2564</v>
      </c>
    </row>
    <row r="78" spans="1:3" ht="14.4">
      <c r="A78" s="98">
        <v>72</v>
      </c>
      <c r="B78" s="98" t="s">
        <v>2565</v>
      </c>
      <c r="C78" s="98" t="s">
        <v>2566</v>
      </c>
    </row>
    <row r="79" spans="1:3" ht="14.4">
      <c r="A79" s="99">
        <v>73</v>
      </c>
      <c r="B79" s="99" t="s">
        <v>417</v>
      </c>
      <c r="C79" s="99" t="s">
        <v>2567</v>
      </c>
    </row>
    <row r="80" spans="1:3" ht="14.4">
      <c r="A80" s="98">
        <v>74</v>
      </c>
      <c r="B80" s="98" t="s">
        <v>1947</v>
      </c>
      <c r="C80" s="98" t="s">
        <v>2568</v>
      </c>
    </row>
    <row r="81" spans="1:3" ht="14.4">
      <c r="A81" s="99">
        <v>75</v>
      </c>
      <c r="B81" s="99" t="s">
        <v>2569</v>
      </c>
      <c r="C81" s="99" t="s">
        <v>2570</v>
      </c>
    </row>
    <row r="82" spans="1:3" ht="14.4">
      <c r="A82" s="98">
        <v>76</v>
      </c>
      <c r="B82" s="98" t="s">
        <v>470</v>
      </c>
      <c r="C82" s="98" t="s">
        <v>2571</v>
      </c>
    </row>
    <row r="83" spans="1:3" ht="14.4">
      <c r="A83" s="99">
        <v>77</v>
      </c>
      <c r="B83" s="99" t="s">
        <v>238</v>
      </c>
      <c r="C83" s="99" t="s">
        <v>2572</v>
      </c>
    </row>
    <row r="84" spans="1:3" ht="14.4">
      <c r="A84" s="98">
        <v>78</v>
      </c>
      <c r="B84" s="98" t="s">
        <v>428</v>
      </c>
      <c r="C84" s="98" t="s">
        <v>2573</v>
      </c>
    </row>
    <row r="85" spans="1:3" ht="14.4">
      <c r="A85" s="99">
        <v>79</v>
      </c>
      <c r="B85" s="99" t="s">
        <v>453</v>
      </c>
      <c r="C85" s="99" t="s">
        <v>2574</v>
      </c>
    </row>
    <row r="86" spans="1:3" ht="14.4">
      <c r="A86" s="98">
        <v>80</v>
      </c>
      <c r="B86" s="98" t="s">
        <v>486</v>
      </c>
      <c r="C86" s="98" t="s">
        <v>2575</v>
      </c>
    </row>
    <row r="87" spans="1:3" ht="14.4">
      <c r="A87" s="99">
        <v>81</v>
      </c>
      <c r="B87" s="99" t="s">
        <v>557</v>
      </c>
      <c r="C87" s="99" t="s">
        <v>2576</v>
      </c>
    </row>
    <row r="88" spans="1:3" ht="14.4">
      <c r="A88" s="98">
        <v>82</v>
      </c>
      <c r="B88" s="98" t="s">
        <v>1940</v>
      </c>
      <c r="C88" s="98" t="s">
        <v>2577</v>
      </c>
    </row>
    <row r="89" spans="1:3" ht="14.4">
      <c r="A89" s="99">
        <v>83</v>
      </c>
      <c r="B89" s="99" t="s">
        <v>101</v>
      </c>
      <c r="C89" s="99" t="s">
        <v>2578</v>
      </c>
    </row>
    <row r="90" spans="1:3" ht="14.4">
      <c r="A90" s="98">
        <v>84</v>
      </c>
      <c r="B90" s="98" t="s">
        <v>242</v>
      </c>
      <c r="C90" s="98" t="s">
        <v>2579</v>
      </c>
    </row>
    <row r="91" spans="1:3" ht="14.4">
      <c r="A91" s="99">
        <v>85</v>
      </c>
      <c r="B91" s="99" t="s">
        <v>552</v>
      </c>
      <c r="C91" s="99" t="s">
        <v>2580</v>
      </c>
    </row>
    <row r="92" spans="1:3" ht="14.4">
      <c r="A92" s="98">
        <v>86</v>
      </c>
      <c r="B92" s="98" t="s">
        <v>1941</v>
      </c>
      <c r="C92" s="98" t="s">
        <v>2581</v>
      </c>
    </row>
    <row r="93" spans="1:3" ht="14.4">
      <c r="A93" s="99">
        <v>87</v>
      </c>
      <c r="B93" s="99" t="s">
        <v>460</v>
      </c>
      <c r="C93" s="99" t="s">
        <v>2582</v>
      </c>
    </row>
    <row r="94" spans="1:3" ht="14.4">
      <c r="A94" s="98">
        <v>88</v>
      </c>
      <c r="B94" s="98" t="s">
        <v>454</v>
      </c>
      <c r="C94" s="98" t="s">
        <v>2583</v>
      </c>
    </row>
    <row r="95" spans="1:3" ht="14.4">
      <c r="A95" s="99">
        <v>89</v>
      </c>
      <c r="B95" s="99" t="s">
        <v>450</v>
      </c>
      <c r="C95" s="99" t="s">
        <v>2584</v>
      </c>
    </row>
    <row r="96" spans="1:3" ht="14.4">
      <c r="A96" s="98">
        <v>90</v>
      </c>
      <c r="B96" s="98" t="s">
        <v>352</v>
      </c>
      <c r="C96" s="98" t="s">
        <v>2585</v>
      </c>
    </row>
    <row r="97" spans="1:3" ht="14.4">
      <c r="A97" s="99">
        <v>91</v>
      </c>
      <c r="B97" s="99" t="s">
        <v>132</v>
      </c>
      <c r="C97" s="99" t="s">
        <v>2586</v>
      </c>
    </row>
    <row r="98" spans="1:3" ht="14.4">
      <c r="A98" s="98">
        <v>92</v>
      </c>
      <c r="B98" s="98" t="s">
        <v>403</v>
      </c>
      <c r="C98" s="98" t="s">
        <v>2587</v>
      </c>
    </row>
    <row r="99" spans="1:3" ht="14.4">
      <c r="A99" s="99">
        <v>93</v>
      </c>
      <c r="B99" s="99" t="s">
        <v>20</v>
      </c>
      <c r="C99" s="99" t="s">
        <v>2588</v>
      </c>
    </row>
    <row r="100" spans="1:3" ht="14.4">
      <c r="A100" s="98">
        <v>94</v>
      </c>
      <c r="B100" s="98" t="s">
        <v>141</v>
      </c>
      <c r="C100" s="98" t="s">
        <v>2589</v>
      </c>
    </row>
    <row r="101" spans="1:3" ht="14.4">
      <c r="A101" s="99">
        <v>95</v>
      </c>
      <c r="B101" s="99" t="s">
        <v>310</v>
      </c>
      <c r="C101" s="99" t="s">
        <v>2590</v>
      </c>
    </row>
    <row r="102" spans="1:3" ht="14.4">
      <c r="A102" s="98">
        <v>96</v>
      </c>
      <c r="B102" s="98" t="s">
        <v>2591</v>
      </c>
      <c r="C102" s="98" t="s">
        <v>2592</v>
      </c>
    </row>
    <row r="103" spans="1:3" ht="14.4">
      <c r="A103" s="99">
        <v>97</v>
      </c>
      <c r="B103" s="99" t="s">
        <v>2593</v>
      </c>
      <c r="C103" s="99" t="s">
        <v>2594</v>
      </c>
    </row>
    <row r="104" spans="1:3" ht="14.4">
      <c r="A104" s="98">
        <v>98</v>
      </c>
      <c r="B104" s="98" t="s">
        <v>430</v>
      </c>
      <c r="C104" s="98" t="s">
        <v>2595</v>
      </c>
    </row>
    <row r="105" spans="1:3" ht="14.4">
      <c r="A105" s="99">
        <v>99</v>
      </c>
      <c r="B105" s="99" t="s">
        <v>418</v>
      </c>
      <c r="C105" s="99" t="s">
        <v>2596</v>
      </c>
    </row>
    <row r="106" spans="1:3" ht="14.4">
      <c r="A106" s="98">
        <v>100</v>
      </c>
      <c r="B106" s="98" t="s">
        <v>506</v>
      </c>
      <c r="C106" s="98" t="s">
        <v>2597</v>
      </c>
    </row>
    <row r="107" spans="1:3" ht="14.4">
      <c r="A107" s="99">
        <v>101</v>
      </c>
      <c r="B107" s="99" t="s">
        <v>292</v>
      </c>
      <c r="C107" s="99" t="s">
        <v>2598</v>
      </c>
    </row>
    <row r="108" spans="1:3" ht="14.4">
      <c r="A108" s="98">
        <v>102</v>
      </c>
      <c r="B108" s="98" t="s">
        <v>1945</v>
      </c>
      <c r="C108" s="98" t="s">
        <v>2599</v>
      </c>
    </row>
    <row r="109" spans="1:3" ht="14.4">
      <c r="A109" s="99">
        <v>103</v>
      </c>
      <c r="B109" s="99" t="s">
        <v>245</v>
      </c>
      <c r="C109" s="99" t="s">
        <v>2600</v>
      </c>
    </row>
    <row r="110" spans="1:3" ht="14.4">
      <c r="A110" s="98">
        <v>104</v>
      </c>
      <c r="B110" s="98" t="s">
        <v>237</v>
      </c>
      <c r="C110" s="98" t="s">
        <v>2601</v>
      </c>
    </row>
    <row r="111" spans="1:3" ht="14.4">
      <c r="A111" s="99">
        <v>105</v>
      </c>
      <c r="B111" s="99" t="s">
        <v>1952</v>
      </c>
      <c r="C111" s="99" t="s">
        <v>2602</v>
      </c>
    </row>
    <row r="112" spans="1:3" ht="14.4">
      <c r="A112" s="98">
        <v>106</v>
      </c>
      <c r="B112" s="98" t="s">
        <v>463</v>
      </c>
      <c r="C112" s="98" t="s">
        <v>2603</v>
      </c>
    </row>
    <row r="113" spans="1:3" ht="14.4">
      <c r="A113" s="99">
        <v>107</v>
      </c>
      <c r="B113" s="99" t="s">
        <v>187</v>
      </c>
      <c r="C113" s="99" t="s">
        <v>2604</v>
      </c>
    </row>
    <row r="114" spans="1:3" ht="14.4">
      <c r="A114" s="98">
        <v>108</v>
      </c>
      <c r="B114" s="98" t="s">
        <v>2605</v>
      </c>
      <c r="C114" s="98" t="s">
        <v>2606</v>
      </c>
    </row>
    <row r="115" spans="1:3" ht="14.4">
      <c r="A115" s="99">
        <v>109</v>
      </c>
      <c r="B115" s="99" t="s">
        <v>104</v>
      </c>
      <c r="C115" s="99" t="s">
        <v>2607</v>
      </c>
    </row>
    <row r="116" spans="1:3" ht="14.4">
      <c r="A116" s="98">
        <v>110</v>
      </c>
      <c r="B116" s="98" t="s">
        <v>488</v>
      </c>
      <c r="C116" s="98" t="s">
        <v>2608</v>
      </c>
    </row>
    <row r="117" spans="1:3" ht="14.4">
      <c r="A117" s="99">
        <v>111</v>
      </c>
      <c r="B117" s="99" t="s">
        <v>1961</v>
      </c>
      <c r="C117" s="99" t="s">
        <v>2609</v>
      </c>
    </row>
    <row r="118" spans="1:3" ht="14.4">
      <c r="A118" s="98">
        <v>112</v>
      </c>
      <c r="B118" s="98" t="s">
        <v>525</v>
      </c>
      <c r="C118" s="98" t="s">
        <v>2610</v>
      </c>
    </row>
    <row r="119" spans="1:3" ht="14.4">
      <c r="A119" s="99">
        <v>113</v>
      </c>
      <c r="B119" s="99" t="s">
        <v>2076</v>
      </c>
      <c r="C119" s="99" t="s">
        <v>2611</v>
      </c>
    </row>
    <row r="120" spans="1:3" ht="14.4">
      <c r="A120" s="98">
        <v>114</v>
      </c>
      <c r="B120" s="98" t="s">
        <v>243</v>
      </c>
      <c r="C120" s="98" t="s">
        <v>2612</v>
      </c>
    </row>
    <row r="121" spans="1:3" ht="14.4">
      <c r="A121" s="99">
        <v>115</v>
      </c>
      <c r="B121" s="99" t="s">
        <v>461</v>
      </c>
      <c r="C121" s="99" t="s">
        <v>2613</v>
      </c>
    </row>
    <row r="122" spans="1:3" ht="14.4">
      <c r="A122" s="98">
        <v>116</v>
      </c>
      <c r="B122" s="98" t="s">
        <v>2614</v>
      </c>
      <c r="C122" s="98" t="s">
        <v>2615</v>
      </c>
    </row>
    <row r="123" spans="1:3" ht="14.4">
      <c r="A123" s="99">
        <v>117</v>
      </c>
      <c r="B123" s="99" t="s">
        <v>447</v>
      </c>
      <c r="C123" s="99" t="s">
        <v>2616</v>
      </c>
    </row>
    <row r="124" spans="1:3" ht="14.4">
      <c r="A124" s="98">
        <v>118</v>
      </c>
      <c r="B124" s="98" t="s">
        <v>442</v>
      </c>
      <c r="C124" s="98" t="s">
        <v>2617</v>
      </c>
    </row>
    <row r="125" spans="1:3" ht="14.4">
      <c r="A125" s="99">
        <v>119</v>
      </c>
      <c r="B125" s="99" t="s">
        <v>1973</v>
      </c>
      <c r="C125" s="99" t="s">
        <v>2618</v>
      </c>
    </row>
    <row r="126" spans="1:3" ht="14.4">
      <c r="A126" s="98">
        <v>120</v>
      </c>
      <c r="B126" s="98" t="s">
        <v>47</v>
      </c>
      <c r="C126" s="98" t="s">
        <v>2619</v>
      </c>
    </row>
    <row r="127" spans="1:3" ht="14.4">
      <c r="A127" s="99">
        <v>121</v>
      </c>
      <c r="B127" s="99" t="s">
        <v>249</v>
      </c>
      <c r="C127" s="99" t="s">
        <v>2620</v>
      </c>
    </row>
    <row r="128" spans="1:3" ht="14.4">
      <c r="A128" s="98">
        <v>122</v>
      </c>
      <c r="B128" s="98" t="s">
        <v>518</v>
      </c>
      <c r="C128" s="98" t="s">
        <v>2621</v>
      </c>
    </row>
    <row r="129" spans="1:3" ht="14.4">
      <c r="A129" s="99">
        <v>123</v>
      </c>
      <c r="B129" s="99" t="s">
        <v>449</v>
      </c>
      <c r="C129" s="99" t="s">
        <v>2622</v>
      </c>
    </row>
    <row r="130" spans="1:3" ht="14.4">
      <c r="A130" s="98">
        <v>124</v>
      </c>
      <c r="B130" s="98" t="s">
        <v>434</v>
      </c>
      <c r="C130" s="98" t="s">
        <v>2623</v>
      </c>
    </row>
    <row r="131" spans="1:3" ht="14.4">
      <c r="A131" s="99">
        <v>125</v>
      </c>
      <c r="B131" s="99" t="s">
        <v>147</v>
      </c>
      <c r="C131" s="99" t="s">
        <v>2624</v>
      </c>
    </row>
    <row r="132" spans="1:3" ht="14.4">
      <c r="A132" s="98">
        <v>126</v>
      </c>
      <c r="B132" s="98" t="s">
        <v>493</v>
      </c>
      <c r="C132" s="98" t="s">
        <v>2625</v>
      </c>
    </row>
    <row r="133" spans="1:3" ht="14.4">
      <c r="A133" s="99">
        <v>127</v>
      </c>
      <c r="B133" s="99" t="s">
        <v>2626</v>
      </c>
      <c r="C133" s="99" t="s">
        <v>2627</v>
      </c>
    </row>
    <row r="134" spans="1:3" ht="14.4">
      <c r="A134" s="98">
        <v>128</v>
      </c>
      <c r="B134" s="98" t="s">
        <v>441</v>
      </c>
      <c r="C134" s="98" t="s">
        <v>2628</v>
      </c>
    </row>
    <row r="135" spans="1:3" ht="14.4">
      <c r="A135" s="99">
        <v>129</v>
      </c>
      <c r="B135" s="99" t="s">
        <v>1982</v>
      </c>
      <c r="C135" s="99" t="s">
        <v>2629</v>
      </c>
    </row>
    <row r="136" spans="1:3" ht="14.4">
      <c r="A136" s="98">
        <v>130</v>
      </c>
      <c r="B136" s="98" t="s">
        <v>93</v>
      </c>
      <c r="C136" s="98" t="s">
        <v>2630</v>
      </c>
    </row>
    <row r="137" spans="1:3" ht="14.4">
      <c r="A137" s="99">
        <v>131</v>
      </c>
      <c r="B137" s="99" t="s">
        <v>409</v>
      </c>
      <c r="C137" s="99" t="s">
        <v>2631</v>
      </c>
    </row>
    <row r="138" spans="1:3" ht="14.4">
      <c r="A138" s="98">
        <v>132</v>
      </c>
      <c r="B138" s="98" t="s">
        <v>1977</v>
      </c>
      <c r="C138" s="98" t="s">
        <v>2632</v>
      </c>
    </row>
    <row r="139" spans="1:3" ht="14.4">
      <c r="A139" s="99">
        <v>133</v>
      </c>
      <c r="B139" s="99" t="s">
        <v>301</v>
      </c>
      <c r="C139" s="99" t="s">
        <v>2633</v>
      </c>
    </row>
    <row r="140" spans="1:3" ht="14.4">
      <c r="A140" s="98">
        <v>134</v>
      </c>
      <c r="B140" s="98" t="s">
        <v>195</v>
      </c>
      <c r="C140" s="98" t="s">
        <v>2634</v>
      </c>
    </row>
    <row r="141" spans="1:3" ht="14.4">
      <c r="A141" s="99">
        <v>135</v>
      </c>
      <c r="B141" s="99" t="s">
        <v>58</v>
      </c>
      <c r="C141" s="99" t="s">
        <v>2635</v>
      </c>
    </row>
    <row r="142" spans="1:3" ht="14.4">
      <c r="A142" s="98">
        <v>136</v>
      </c>
      <c r="B142" s="98" t="s">
        <v>120</v>
      </c>
      <c r="C142" s="98" t="s">
        <v>2636</v>
      </c>
    </row>
    <row r="143" spans="1:3" ht="14.4">
      <c r="A143" s="99">
        <v>137</v>
      </c>
      <c r="B143" s="99" t="s">
        <v>2637</v>
      </c>
      <c r="C143" s="99" t="s">
        <v>2448</v>
      </c>
    </row>
    <row r="144" spans="1:3" ht="14.4">
      <c r="A144" s="98">
        <v>138</v>
      </c>
      <c r="B144" s="98" t="s">
        <v>534</v>
      </c>
      <c r="C144" s="98" t="s">
        <v>2638</v>
      </c>
    </row>
    <row r="145" spans="1:3" ht="14.4">
      <c r="A145" s="99">
        <v>139</v>
      </c>
      <c r="B145" s="99" t="s">
        <v>257</v>
      </c>
      <c r="C145" s="99" t="s">
        <v>2639</v>
      </c>
    </row>
    <row r="146" spans="1:3" ht="14.4">
      <c r="A146" s="98">
        <v>140</v>
      </c>
      <c r="B146" s="98" t="s">
        <v>218</v>
      </c>
      <c r="C146" s="98" t="s">
        <v>2640</v>
      </c>
    </row>
    <row r="147" spans="1:3" ht="14.4">
      <c r="A147" s="99">
        <v>141</v>
      </c>
      <c r="B147" s="99" t="s">
        <v>515</v>
      </c>
      <c r="C147" s="99" t="s">
        <v>2641</v>
      </c>
    </row>
    <row r="148" spans="1:3" ht="14.4">
      <c r="A148" s="98">
        <v>142</v>
      </c>
      <c r="B148" s="98" t="s">
        <v>75</v>
      </c>
      <c r="C148" s="98" t="s">
        <v>2642</v>
      </c>
    </row>
    <row r="149" spans="1:3" ht="14.4">
      <c r="A149" s="99">
        <v>143</v>
      </c>
      <c r="B149" s="99" t="s">
        <v>280</v>
      </c>
      <c r="C149" s="99" t="s">
        <v>2643</v>
      </c>
    </row>
    <row r="150" spans="1:3" ht="14.4">
      <c r="A150" s="98">
        <v>144</v>
      </c>
      <c r="B150" s="98" t="s">
        <v>325</v>
      </c>
      <c r="C150" s="98" t="s">
        <v>2644</v>
      </c>
    </row>
    <row r="151" spans="1:3" ht="14.4">
      <c r="A151" s="99">
        <v>145</v>
      </c>
      <c r="B151" s="99" t="s">
        <v>2645</v>
      </c>
      <c r="C151" s="99" t="s">
        <v>2448</v>
      </c>
    </row>
    <row r="152" spans="1:3" ht="14.4">
      <c r="A152" s="98">
        <v>146</v>
      </c>
      <c r="B152" s="98" t="s">
        <v>267</v>
      </c>
      <c r="C152" s="98" t="s">
        <v>2646</v>
      </c>
    </row>
    <row r="153" spans="1:3" ht="14.4">
      <c r="A153" s="99">
        <v>147</v>
      </c>
      <c r="B153" s="99" t="s">
        <v>432</v>
      </c>
      <c r="C153" s="99" t="s">
        <v>2647</v>
      </c>
    </row>
    <row r="154" spans="1:3" ht="14.4">
      <c r="A154" s="98">
        <v>148</v>
      </c>
      <c r="B154" s="98" t="s">
        <v>360</v>
      </c>
      <c r="C154" s="98" t="s">
        <v>2648</v>
      </c>
    </row>
    <row r="155" spans="1:3" ht="14.4">
      <c r="A155" s="99">
        <v>149</v>
      </c>
      <c r="B155" s="99" t="s">
        <v>2011</v>
      </c>
      <c r="C155" s="99" t="s">
        <v>2649</v>
      </c>
    </row>
    <row r="156" spans="1:3" ht="14.4">
      <c r="A156" s="98">
        <v>150</v>
      </c>
      <c r="B156" s="98" t="s">
        <v>214</v>
      </c>
      <c r="C156" s="98" t="s">
        <v>2650</v>
      </c>
    </row>
    <row r="157" spans="1:3" ht="14.4">
      <c r="A157" s="99">
        <v>151</v>
      </c>
      <c r="B157" s="99" t="s">
        <v>274</v>
      </c>
      <c r="C157" s="99" t="s">
        <v>2651</v>
      </c>
    </row>
    <row r="158" spans="1:3" ht="14.4">
      <c r="A158" s="98">
        <v>152</v>
      </c>
      <c r="B158" s="98" t="s">
        <v>208</v>
      </c>
      <c r="C158" s="98" t="s">
        <v>2652</v>
      </c>
    </row>
    <row r="159" spans="1:3" ht="14.4">
      <c r="A159" s="99">
        <v>153</v>
      </c>
      <c r="B159" s="99" t="s">
        <v>1983</v>
      </c>
      <c r="C159" s="99" t="s">
        <v>2653</v>
      </c>
    </row>
    <row r="160" spans="1:3" ht="14.4">
      <c r="A160" s="98">
        <v>154</v>
      </c>
      <c r="B160" s="98" t="s">
        <v>307</v>
      </c>
      <c r="C160" s="98" t="s">
        <v>2654</v>
      </c>
    </row>
    <row r="161" spans="1:3" ht="14.4">
      <c r="A161" s="99">
        <v>155</v>
      </c>
      <c r="B161" s="99" t="s">
        <v>473</v>
      </c>
      <c r="C161" s="99" t="s">
        <v>2655</v>
      </c>
    </row>
    <row r="162" spans="1:3" ht="14.4">
      <c r="A162" s="98">
        <v>156</v>
      </c>
      <c r="B162" s="98" t="s">
        <v>1985</v>
      </c>
      <c r="C162" s="98" t="s">
        <v>2656</v>
      </c>
    </row>
    <row r="163" spans="1:3" ht="14.4">
      <c r="A163" s="99">
        <v>157</v>
      </c>
      <c r="B163" s="99" t="s">
        <v>338</v>
      </c>
      <c r="C163" s="99" t="s">
        <v>2657</v>
      </c>
    </row>
    <row r="164" spans="1:3" ht="14.4">
      <c r="A164" s="98">
        <v>158</v>
      </c>
      <c r="B164" s="98" t="s">
        <v>306</v>
      </c>
      <c r="C164" s="98" t="s">
        <v>2658</v>
      </c>
    </row>
    <row r="165" spans="1:3" ht="14.4">
      <c r="A165" s="99">
        <v>159</v>
      </c>
      <c r="B165" s="99" t="s">
        <v>150</v>
      </c>
      <c r="C165" s="99" t="s">
        <v>2659</v>
      </c>
    </row>
    <row r="166" spans="1:3" ht="14.4">
      <c r="A166" s="98">
        <v>160</v>
      </c>
      <c r="B166" s="98" t="s">
        <v>1988</v>
      </c>
      <c r="C166" s="98" t="s">
        <v>2660</v>
      </c>
    </row>
    <row r="167" spans="1:3" ht="14.4">
      <c r="A167" s="99">
        <v>161</v>
      </c>
      <c r="B167" s="99" t="s">
        <v>362</v>
      </c>
      <c r="C167" s="99" t="s">
        <v>2661</v>
      </c>
    </row>
    <row r="168" spans="1:3" ht="14.4">
      <c r="A168" s="98">
        <v>162</v>
      </c>
      <c r="B168" s="98" t="s">
        <v>468</v>
      </c>
      <c r="C168" s="98" t="s">
        <v>2662</v>
      </c>
    </row>
    <row r="169" spans="1:3" ht="14.4">
      <c r="A169" s="99">
        <v>163</v>
      </c>
      <c r="B169" s="99" t="s">
        <v>269</v>
      </c>
      <c r="C169" s="99" t="s">
        <v>2663</v>
      </c>
    </row>
    <row r="170" spans="1:3" ht="14.4">
      <c r="A170" s="98">
        <v>164</v>
      </c>
      <c r="B170" s="98" t="s">
        <v>2664</v>
      </c>
      <c r="C170" s="98" t="s">
        <v>2448</v>
      </c>
    </row>
    <row r="171" spans="1:3" ht="14.4">
      <c r="A171" s="99">
        <v>165</v>
      </c>
      <c r="B171" s="99" t="s">
        <v>323</v>
      </c>
      <c r="C171" s="99" t="s">
        <v>2665</v>
      </c>
    </row>
    <row r="172" spans="1:3" ht="14.4">
      <c r="A172" s="98">
        <v>166</v>
      </c>
      <c r="B172" s="98" t="s">
        <v>541</v>
      </c>
      <c r="C172" s="98" t="s">
        <v>2666</v>
      </c>
    </row>
    <row r="173" spans="1:3" ht="14.4">
      <c r="A173" s="99">
        <v>167</v>
      </c>
      <c r="B173" s="99" t="s">
        <v>389</v>
      </c>
      <c r="C173" s="99" t="s">
        <v>2667</v>
      </c>
    </row>
    <row r="174" spans="1:3" ht="14.4">
      <c r="A174" s="98">
        <v>168</v>
      </c>
      <c r="B174" s="98" t="s">
        <v>353</v>
      </c>
      <c r="C174" s="98" t="s">
        <v>2668</v>
      </c>
    </row>
    <row r="175" spans="1:3" ht="14.4">
      <c r="A175" s="99">
        <v>169</v>
      </c>
      <c r="B175" s="99" t="s">
        <v>539</v>
      </c>
      <c r="C175" s="99" t="s">
        <v>2669</v>
      </c>
    </row>
    <row r="176" spans="1:3" ht="14.4">
      <c r="A176" s="98">
        <v>170</v>
      </c>
      <c r="B176" s="98" t="s">
        <v>1991</v>
      </c>
      <c r="C176" s="98" t="s">
        <v>2670</v>
      </c>
    </row>
    <row r="177" spans="1:3" ht="14.4">
      <c r="A177" s="99">
        <v>171</v>
      </c>
      <c r="B177" s="99" t="s">
        <v>1992</v>
      </c>
      <c r="C177" s="99" t="s">
        <v>2671</v>
      </c>
    </row>
    <row r="178" spans="1:3" ht="14.4">
      <c r="A178" s="98">
        <v>172</v>
      </c>
      <c r="B178" s="98" t="s">
        <v>205</v>
      </c>
      <c r="C178" s="98" t="s">
        <v>2672</v>
      </c>
    </row>
    <row r="179" spans="1:3" ht="14.4">
      <c r="A179" s="99">
        <v>173</v>
      </c>
      <c r="B179" s="99" t="s">
        <v>1994</v>
      </c>
      <c r="C179" s="99" t="s">
        <v>2673</v>
      </c>
    </row>
    <row r="180" spans="1:3" ht="14.4">
      <c r="A180" s="98">
        <v>174</v>
      </c>
      <c r="B180" s="98" t="s">
        <v>1996</v>
      </c>
      <c r="C180" s="98" t="s">
        <v>2674</v>
      </c>
    </row>
    <row r="181" spans="1:3" ht="14.4">
      <c r="A181" s="99">
        <v>175</v>
      </c>
      <c r="B181" s="99" t="s">
        <v>2675</v>
      </c>
      <c r="C181" s="99" t="s">
        <v>2676</v>
      </c>
    </row>
    <row r="182" spans="1:3" ht="14.4">
      <c r="A182" s="98">
        <v>176</v>
      </c>
      <c r="B182" s="98" t="s">
        <v>1998</v>
      </c>
      <c r="C182" s="98" t="s">
        <v>2677</v>
      </c>
    </row>
    <row r="183" spans="1:3" ht="14.4">
      <c r="A183" s="99">
        <v>177</v>
      </c>
      <c r="B183" s="99" t="s">
        <v>29</v>
      </c>
      <c r="C183" s="99" t="s">
        <v>2678</v>
      </c>
    </row>
    <row r="184" spans="1:3" ht="14.4">
      <c r="A184" s="98">
        <v>178</v>
      </c>
      <c r="B184" s="98" t="s">
        <v>275</v>
      </c>
      <c r="C184" s="98" t="s">
        <v>2679</v>
      </c>
    </row>
    <row r="185" spans="1:3" ht="14.4">
      <c r="A185" s="99">
        <v>179</v>
      </c>
      <c r="B185" s="99" t="s">
        <v>265</v>
      </c>
      <c r="C185" s="99" t="s">
        <v>2680</v>
      </c>
    </row>
    <row r="186" spans="1:3" ht="14.4">
      <c r="A186" s="98">
        <v>180</v>
      </c>
      <c r="B186" s="98" t="s">
        <v>536</v>
      </c>
      <c r="C186" s="98" t="s">
        <v>2681</v>
      </c>
    </row>
    <row r="187" spans="1:3" ht="14.4">
      <c r="A187" s="99">
        <v>181</v>
      </c>
      <c r="B187" s="99" t="s">
        <v>240</v>
      </c>
      <c r="C187" s="99" t="s">
        <v>2682</v>
      </c>
    </row>
    <row r="188" spans="1:3" ht="14.4">
      <c r="A188" s="98">
        <v>182</v>
      </c>
      <c r="B188" s="98" t="s">
        <v>2683</v>
      </c>
      <c r="C188" s="98" t="s">
        <v>2684</v>
      </c>
    </row>
    <row r="189" spans="1:3" ht="14.4">
      <c r="A189" s="99">
        <v>183</v>
      </c>
      <c r="B189" s="99" t="s">
        <v>178</v>
      </c>
      <c r="C189" s="99" t="s">
        <v>2685</v>
      </c>
    </row>
    <row r="190" spans="1:3" ht="14.4">
      <c r="A190" s="98">
        <v>184</v>
      </c>
      <c r="B190" s="98" t="s">
        <v>220</v>
      </c>
      <c r="C190" s="98" t="s">
        <v>2686</v>
      </c>
    </row>
    <row r="191" spans="1:3" ht="14.4">
      <c r="A191" s="99">
        <v>185</v>
      </c>
      <c r="B191" s="99" t="s">
        <v>451</v>
      </c>
      <c r="C191" s="99" t="s">
        <v>2687</v>
      </c>
    </row>
    <row r="192" spans="1:3" ht="14.4">
      <c r="A192" s="98">
        <v>186</v>
      </c>
      <c r="B192" s="98" t="s">
        <v>36</v>
      </c>
      <c r="C192" s="98" t="s">
        <v>2448</v>
      </c>
    </row>
    <row r="193" spans="1:3" ht="14.4">
      <c r="A193" s="99">
        <v>187</v>
      </c>
      <c r="B193" s="99" t="s">
        <v>465</v>
      </c>
      <c r="C193" s="99" t="s">
        <v>2688</v>
      </c>
    </row>
    <row r="194" spans="1:3" ht="14.4">
      <c r="A194" s="98">
        <v>188</v>
      </c>
      <c r="B194" s="98" t="s">
        <v>398</v>
      </c>
      <c r="C194" s="98" t="s">
        <v>2689</v>
      </c>
    </row>
    <row r="195" spans="1:3" ht="14.4">
      <c r="A195" s="99">
        <v>189</v>
      </c>
      <c r="B195" s="99" t="s">
        <v>390</v>
      </c>
      <c r="C195" s="99" t="s">
        <v>2690</v>
      </c>
    </row>
    <row r="196" spans="1:3" ht="14.4">
      <c r="A196" s="98">
        <v>190</v>
      </c>
      <c r="B196" s="98" t="s">
        <v>1065</v>
      </c>
      <c r="C196" s="98" t="s">
        <v>2691</v>
      </c>
    </row>
    <row r="197" spans="1:3" ht="14.4">
      <c r="A197" s="99">
        <v>191</v>
      </c>
      <c r="B197" s="99" t="s">
        <v>223</v>
      </c>
      <c r="C197" s="99" t="s">
        <v>2692</v>
      </c>
    </row>
    <row r="198" spans="1:3" ht="14.4">
      <c r="A198" s="98">
        <v>192</v>
      </c>
      <c r="B198" s="98" t="s">
        <v>2004</v>
      </c>
      <c r="C198" s="98" t="s">
        <v>2693</v>
      </c>
    </row>
    <row r="199" spans="1:3" ht="14.4">
      <c r="A199" s="99">
        <v>193</v>
      </c>
      <c r="B199" s="99" t="s">
        <v>504</v>
      </c>
      <c r="C199" s="99" t="s">
        <v>2694</v>
      </c>
    </row>
    <row r="200" spans="1:3" ht="14.4">
      <c r="A200" s="98">
        <v>194</v>
      </c>
      <c r="B200" s="98" t="s">
        <v>502</v>
      </c>
      <c r="C200" s="98" t="s">
        <v>2695</v>
      </c>
    </row>
    <row r="201" spans="1:3" ht="14.4">
      <c r="A201" s="99">
        <v>195</v>
      </c>
      <c r="B201" s="99" t="s">
        <v>554</v>
      </c>
      <c r="C201" s="99" t="s">
        <v>2696</v>
      </c>
    </row>
    <row r="202" spans="1:3" ht="14.4">
      <c r="A202" s="98">
        <v>196</v>
      </c>
      <c r="B202" s="98" t="s">
        <v>478</v>
      </c>
      <c r="C202" s="98" t="s">
        <v>2697</v>
      </c>
    </row>
    <row r="203" spans="1:3" ht="14.4">
      <c r="A203" s="99">
        <v>197</v>
      </c>
      <c r="B203" s="99" t="s">
        <v>2007</v>
      </c>
      <c r="C203" s="99" t="s">
        <v>2698</v>
      </c>
    </row>
    <row r="204" spans="1:3" ht="14.4">
      <c r="A204" s="98">
        <v>198</v>
      </c>
      <c r="B204" s="98" t="s">
        <v>78</v>
      </c>
      <c r="C204" s="98" t="s">
        <v>2448</v>
      </c>
    </row>
    <row r="205" spans="1:3" ht="14.4">
      <c r="A205" s="99">
        <v>199</v>
      </c>
      <c r="B205" s="99" t="s">
        <v>291</v>
      </c>
      <c r="C205" s="99" t="s">
        <v>2699</v>
      </c>
    </row>
    <row r="206" spans="1:3" ht="14.4">
      <c r="A206" s="98">
        <v>200</v>
      </c>
      <c r="B206" s="98" t="s">
        <v>2014</v>
      </c>
      <c r="C206" s="98" t="s">
        <v>2700</v>
      </c>
    </row>
    <row r="207" spans="1:3" ht="14.4">
      <c r="A207" s="99">
        <v>201</v>
      </c>
      <c r="B207" s="99" t="s">
        <v>498</v>
      </c>
      <c r="C207" s="99" t="s">
        <v>2701</v>
      </c>
    </row>
    <row r="208" spans="1:3" ht="14.4">
      <c r="A208" s="98">
        <v>202</v>
      </c>
      <c r="B208" s="98" t="s">
        <v>452</v>
      </c>
      <c r="C208" s="98" t="s">
        <v>2702</v>
      </c>
    </row>
    <row r="209" spans="1:3" ht="14.4">
      <c r="A209" s="99">
        <v>203</v>
      </c>
      <c r="B209" s="99" t="s">
        <v>121</v>
      </c>
      <c r="C209" s="99" t="s">
        <v>2703</v>
      </c>
    </row>
    <row r="210" spans="1:3" ht="14.4">
      <c r="A210" s="98">
        <v>204</v>
      </c>
      <c r="B210" s="98" t="s">
        <v>444</v>
      </c>
      <c r="C210" s="98" t="s">
        <v>2448</v>
      </c>
    </row>
    <row r="211" spans="1:3" ht="14.4">
      <c r="A211" s="99">
        <v>205</v>
      </c>
      <c r="B211" s="99" t="s">
        <v>295</v>
      </c>
      <c r="C211" s="99" t="s">
        <v>2704</v>
      </c>
    </row>
    <row r="212" spans="1:3" ht="14.4">
      <c r="A212" s="98">
        <v>206</v>
      </c>
      <c r="B212" s="98" t="s">
        <v>149</v>
      </c>
      <c r="C212" s="98" t="s">
        <v>2705</v>
      </c>
    </row>
    <row r="213" spans="1:3" ht="14.4">
      <c r="A213" s="99">
        <v>207</v>
      </c>
      <c r="B213" s="99" t="s">
        <v>324</v>
      </c>
      <c r="C213" s="99" t="s">
        <v>2706</v>
      </c>
    </row>
    <row r="214" spans="1:3" ht="14.4">
      <c r="A214" s="98">
        <v>208</v>
      </c>
      <c r="B214" s="98" t="s">
        <v>420</v>
      </c>
      <c r="C214" s="98" t="s">
        <v>2707</v>
      </c>
    </row>
    <row r="215" spans="1:3" ht="14.4">
      <c r="A215" s="99">
        <v>209</v>
      </c>
      <c r="B215" s="99" t="s">
        <v>2016</v>
      </c>
      <c r="C215" s="99" t="s">
        <v>2708</v>
      </c>
    </row>
    <row r="216" spans="1:3" ht="14.4">
      <c r="A216" s="98">
        <v>210</v>
      </c>
      <c r="B216" s="98" t="s">
        <v>2058</v>
      </c>
      <c r="C216" s="98" t="s">
        <v>2709</v>
      </c>
    </row>
    <row r="217" spans="1:3" ht="14.4">
      <c r="A217" s="99">
        <v>211</v>
      </c>
      <c r="B217" s="99" t="s">
        <v>2710</v>
      </c>
      <c r="C217" s="99" t="s">
        <v>2448</v>
      </c>
    </row>
    <row r="218" spans="1:3" ht="14.4">
      <c r="A218" s="98">
        <v>212</v>
      </c>
      <c r="B218" s="98" t="s">
        <v>247</v>
      </c>
      <c r="C218" s="98" t="s">
        <v>2711</v>
      </c>
    </row>
    <row r="219" spans="1:3" ht="14.4">
      <c r="A219" s="99">
        <v>213</v>
      </c>
      <c r="B219" s="99" t="s">
        <v>272</v>
      </c>
      <c r="C219" s="99" t="s">
        <v>2712</v>
      </c>
    </row>
    <row r="220" spans="1:3" ht="14.4">
      <c r="A220" s="98">
        <v>214</v>
      </c>
      <c r="B220" s="98" t="s">
        <v>303</v>
      </c>
      <c r="C220" s="98" t="s">
        <v>2713</v>
      </c>
    </row>
    <row r="221" spans="1:3" ht="14.4">
      <c r="A221" s="99">
        <v>215</v>
      </c>
      <c r="B221" s="99" t="s">
        <v>2017</v>
      </c>
      <c r="C221" s="99" t="s">
        <v>2714</v>
      </c>
    </row>
    <row r="222" spans="1:3" ht="14.4">
      <c r="A222" s="98">
        <v>216</v>
      </c>
      <c r="B222" s="98" t="s">
        <v>2018</v>
      </c>
      <c r="C222" s="98" t="s">
        <v>2715</v>
      </c>
    </row>
    <row r="223" spans="1:3" ht="14.4">
      <c r="A223" s="99">
        <v>217</v>
      </c>
      <c r="B223" s="99" t="s">
        <v>209</v>
      </c>
      <c r="C223" s="99" t="s">
        <v>2716</v>
      </c>
    </row>
    <row r="224" spans="1:3" ht="14.4">
      <c r="A224" s="98">
        <v>218</v>
      </c>
      <c r="B224" s="98" t="s">
        <v>340</v>
      </c>
      <c r="C224" s="98" t="s">
        <v>2717</v>
      </c>
    </row>
    <row r="225" spans="1:3" ht="14.4">
      <c r="A225" s="99">
        <v>219</v>
      </c>
      <c r="B225" s="99" t="s">
        <v>216</v>
      </c>
      <c r="C225" s="99" t="s">
        <v>2718</v>
      </c>
    </row>
    <row r="226" spans="1:3" ht="14.4">
      <c r="A226" s="98">
        <v>220</v>
      </c>
      <c r="B226" s="98" t="s">
        <v>2043</v>
      </c>
      <c r="C226" s="98" t="s">
        <v>2719</v>
      </c>
    </row>
    <row r="227" spans="1:3" ht="14.4">
      <c r="A227" s="99">
        <v>221</v>
      </c>
      <c r="B227" s="99" t="s">
        <v>226</v>
      </c>
      <c r="C227" s="99" t="s">
        <v>2720</v>
      </c>
    </row>
    <row r="228" spans="1:3" ht="14.4">
      <c r="A228" s="98">
        <v>222</v>
      </c>
      <c r="B228" s="98" t="s">
        <v>356</v>
      </c>
      <c r="C228" s="98" t="s">
        <v>2721</v>
      </c>
    </row>
    <row r="229" spans="1:3" ht="14.4">
      <c r="A229" s="99">
        <v>223</v>
      </c>
      <c r="B229" s="99" t="s">
        <v>350</v>
      </c>
      <c r="C229" s="99" t="s">
        <v>2722</v>
      </c>
    </row>
    <row r="230" spans="1:3" ht="14.4">
      <c r="A230" s="98">
        <v>224</v>
      </c>
      <c r="B230" s="98" t="s">
        <v>231</v>
      </c>
      <c r="C230" s="98" t="s">
        <v>2723</v>
      </c>
    </row>
    <row r="231" spans="1:3" ht="14.4">
      <c r="A231" s="99">
        <v>225</v>
      </c>
      <c r="B231" s="99" t="s">
        <v>2020</v>
      </c>
      <c r="C231" s="99" t="s">
        <v>2724</v>
      </c>
    </row>
    <row r="232" spans="1:3" ht="14.4">
      <c r="A232" s="98">
        <v>226</v>
      </c>
      <c r="B232" s="98" t="s">
        <v>334</v>
      </c>
      <c r="C232" s="98" t="s">
        <v>2725</v>
      </c>
    </row>
    <row r="233" spans="1:3" ht="14.4">
      <c r="A233" s="99">
        <v>227</v>
      </c>
      <c r="B233" s="99" t="s">
        <v>495</v>
      </c>
      <c r="C233" s="99" t="s">
        <v>2726</v>
      </c>
    </row>
    <row r="234" spans="1:3" ht="14.4">
      <c r="A234" s="98">
        <v>228</v>
      </c>
      <c r="B234" s="98" t="s">
        <v>456</v>
      </c>
      <c r="C234" s="98" t="s">
        <v>2727</v>
      </c>
    </row>
    <row r="235" spans="1:3" ht="14.4">
      <c r="A235" s="99">
        <v>229</v>
      </c>
      <c r="B235" s="99" t="s">
        <v>123</v>
      </c>
      <c r="C235" s="99" t="s">
        <v>2728</v>
      </c>
    </row>
    <row r="236" spans="1:3" ht="14.4">
      <c r="A236" s="98">
        <v>230</v>
      </c>
      <c r="B236" s="98" t="s">
        <v>164</v>
      </c>
      <c r="C236" s="98" t="s">
        <v>2729</v>
      </c>
    </row>
    <row r="237" spans="1:3" ht="14.4">
      <c r="A237" s="99">
        <v>231</v>
      </c>
      <c r="B237" s="99" t="s">
        <v>294</v>
      </c>
      <c r="C237" s="99" t="s">
        <v>2730</v>
      </c>
    </row>
    <row r="238" spans="1:3" ht="14.4">
      <c r="A238" s="98">
        <v>232</v>
      </c>
      <c r="B238" s="98" t="s">
        <v>378</v>
      </c>
      <c r="C238" s="98" t="s">
        <v>2731</v>
      </c>
    </row>
    <row r="239" spans="1:3" ht="14.4">
      <c r="A239" s="99">
        <v>233</v>
      </c>
      <c r="B239" s="99" t="s">
        <v>148</v>
      </c>
      <c r="C239" s="99" t="s">
        <v>2732</v>
      </c>
    </row>
    <row r="240" spans="1:3" ht="14.4">
      <c r="A240" s="98">
        <v>234</v>
      </c>
      <c r="B240" s="98" t="s">
        <v>376</v>
      </c>
      <c r="C240" s="98" t="s">
        <v>2733</v>
      </c>
    </row>
    <row r="241" spans="1:3" ht="14.4">
      <c r="A241" s="99">
        <v>235</v>
      </c>
      <c r="B241" s="99" t="s">
        <v>2734</v>
      </c>
      <c r="C241" s="99" t="s">
        <v>2448</v>
      </c>
    </row>
    <row r="242" spans="1:3" ht="14.4">
      <c r="A242" s="98">
        <v>236</v>
      </c>
      <c r="B242" s="98" t="s">
        <v>287</v>
      </c>
      <c r="C242" s="98" t="s">
        <v>2735</v>
      </c>
    </row>
    <row r="243" spans="1:3" ht="14.4">
      <c r="A243" s="99">
        <v>237</v>
      </c>
      <c r="B243" s="99" t="s">
        <v>386</v>
      </c>
      <c r="C243" s="99" t="s">
        <v>2736</v>
      </c>
    </row>
    <row r="244" spans="1:3" ht="14.4">
      <c r="A244" s="98">
        <v>238</v>
      </c>
      <c r="B244" s="98" t="s">
        <v>508</v>
      </c>
      <c r="C244" s="98" t="s">
        <v>2737</v>
      </c>
    </row>
    <row r="245" spans="1:3" ht="14.4">
      <c r="A245" s="99">
        <v>239</v>
      </c>
      <c r="B245" s="99" t="s">
        <v>517</v>
      </c>
      <c r="C245" s="99" t="s">
        <v>2738</v>
      </c>
    </row>
    <row r="246" spans="1:3" ht="14.4">
      <c r="A246" s="98">
        <v>240</v>
      </c>
      <c r="B246" s="98" t="s">
        <v>384</v>
      </c>
      <c r="C246" s="98" t="s">
        <v>2739</v>
      </c>
    </row>
    <row r="247" spans="1:3" ht="14.4">
      <c r="A247" s="99">
        <v>241</v>
      </c>
      <c r="B247" s="99" t="s">
        <v>379</v>
      </c>
      <c r="C247" s="99" t="s">
        <v>2740</v>
      </c>
    </row>
    <row r="248" spans="1:3" ht="14.4">
      <c r="A248" s="98">
        <v>242</v>
      </c>
      <c r="B248" s="98" t="s">
        <v>472</v>
      </c>
      <c r="C248" s="98" t="s">
        <v>2741</v>
      </c>
    </row>
    <row r="249" spans="1:3" ht="14.4">
      <c r="A249" s="99">
        <v>243</v>
      </c>
      <c r="B249" s="99" t="s">
        <v>2031</v>
      </c>
      <c r="C249" s="99" t="s">
        <v>2742</v>
      </c>
    </row>
    <row r="250" spans="1:3" ht="14.4">
      <c r="A250" s="98">
        <v>244</v>
      </c>
      <c r="B250" s="98" t="s">
        <v>285</v>
      </c>
      <c r="C250" s="98" t="s">
        <v>2743</v>
      </c>
    </row>
    <row r="251" spans="1:3" ht="14.4">
      <c r="A251" s="99">
        <v>245</v>
      </c>
      <c r="B251" s="99" t="s">
        <v>514</v>
      </c>
      <c r="C251" s="99" t="s">
        <v>2744</v>
      </c>
    </row>
    <row r="252" spans="1:3" ht="14.4">
      <c r="A252" s="98">
        <v>246</v>
      </c>
      <c r="B252" s="98" t="s">
        <v>302</v>
      </c>
      <c r="C252" s="98" t="s">
        <v>2745</v>
      </c>
    </row>
    <row r="253" spans="1:3" ht="14.4">
      <c r="A253" s="99">
        <v>247</v>
      </c>
      <c r="B253" s="99" t="s">
        <v>2036</v>
      </c>
      <c r="C253" s="99" t="s">
        <v>2746</v>
      </c>
    </row>
    <row r="254" spans="1:3" ht="14.4">
      <c r="A254" s="98">
        <v>248</v>
      </c>
      <c r="B254" s="98" t="s">
        <v>2037</v>
      </c>
      <c r="C254" s="98" t="s">
        <v>2747</v>
      </c>
    </row>
    <row r="255" spans="1:3" ht="14.4">
      <c r="A255" s="99">
        <v>249</v>
      </c>
      <c r="B255" s="99" t="s">
        <v>2038</v>
      </c>
      <c r="C255" s="99" t="s">
        <v>2748</v>
      </c>
    </row>
    <row r="256" spans="1:3" ht="14.4">
      <c r="A256" s="98">
        <v>250</v>
      </c>
      <c r="B256" s="98" t="s">
        <v>392</v>
      </c>
      <c r="C256" s="98" t="s">
        <v>2749</v>
      </c>
    </row>
    <row r="257" spans="1:3" ht="14.4">
      <c r="A257" s="99">
        <v>251</v>
      </c>
      <c r="B257" s="99" t="s">
        <v>2039</v>
      </c>
      <c r="C257" s="99" t="s">
        <v>2750</v>
      </c>
    </row>
    <row r="258" spans="1:3" ht="14.4">
      <c r="A258" s="98">
        <v>252</v>
      </c>
      <c r="B258" s="98" t="s">
        <v>1924</v>
      </c>
      <c r="C258" s="98" t="s">
        <v>2448</v>
      </c>
    </row>
    <row r="259" spans="1:3" ht="14.4">
      <c r="A259" s="99">
        <v>253</v>
      </c>
      <c r="B259" s="99" t="s">
        <v>446</v>
      </c>
      <c r="C259" s="99" t="s">
        <v>2751</v>
      </c>
    </row>
    <row r="260" spans="1:3" ht="14.4">
      <c r="A260" s="98">
        <v>254</v>
      </c>
      <c r="B260" s="98" t="s">
        <v>2752</v>
      </c>
      <c r="C260" s="98" t="s">
        <v>2448</v>
      </c>
    </row>
    <row r="261" spans="1:3" ht="14.4">
      <c r="A261" s="99">
        <v>255</v>
      </c>
      <c r="B261" s="99" t="s">
        <v>213</v>
      </c>
      <c r="C261" s="99" t="s">
        <v>2753</v>
      </c>
    </row>
    <row r="262" spans="1:3" ht="14.4">
      <c r="A262" s="98">
        <v>256</v>
      </c>
      <c r="B262" s="98" t="s">
        <v>157</v>
      </c>
      <c r="C262" s="98" t="s">
        <v>2754</v>
      </c>
    </row>
    <row r="263" spans="1:3" ht="14.4">
      <c r="A263" s="99">
        <v>257</v>
      </c>
      <c r="B263" s="99" t="s">
        <v>288</v>
      </c>
      <c r="C263" s="99" t="s">
        <v>2755</v>
      </c>
    </row>
    <row r="264" spans="1:3" ht="14.4">
      <c r="A264" s="98">
        <v>258</v>
      </c>
      <c r="B264" s="98" t="s">
        <v>521</v>
      </c>
      <c r="C264" s="98" t="s">
        <v>2756</v>
      </c>
    </row>
    <row r="265" spans="1:3" ht="14.4">
      <c r="A265" s="99">
        <v>259</v>
      </c>
      <c r="B265" s="99" t="s">
        <v>529</v>
      </c>
      <c r="C265" s="99" t="s">
        <v>2757</v>
      </c>
    </row>
    <row r="266" spans="1:3" ht="14.4">
      <c r="A266" s="98">
        <v>260</v>
      </c>
      <c r="B266" s="98" t="s">
        <v>281</v>
      </c>
      <c r="C266" s="98" t="s">
        <v>2758</v>
      </c>
    </row>
    <row r="267" spans="1:3" ht="14.4">
      <c r="A267" s="99">
        <v>261</v>
      </c>
      <c r="B267" s="99" t="s">
        <v>474</v>
      </c>
      <c r="C267" s="99" t="s">
        <v>2759</v>
      </c>
    </row>
    <row r="268" spans="1:3" ht="14.4">
      <c r="A268" s="98">
        <v>262</v>
      </c>
      <c r="B268" s="98" t="s">
        <v>2760</v>
      </c>
      <c r="C268" s="98" t="s">
        <v>2448</v>
      </c>
    </row>
    <row r="269" spans="1:3" ht="14.4">
      <c r="A269" s="99">
        <v>263</v>
      </c>
      <c r="B269" s="99" t="s">
        <v>165</v>
      </c>
      <c r="C269" s="99" t="s">
        <v>2761</v>
      </c>
    </row>
    <row r="270" spans="1:3" ht="14.4">
      <c r="A270" s="98">
        <v>264</v>
      </c>
      <c r="B270" s="98" t="s">
        <v>138</v>
      </c>
      <c r="C270" s="98" t="s">
        <v>2762</v>
      </c>
    </row>
    <row r="271" spans="1:3" ht="14.4">
      <c r="A271" s="99">
        <v>265</v>
      </c>
      <c r="B271" s="99" t="s">
        <v>221</v>
      </c>
      <c r="C271" s="99" t="s">
        <v>2763</v>
      </c>
    </row>
    <row r="272" spans="1:3" ht="14.4">
      <c r="A272" s="98">
        <v>266</v>
      </c>
      <c r="B272" s="98" t="s">
        <v>314</v>
      </c>
      <c r="C272" s="98" t="s">
        <v>2764</v>
      </c>
    </row>
    <row r="273" spans="1:3" ht="14.4">
      <c r="A273" s="99">
        <v>267</v>
      </c>
      <c r="B273" s="99" t="s">
        <v>190</v>
      </c>
      <c r="C273" s="99" t="s">
        <v>2765</v>
      </c>
    </row>
    <row r="274" spans="1:3" ht="14.4">
      <c r="A274" s="98">
        <v>268</v>
      </c>
      <c r="B274" s="98" t="s">
        <v>2766</v>
      </c>
      <c r="C274" s="98" t="s">
        <v>2767</v>
      </c>
    </row>
    <row r="275" spans="1:3" ht="14.4">
      <c r="A275" s="99">
        <v>269</v>
      </c>
      <c r="B275" s="99" t="s">
        <v>286</v>
      </c>
      <c r="C275" s="99" t="s">
        <v>2768</v>
      </c>
    </row>
    <row r="276" spans="1:3" ht="14.4">
      <c r="A276" s="98">
        <v>270</v>
      </c>
      <c r="B276" s="98" t="s">
        <v>233</v>
      </c>
      <c r="C276" s="98" t="s">
        <v>2769</v>
      </c>
    </row>
    <row r="277" spans="1:3" ht="14.4">
      <c r="A277" s="99">
        <v>271</v>
      </c>
      <c r="B277" s="99" t="s">
        <v>2770</v>
      </c>
      <c r="C277" s="99" t="s">
        <v>2448</v>
      </c>
    </row>
    <row r="278" spans="1:3" ht="14.4">
      <c r="A278" s="98">
        <v>272</v>
      </c>
      <c r="B278" s="98" t="s">
        <v>124</v>
      </c>
      <c r="C278" s="98" t="s">
        <v>2771</v>
      </c>
    </row>
    <row r="279" spans="1:3" ht="14.4">
      <c r="A279" s="99">
        <v>273</v>
      </c>
      <c r="B279" s="99" t="s">
        <v>211</v>
      </c>
      <c r="C279" s="99" t="s">
        <v>2772</v>
      </c>
    </row>
    <row r="280" spans="1:3" ht="14.4">
      <c r="A280" s="98">
        <v>274</v>
      </c>
      <c r="B280" s="98" t="s">
        <v>304</v>
      </c>
      <c r="C280" s="98" t="s">
        <v>2773</v>
      </c>
    </row>
    <row r="281" spans="1:3" ht="14.4">
      <c r="A281" s="99">
        <v>275</v>
      </c>
      <c r="B281" s="99" t="s">
        <v>443</v>
      </c>
      <c r="C281" s="99" t="s">
        <v>2774</v>
      </c>
    </row>
    <row r="282" spans="1:3" ht="14.4">
      <c r="A282" s="98">
        <v>276</v>
      </c>
      <c r="B282" s="98" t="s">
        <v>276</v>
      </c>
      <c r="C282" s="98" t="s">
        <v>2775</v>
      </c>
    </row>
    <row r="283" spans="1:3" ht="14.4">
      <c r="A283" s="99">
        <v>277</v>
      </c>
      <c r="B283" s="99" t="s">
        <v>167</v>
      </c>
      <c r="C283" s="99" t="s">
        <v>2776</v>
      </c>
    </row>
    <row r="284" spans="1:3" ht="14.4">
      <c r="A284" s="98">
        <v>278</v>
      </c>
      <c r="B284" s="98" t="s">
        <v>388</v>
      </c>
      <c r="C284" s="98" t="s">
        <v>2777</v>
      </c>
    </row>
    <row r="285" spans="1:3" ht="14.4">
      <c r="A285" s="99">
        <v>279</v>
      </c>
      <c r="B285" s="99" t="s">
        <v>516</v>
      </c>
      <c r="C285" s="99" t="s">
        <v>2778</v>
      </c>
    </row>
    <row r="286" spans="1:3" ht="14.4">
      <c r="A286" s="98">
        <v>280</v>
      </c>
      <c r="B286" s="98" t="s">
        <v>405</v>
      </c>
      <c r="C286" s="98" t="s">
        <v>2779</v>
      </c>
    </row>
    <row r="287" spans="1:3" ht="14.4">
      <c r="A287" s="99">
        <v>281</v>
      </c>
      <c r="B287" s="99" t="s">
        <v>2073</v>
      </c>
      <c r="C287" s="99" t="s">
        <v>2780</v>
      </c>
    </row>
    <row r="288" spans="1:3" ht="14.4">
      <c r="A288" s="98">
        <v>282</v>
      </c>
      <c r="B288" s="98" t="s">
        <v>489</v>
      </c>
      <c r="C288" s="98" t="s">
        <v>2781</v>
      </c>
    </row>
    <row r="289" spans="1:3" ht="14.4">
      <c r="A289" s="99">
        <v>283</v>
      </c>
      <c r="B289" s="99" t="s">
        <v>505</v>
      </c>
      <c r="C289" s="99" t="s">
        <v>2782</v>
      </c>
    </row>
    <row r="290" spans="1:3" ht="14.4">
      <c r="A290" s="98">
        <v>284</v>
      </c>
      <c r="B290" s="98" t="s">
        <v>484</v>
      </c>
      <c r="C290" s="98" t="s">
        <v>2783</v>
      </c>
    </row>
    <row r="291" spans="1:3" ht="14.4">
      <c r="A291" s="99">
        <v>285</v>
      </c>
      <c r="B291" s="99" t="s">
        <v>171</v>
      </c>
      <c r="C291" s="99" t="s">
        <v>2448</v>
      </c>
    </row>
    <row r="292" spans="1:3" ht="14.4">
      <c r="A292" s="98">
        <v>286</v>
      </c>
      <c r="B292" s="98" t="s">
        <v>457</v>
      </c>
      <c r="C292" s="98" t="s">
        <v>2784</v>
      </c>
    </row>
    <row r="293" spans="1:3" ht="14.4">
      <c r="A293" s="99">
        <v>287</v>
      </c>
      <c r="B293" s="99" t="s">
        <v>316</v>
      </c>
      <c r="C293" s="99" t="s">
        <v>2785</v>
      </c>
    </row>
    <row r="294" spans="1:3" ht="14.4">
      <c r="A294" s="98">
        <v>288</v>
      </c>
      <c r="B294" s="98" t="s">
        <v>283</v>
      </c>
      <c r="C294" s="98" t="s">
        <v>2786</v>
      </c>
    </row>
    <row r="295" spans="1:3" ht="14.4">
      <c r="A295" s="99">
        <v>289</v>
      </c>
      <c r="B295" s="99" t="s">
        <v>519</v>
      </c>
      <c r="C295" s="99" t="s">
        <v>2787</v>
      </c>
    </row>
    <row r="296" spans="1:3" ht="14.4">
      <c r="A296" s="98">
        <v>290</v>
      </c>
      <c r="B296" s="98" t="s">
        <v>322</v>
      </c>
      <c r="C296" s="98" t="s">
        <v>2788</v>
      </c>
    </row>
    <row r="297" spans="1:3" ht="14.4">
      <c r="A297" s="99">
        <v>291</v>
      </c>
      <c r="B297" s="99" t="s">
        <v>503</v>
      </c>
      <c r="C297" s="99" t="s">
        <v>2789</v>
      </c>
    </row>
    <row r="298" spans="1:3" ht="14.4">
      <c r="A298" s="98">
        <v>292</v>
      </c>
      <c r="B298" s="98" t="s">
        <v>530</v>
      </c>
      <c r="C298" s="98" t="s">
        <v>2790</v>
      </c>
    </row>
    <row r="299" spans="1:3" ht="14.4">
      <c r="A299" s="99">
        <v>293</v>
      </c>
      <c r="B299" s="99" t="s">
        <v>533</v>
      </c>
      <c r="C299" s="99" t="s">
        <v>2791</v>
      </c>
    </row>
    <row r="300" spans="1:3" ht="14.4">
      <c r="A300" s="98">
        <v>294</v>
      </c>
      <c r="B300" s="98" t="s">
        <v>464</v>
      </c>
      <c r="C300" s="98" t="s">
        <v>2792</v>
      </c>
    </row>
    <row r="301" spans="1:3" ht="14.4">
      <c r="A301" s="99">
        <v>295</v>
      </c>
      <c r="B301" s="99" t="s">
        <v>313</v>
      </c>
      <c r="C301" s="99" t="s">
        <v>2793</v>
      </c>
    </row>
    <row r="302" spans="1:3" ht="14.4">
      <c r="A302" s="98">
        <v>296</v>
      </c>
      <c r="B302" s="98" t="s">
        <v>2064</v>
      </c>
      <c r="C302" s="98" t="s">
        <v>2794</v>
      </c>
    </row>
    <row r="303" spans="1:3" ht="14.4">
      <c r="A303" s="99">
        <v>297</v>
      </c>
      <c r="B303" s="99" t="s">
        <v>414</v>
      </c>
      <c r="C303" s="99" t="s">
        <v>2795</v>
      </c>
    </row>
    <row r="304" spans="1:3" ht="14.4">
      <c r="A304" s="98">
        <v>298</v>
      </c>
      <c r="B304" s="98" t="s">
        <v>305</v>
      </c>
      <c r="C304" s="98" t="s">
        <v>2796</v>
      </c>
    </row>
    <row r="305" spans="1:3" ht="14.4">
      <c r="A305" s="99">
        <v>299</v>
      </c>
      <c r="B305" s="99" t="s">
        <v>462</v>
      </c>
      <c r="C305" s="99" t="s">
        <v>2797</v>
      </c>
    </row>
    <row r="306" spans="1:3" ht="14.4">
      <c r="A306" s="98">
        <v>300</v>
      </c>
      <c r="B306" s="98" t="s">
        <v>511</v>
      </c>
      <c r="C306" s="98" t="s">
        <v>2798</v>
      </c>
    </row>
    <row r="307" spans="1:3" ht="14.4">
      <c r="A307" s="99">
        <v>301</v>
      </c>
      <c r="B307" s="99" t="s">
        <v>476</v>
      </c>
      <c r="C307" s="99" t="s">
        <v>2799</v>
      </c>
    </row>
    <row r="308" spans="1:3" ht="14.4">
      <c r="A308" s="98">
        <v>302</v>
      </c>
      <c r="B308" s="98" t="s">
        <v>293</v>
      </c>
      <c r="C308" s="98" t="s">
        <v>2800</v>
      </c>
    </row>
    <row r="309" spans="1:3" ht="14.4">
      <c r="A309" s="99">
        <v>303</v>
      </c>
      <c r="B309" s="99" t="s">
        <v>154</v>
      </c>
      <c r="C309" s="99" t="s">
        <v>2801</v>
      </c>
    </row>
    <row r="310" spans="1:3" ht="14.4">
      <c r="A310" s="98">
        <v>304</v>
      </c>
      <c r="B310" s="98" t="s">
        <v>347</v>
      </c>
      <c r="C310" s="98" t="s">
        <v>2802</v>
      </c>
    </row>
    <row r="311" spans="1:3" ht="14.4">
      <c r="A311" s="99">
        <v>305</v>
      </c>
      <c r="B311" s="99" t="s">
        <v>458</v>
      </c>
      <c r="C311" s="99" t="s">
        <v>2803</v>
      </c>
    </row>
    <row r="312" spans="1:3" ht="14.4">
      <c r="A312" s="98">
        <v>306</v>
      </c>
      <c r="B312" s="98" t="s">
        <v>2804</v>
      </c>
      <c r="C312" s="98" t="s">
        <v>2805</v>
      </c>
    </row>
    <row r="313" spans="1:3" ht="14.4">
      <c r="A313" s="99">
        <v>307</v>
      </c>
      <c r="B313" s="99" t="s">
        <v>445</v>
      </c>
      <c r="C313" s="99" t="s">
        <v>2806</v>
      </c>
    </row>
    <row r="314" spans="1:3" ht="14.4">
      <c r="A314" s="98">
        <v>308</v>
      </c>
      <c r="B314" s="98" t="s">
        <v>2807</v>
      </c>
      <c r="C314" s="98" t="s">
        <v>2808</v>
      </c>
    </row>
    <row r="315" spans="1:3" ht="14.4">
      <c r="A315" s="99">
        <v>309</v>
      </c>
      <c r="B315" s="99" t="s">
        <v>494</v>
      </c>
      <c r="C315" s="99" t="s">
        <v>2809</v>
      </c>
    </row>
    <row r="316" spans="1:3" ht="14.4">
      <c r="A316" s="98">
        <v>310</v>
      </c>
      <c r="B316" s="98" t="s">
        <v>336</v>
      </c>
      <c r="C316" s="98" t="s">
        <v>2810</v>
      </c>
    </row>
    <row r="317" spans="1:3" ht="14.4">
      <c r="A317" s="99">
        <v>311</v>
      </c>
      <c r="B317" s="99" t="s">
        <v>439</v>
      </c>
      <c r="C317" s="99" t="s">
        <v>2811</v>
      </c>
    </row>
    <row r="318" spans="1:3" ht="14.4">
      <c r="A318" s="98">
        <v>312</v>
      </c>
      <c r="B318" s="98" t="s">
        <v>251</v>
      </c>
      <c r="C318" s="98" t="s">
        <v>2812</v>
      </c>
    </row>
    <row r="319" spans="1:3" ht="14.4">
      <c r="A319" s="99">
        <v>313</v>
      </c>
      <c r="B319" s="99" t="s">
        <v>2813</v>
      </c>
      <c r="C319" s="99" t="s">
        <v>2814</v>
      </c>
    </row>
    <row r="320" spans="1:3" ht="14.4">
      <c r="A320" s="98">
        <v>314</v>
      </c>
      <c r="B320" s="98" t="s">
        <v>248</v>
      </c>
      <c r="C320" s="98" t="s">
        <v>2815</v>
      </c>
    </row>
    <row r="321" spans="1:3" ht="14.4">
      <c r="A321" s="99">
        <v>315</v>
      </c>
      <c r="B321" s="99" t="s">
        <v>501</v>
      </c>
      <c r="C321" s="99" t="s">
        <v>2816</v>
      </c>
    </row>
    <row r="322" spans="1:3" ht="14.4">
      <c r="A322" s="98">
        <v>316</v>
      </c>
      <c r="B322" s="98" t="s">
        <v>2070</v>
      </c>
      <c r="C322" s="98" t="s">
        <v>2817</v>
      </c>
    </row>
    <row r="323" spans="1:3" ht="14.4">
      <c r="A323" s="99">
        <v>317</v>
      </c>
      <c r="B323" s="99" t="s">
        <v>339</v>
      </c>
      <c r="C323" s="99" t="s">
        <v>2818</v>
      </c>
    </row>
    <row r="324" spans="1:3" ht="14.4">
      <c r="A324" s="98">
        <v>318</v>
      </c>
      <c r="B324" s="98" t="s">
        <v>2819</v>
      </c>
      <c r="C324" s="98" t="s">
        <v>2820</v>
      </c>
    </row>
    <row r="325" spans="1:3" ht="14.4">
      <c r="A325" s="99">
        <v>319</v>
      </c>
      <c r="B325" s="99" t="s">
        <v>345</v>
      </c>
      <c r="C325" s="99" t="s">
        <v>2821</v>
      </c>
    </row>
    <row r="326" spans="1:3" ht="14.4">
      <c r="A326" s="98">
        <v>320</v>
      </c>
      <c r="B326" s="98" t="s">
        <v>538</v>
      </c>
      <c r="C326" s="98" t="s">
        <v>2822</v>
      </c>
    </row>
    <row r="327" spans="1:3" ht="14.4">
      <c r="A327" s="99">
        <v>321</v>
      </c>
      <c r="B327" s="99" t="s">
        <v>415</v>
      </c>
      <c r="C327" s="99" t="s">
        <v>2823</v>
      </c>
    </row>
    <row r="328" spans="1:3" ht="14.4">
      <c r="A328" s="98">
        <v>322</v>
      </c>
      <c r="B328" s="98" t="s">
        <v>239</v>
      </c>
      <c r="C328" s="98" t="s">
        <v>2824</v>
      </c>
    </row>
    <row r="329" spans="1:3" ht="14.4">
      <c r="A329" s="99">
        <v>323</v>
      </c>
      <c r="B329" s="99" t="s">
        <v>531</v>
      </c>
      <c r="C329" s="99" t="s">
        <v>2825</v>
      </c>
    </row>
    <row r="330" spans="1:3" ht="14.4">
      <c r="A330" s="98">
        <v>324</v>
      </c>
      <c r="B330" s="98" t="s">
        <v>2075</v>
      </c>
      <c r="C330" s="98" t="s">
        <v>2826</v>
      </c>
    </row>
    <row r="331" spans="1:3" ht="14.4">
      <c r="A331" s="99">
        <v>325</v>
      </c>
      <c r="B331" s="99" t="s">
        <v>348</v>
      </c>
      <c r="C331" s="99" t="s">
        <v>2827</v>
      </c>
    </row>
    <row r="332" spans="1:3" ht="14.4">
      <c r="A332" s="98">
        <v>326</v>
      </c>
      <c r="B332" s="98" t="s">
        <v>400</v>
      </c>
      <c r="C332" s="98" t="s">
        <v>2828</v>
      </c>
    </row>
    <row r="333" spans="1:3" ht="14.4">
      <c r="A333" s="99">
        <v>327</v>
      </c>
      <c r="B333" s="99" t="s">
        <v>146</v>
      </c>
      <c r="C333" s="99" t="s">
        <v>2829</v>
      </c>
    </row>
    <row r="334" spans="1:3" ht="14.4">
      <c r="A334" s="98">
        <v>328</v>
      </c>
      <c r="B334" s="98" t="s">
        <v>507</v>
      </c>
      <c r="C334" s="98" t="s">
        <v>2830</v>
      </c>
    </row>
    <row r="335" spans="1:3" ht="14.4">
      <c r="A335" s="99">
        <v>329</v>
      </c>
      <c r="B335" s="99" t="s">
        <v>496</v>
      </c>
      <c r="C335" s="99" t="s">
        <v>2448</v>
      </c>
    </row>
    <row r="336" spans="1:3" ht="14.4">
      <c r="A336" s="98">
        <v>330</v>
      </c>
      <c r="B336" s="98" t="s">
        <v>354</v>
      </c>
      <c r="C336" s="98" t="s">
        <v>2831</v>
      </c>
    </row>
    <row r="337" spans="1:3" ht="14.4">
      <c r="A337" s="99">
        <v>331</v>
      </c>
      <c r="B337" s="99" t="s">
        <v>312</v>
      </c>
      <c r="C337" s="99" t="s">
        <v>2832</v>
      </c>
    </row>
    <row r="338" spans="1:3" ht="14.4">
      <c r="A338" s="98">
        <v>332</v>
      </c>
      <c r="B338" s="98" t="s">
        <v>326</v>
      </c>
      <c r="C338" s="98" t="s">
        <v>2833</v>
      </c>
    </row>
    <row r="339" spans="1:3" ht="14.4">
      <c r="A339" s="99">
        <v>333</v>
      </c>
      <c r="B339" s="99" t="s">
        <v>331</v>
      </c>
      <c r="C339" s="99" t="s">
        <v>2834</v>
      </c>
    </row>
    <row r="340" spans="1:3" ht="14.4">
      <c r="A340" s="98">
        <v>334</v>
      </c>
      <c r="B340" s="98" t="s">
        <v>258</v>
      </c>
      <c r="C340" s="98" t="s">
        <v>2835</v>
      </c>
    </row>
    <row r="341" spans="1:3" ht="14.4">
      <c r="A341" s="99">
        <v>335</v>
      </c>
      <c r="B341" s="99" t="s">
        <v>436</v>
      </c>
      <c r="C341" s="99" t="s">
        <v>2836</v>
      </c>
    </row>
    <row r="342" spans="1:3" ht="14.4">
      <c r="A342" s="98">
        <v>336</v>
      </c>
      <c r="B342" s="98" t="s">
        <v>399</v>
      </c>
      <c r="C342" s="98" t="s">
        <v>2837</v>
      </c>
    </row>
    <row r="343" spans="1:3" ht="14.4">
      <c r="A343" s="99">
        <v>337</v>
      </c>
      <c r="B343" s="99" t="s">
        <v>244</v>
      </c>
      <c r="C343" s="99" t="s">
        <v>2838</v>
      </c>
    </row>
    <row r="344" spans="1:3" ht="14.4">
      <c r="A344" s="98">
        <v>338</v>
      </c>
      <c r="B344" s="98" t="s">
        <v>421</v>
      </c>
      <c r="C344" s="98" t="s">
        <v>2448</v>
      </c>
    </row>
    <row r="345" spans="1:3" ht="14.4">
      <c r="A345" s="99">
        <v>339</v>
      </c>
      <c r="B345" s="99" t="s">
        <v>259</v>
      </c>
      <c r="C345" s="99" t="s">
        <v>2839</v>
      </c>
    </row>
    <row r="346" spans="1:3" ht="14.4">
      <c r="A346" s="98">
        <v>340</v>
      </c>
      <c r="B346" s="98" t="s">
        <v>413</v>
      </c>
      <c r="C346" s="98" t="s">
        <v>2840</v>
      </c>
    </row>
    <row r="347" spans="1:3" ht="14.4">
      <c r="A347" s="99">
        <v>341</v>
      </c>
      <c r="B347" s="99" t="s">
        <v>254</v>
      </c>
      <c r="C347" s="99" t="s">
        <v>2841</v>
      </c>
    </row>
    <row r="348" spans="1:3" ht="14.4">
      <c r="A348" s="98">
        <v>342</v>
      </c>
      <c r="B348" s="98" t="s">
        <v>2842</v>
      </c>
      <c r="C348" s="98" t="s">
        <v>2843</v>
      </c>
    </row>
    <row r="349" spans="1:3" ht="14.4">
      <c r="A349" s="99">
        <v>343</v>
      </c>
      <c r="B349" s="99" t="s">
        <v>2844</v>
      </c>
      <c r="C349" s="99" t="s">
        <v>2845</v>
      </c>
    </row>
    <row r="350" spans="1:3" ht="14.4">
      <c r="A350" s="98">
        <v>344</v>
      </c>
      <c r="B350" s="98" t="s">
        <v>266</v>
      </c>
      <c r="C350" s="98" t="s">
        <v>2846</v>
      </c>
    </row>
    <row r="351" spans="1:3" ht="14.4">
      <c r="A351" s="99">
        <v>345</v>
      </c>
      <c r="B351" s="99" t="s">
        <v>510</v>
      </c>
      <c r="C351" s="99" t="s">
        <v>2847</v>
      </c>
    </row>
    <row r="352" spans="1:3" ht="14.4">
      <c r="A352" s="98">
        <v>346</v>
      </c>
      <c r="B352" s="98" t="s">
        <v>479</v>
      </c>
      <c r="C352" s="98" t="s">
        <v>2848</v>
      </c>
    </row>
    <row r="353" spans="1:3" ht="14.4">
      <c r="A353" s="99">
        <v>347</v>
      </c>
      <c r="B353" s="99" t="s">
        <v>2849</v>
      </c>
      <c r="C353" s="99" t="s">
        <v>2850</v>
      </c>
    </row>
    <row r="354" spans="1:3" ht="14.4">
      <c r="A354" s="98">
        <v>348</v>
      </c>
      <c r="B354" s="98" t="s">
        <v>492</v>
      </c>
      <c r="C354" s="98" t="s">
        <v>2851</v>
      </c>
    </row>
    <row r="355" spans="1:3" ht="14.4">
      <c r="A355" s="99">
        <v>349</v>
      </c>
      <c r="B355" s="99" t="s">
        <v>241</v>
      </c>
      <c r="C355" s="99" t="s">
        <v>2852</v>
      </c>
    </row>
    <row r="356" spans="1:3" ht="14.4">
      <c r="A356" s="98">
        <v>350</v>
      </c>
      <c r="B356" s="98" t="s">
        <v>250</v>
      </c>
      <c r="C356" s="98" t="s">
        <v>2853</v>
      </c>
    </row>
    <row r="357" spans="1:3" ht="14.4">
      <c r="A357" s="99">
        <v>351</v>
      </c>
      <c r="B357" s="99" t="s">
        <v>299</v>
      </c>
      <c r="C357" s="99" t="s">
        <v>2854</v>
      </c>
    </row>
    <row r="358" spans="1:3" ht="14.4">
      <c r="A358" s="98">
        <v>352</v>
      </c>
      <c r="B358" s="98" t="s">
        <v>222</v>
      </c>
      <c r="C358" s="98" t="s">
        <v>2855</v>
      </c>
    </row>
    <row r="359" spans="1:3" ht="14.4">
      <c r="A359" s="99">
        <v>353</v>
      </c>
      <c r="B359" s="99" t="s">
        <v>337</v>
      </c>
      <c r="C359" s="99" t="s">
        <v>2856</v>
      </c>
    </row>
    <row r="360" spans="1:3" ht="14.4">
      <c r="A360" s="98">
        <v>354</v>
      </c>
      <c r="B360" s="98" t="s">
        <v>344</v>
      </c>
      <c r="C360" s="98" t="s">
        <v>2857</v>
      </c>
    </row>
    <row r="361" spans="1:3" ht="14.4">
      <c r="A361" s="99">
        <v>355</v>
      </c>
      <c r="B361" s="99" t="s">
        <v>318</v>
      </c>
      <c r="C361" s="99" t="s">
        <v>2858</v>
      </c>
    </row>
    <row r="362" spans="1:3" ht="14.4">
      <c r="A362" s="98">
        <v>356</v>
      </c>
      <c r="B362" s="98" t="s">
        <v>351</v>
      </c>
      <c r="C362" s="98" t="s">
        <v>2859</v>
      </c>
    </row>
    <row r="363" spans="1:3" ht="14.4">
      <c r="A363" s="99">
        <v>357</v>
      </c>
      <c r="B363" s="99" t="s">
        <v>471</v>
      </c>
      <c r="C363" s="99" t="s">
        <v>2860</v>
      </c>
    </row>
    <row r="364" spans="1:3" ht="14.4">
      <c r="A364" s="98">
        <v>358</v>
      </c>
      <c r="B364" s="98" t="s">
        <v>168</v>
      </c>
      <c r="C364" s="98" t="s">
        <v>2861</v>
      </c>
    </row>
    <row r="365" spans="1:3" ht="14.4">
      <c r="A365" s="99">
        <v>359</v>
      </c>
      <c r="B365" s="99" t="s">
        <v>480</v>
      </c>
      <c r="C365" s="99" t="s">
        <v>2862</v>
      </c>
    </row>
    <row r="366" spans="1:3" ht="14.4">
      <c r="A366" s="98">
        <v>360</v>
      </c>
      <c r="B366" s="98" t="s">
        <v>435</v>
      </c>
      <c r="C366" s="98" t="s">
        <v>2863</v>
      </c>
    </row>
    <row r="367" spans="1:3" ht="14.4">
      <c r="A367" s="99">
        <v>361</v>
      </c>
      <c r="B367" s="99" t="s">
        <v>485</v>
      </c>
      <c r="C367" s="99" t="s">
        <v>2864</v>
      </c>
    </row>
    <row r="368" spans="1:3" ht="14.4">
      <c r="A368" s="98">
        <v>362</v>
      </c>
      <c r="B368" s="98" t="s">
        <v>387</v>
      </c>
      <c r="C368" s="98" t="s">
        <v>2865</v>
      </c>
    </row>
    <row r="369" spans="1:3" ht="14.4">
      <c r="A369" s="99">
        <v>363</v>
      </c>
      <c r="B369" s="99" t="s">
        <v>2866</v>
      </c>
      <c r="C369" s="99" t="s">
        <v>2867</v>
      </c>
    </row>
    <row r="370" spans="1:3" ht="14.4">
      <c r="A370" s="98">
        <v>364</v>
      </c>
      <c r="B370" s="98" t="s">
        <v>279</v>
      </c>
      <c r="C370" s="98" t="s">
        <v>2868</v>
      </c>
    </row>
    <row r="371" spans="1:3" ht="14.4">
      <c r="A371" s="99">
        <v>365</v>
      </c>
      <c r="B371" s="99" t="s">
        <v>319</v>
      </c>
      <c r="C371" s="99" t="s">
        <v>2869</v>
      </c>
    </row>
    <row r="372" spans="1:3" ht="14.4">
      <c r="A372" s="98">
        <v>366</v>
      </c>
      <c r="B372" s="98" t="s">
        <v>349</v>
      </c>
      <c r="C372" s="98" t="s">
        <v>2870</v>
      </c>
    </row>
    <row r="373" spans="1:3" ht="14.4">
      <c r="A373" s="99">
        <v>367</v>
      </c>
      <c r="B373" s="99" t="s">
        <v>2100</v>
      </c>
      <c r="C373" s="99" t="s">
        <v>2871</v>
      </c>
    </row>
    <row r="374" spans="1:3" ht="14.4">
      <c r="A374" s="98">
        <v>368</v>
      </c>
      <c r="B374" s="98" t="s">
        <v>2107</v>
      </c>
      <c r="C374" s="98" t="s">
        <v>2872</v>
      </c>
    </row>
    <row r="375" spans="1:3" ht="14.4">
      <c r="A375" s="99">
        <v>369</v>
      </c>
      <c r="B375" s="99" t="s">
        <v>2108</v>
      </c>
      <c r="C375" s="99" t="s">
        <v>2873</v>
      </c>
    </row>
    <row r="376" spans="1:3" ht="14.4">
      <c r="A376" s="98">
        <v>370</v>
      </c>
      <c r="B376" s="98" t="s">
        <v>2109</v>
      </c>
      <c r="C376" s="98" t="s">
        <v>2874</v>
      </c>
    </row>
    <row r="377" spans="1:3" ht="14.4">
      <c r="A377" s="99">
        <v>371</v>
      </c>
      <c r="B377" s="99" t="s">
        <v>332</v>
      </c>
      <c r="C377" s="99" t="s">
        <v>2875</v>
      </c>
    </row>
    <row r="378" spans="1:3" ht="14.4">
      <c r="A378" s="98">
        <v>372</v>
      </c>
      <c r="B378" s="98" t="s">
        <v>261</v>
      </c>
      <c r="C378" s="98" t="s">
        <v>2876</v>
      </c>
    </row>
    <row r="379" spans="1:3" ht="14.4">
      <c r="A379" s="99">
        <v>373</v>
      </c>
      <c r="B379" s="99" t="s">
        <v>321</v>
      </c>
      <c r="C379" s="99" t="s">
        <v>2877</v>
      </c>
    </row>
    <row r="380" spans="1:3" ht="14.4">
      <c r="A380" s="98">
        <v>374</v>
      </c>
      <c r="B380" s="98" t="s">
        <v>246</v>
      </c>
      <c r="C380" s="98" t="s">
        <v>2878</v>
      </c>
    </row>
    <row r="381" spans="1:3" ht="14.4">
      <c r="A381" s="99">
        <v>375</v>
      </c>
      <c r="B381" s="99" t="s">
        <v>290</v>
      </c>
      <c r="C381" s="99" t="s">
        <v>2879</v>
      </c>
    </row>
    <row r="382" spans="1:3" ht="14.4">
      <c r="A382" s="98">
        <v>376</v>
      </c>
      <c r="B382" s="98" t="s">
        <v>2880</v>
      </c>
      <c r="C382" s="98" t="s">
        <v>2881</v>
      </c>
    </row>
    <row r="383" spans="1:3" ht="14.4">
      <c r="A383" s="99">
        <v>377</v>
      </c>
      <c r="B383" s="99" t="s">
        <v>523</v>
      </c>
      <c r="C383" s="99" t="s">
        <v>2882</v>
      </c>
    </row>
    <row r="384" spans="1:3" ht="14.4">
      <c r="A384" s="98">
        <v>378</v>
      </c>
      <c r="B384" s="98" t="s">
        <v>369</v>
      </c>
      <c r="C384" s="98" t="s">
        <v>2883</v>
      </c>
    </row>
    <row r="385" spans="1:3" ht="14.4">
      <c r="A385" s="99">
        <v>379</v>
      </c>
      <c r="B385" s="99" t="s">
        <v>253</v>
      </c>
      <c r="C385" s="99" t="s">
        <v>2884</v>
      </c>
    </row>
    <row r="386" spans="1:3" ht="14.4">
      <c r="A386" s="98">
        <v>380</v>
      </c>
      <c r="B386" s="98" t="s">
        <v>358</v>
      </c>
      <c r="C386" s="98" t="s">
        <v>2885</v>
      </c>
    </row>
    <row r="387" spans="1:3" ht="14.4">
      <c r="A387" s="99">
        <v>381</v>
      </c>
      <c r="B387" s="99" t="s">
        <v>401</v>
      </c>
      <c r="C387" s="99" t="s">
        <v>2886</v>
      </c>
    </row>
    <row r="388" spans="1:3" ht="14.4">
      <c r="A388" s="98">
        <v>382</v>
      </c>
      <c r="B388" s="98" t="s">
        <v>268</v>
      </c>
      <c r="C388" s="98" t="s">
        <v>2887</v>
      </c>
    </row>
    <row r="389" spans="1:3" ht="14.4">
      <c r="A389" s="99">
        <v>383</v>
      </c>
      <c r="B389" s="99" t="s">
        <v>380</v>
      </c>
      <c r="C389" s="99" t="s">
        <v>2888</v>
      </c>
    </row>
    <row r="390" spans="1:3" ht="14.4">
      <c r="A390" s="98">
        <v>384</v>
      </c>
      <c r="B390" s="98" t="s">
        <v>475</v>
      </c>
      <c r="C390" s="98" t="s">
        <v>2889</v>
      </c>
    </row>
    <row r="391" spans="1:3" ht="14.4">
      <c r="A391" s="99">
        <v>385</v>
      </c>
      <c r="B391" s="99" t="s">
        <v>482</v>
      </c>
      <c r="C391" s="99" t="s">
        <v>2890</v>
      </c>
    </row>
    <row r="392" spans="1:3" ht="14.4">
      <c r="A392" s="98">
        <v>386</v>
      </c>
      <c r="B392" s="98" t="s">
        <v>256</v>
      </c>
      <c r="C392" s="98" t="s">
        <v>2891</v>
      </c>
    </row>
    <row r="393" spans="1:3" ht="14.4">
      <c r="A393" s="99">
        <v>387</v>
      </c>
      <c r="B393" s="99" t="s">
        <v>407</v>
      </c>
      <c r="C393" s="99" t="s">
        <v>2892</v>
      </c>
    </row>
    <row r="394" spans="1:3" ht="14.4">
      <c r="A394" s="98">
        <v>388</v>
      </c>
      <c r="B394" s="98" t="s">
        <v>372</v>
      </c>
      <c r="C394" s="98" t="s">
        <v>2893</v>
      </c>
    </row>
    <row r="395" spans="1:3" ht="14.4">
      <c r="A395" s="99">
        <v>389</v>
      </c>
      <c r="B395" s="99" t="s">
        <v>2119</v>
      </c>
      <c r="C395" s="99" t="s">
        <v>2894</v>
      </c>
    </row>
    <row r="396" spans="1:3" ht="14.4">
      <c r="A396" s="98">
        <v>390</v>
      </c>
      <c r="B396" s="98" t="s">
        <v>382</v>
      </c>
      <c r="C396" s="98" t="s">
        <v>2895</v>
      </c>
    </row>
    <row r="397" spans="1:3" ht="14.4">
      <c r="A397" s="99">
        <v>391</v>
      </c>
      <c r="B397" s="99" t="s">
        <v>255</v>
      </c>
      <c r="C397" s="99" t="s">
        <v>2896</v>
      </c>
    </row>
    <row r="398" spans="1:3" ht="14.4">
      <c r="A398" s="98">
        <v>392</v>
      </c>
      <c r="B398" s="98" t="s">
        <v>469</v>
      </c>
      <c r="C398" s="98" t="s">
        <v>2897</v>
      </c>
    </row>
    <row r="399" spans="1:3" ht="14.4">
      <c r="A399" s="99">
        <v>393</v>
      </c>
      <c r="B399" s="99" t="s">
        <v>252</v>
      </c>
      <c r="C399" s="99" t="s">
        <v>2898</v>
      </c>
    </row>
    <row r="400" spans="1:3" ht="14.4">
      <c r="A400" s="98">
        <v>394</v>
      </c>
      <c r="B400" s="98" t="s">
        <v>320</v>
      </c>
      <c r="C400" s="98" t="s">
        <v>2899</v>
      </c>
    </row>
    <row r="401" spans="1:3" ht="14.4">
      <c r="A401" s="99">
        <v>395</v>
      </c>
      <c r="B401" s="99" t="s">
        <v>328</v>
      </c>
      <c r="C401" s="99" t="s">
        <v>2900</v>
      </c>
    </row>
    <row r="402" spans="1:3" ht="14.4">
      <c r="A402" s="98">
        <v>396</v>
      </c>
      <c r="B402" s="98" t="s">
        <v>361</v>
      </c>
      <c r="C402" s="98" t="s">
        <v>2901</v>
      </c>
    </row>
    <row r="403" spans="1:3" ht="14.4">
      <c r="A403" s="99">
        <v>397</v>
      </c>
      <c r="B403" s="99" t="s">
        <v>373</v>
      </c>
      <c r="C403" s="99" t="s">
        <v>2902</v>
      </c>
    </row>
    <row r="404" spans="1:3" ht="14.4">
      <c r="A404" s="98">
        <v>398</v>
      </c>
      <c r="B404" s="98" t="s">
        <v>509</v>
      </c>
      <c r="C404" s="98" t="s">
        <v>2903</v>
      </c>
    </row>
    <row r="405" spans="1:3" ht="14.4">
      <c r="A405" s="99">
        <v>399</v>
      </c>
      <c r="B405" s="99" t="s">
        <v>545</v>
      </c>
      <c r="C405" s="99" t="s">
        <v>2904</v>
      </c>
    </row>
    <row r="406" spans="1:3" ht="14.4">
      <c r="A406" s="98">
        <v>400</v>
      </c>
      <c r="B406" s="98" t="s">
        <v>260</v>
      </c>
      <c r="C406" s="98" t="s">
        <v>2905</v>
      </c>
    </row>
    <row r="407" spans="1:3" ht="14.4">
      <c r="A407" s="99">
        <v>401</v>
      </c>
      <c r="B407" s="99" t="s">
        <v>311</v>
      </c>
      <c r="C407" s="99" t="s">
        <v>2906</v>
      </c>
    </row>
    <row r="408" spans="1:3" ht="14.4">
      <c r="A408" s="98">
        <v>402</v>
      </c>
      <c r="B408" s="98" t="s">
        <v>520</v>
      </c>
      <c r="C408" s="98" t="s">
        <v>2907</v>
      </c>
    </row>
    <row r="409" spans="1:3" ht="14.4">
      <c r="A409" s="99">
        <v>403</v>
      </c>
      <c r="B409" s="99" t="s">
        <v>346</v>
      </c>
      <c r="C409" s="99" t="s">
        <v>2908</v>
      </c>
    </row>
    <row r="410" spans="1:3" ht="14.4">
      <c r="A410" s="98">
        <v>404</v>
      </c>
      <c r="B410" s="98" t="s">
        <v>394</v>
      </c>
      <c r="C410" s="98" t="s">
        <v>2909</v>
      </c>
    </row>
    <row r="411" spans="1:3" ht="14.4">
      <c r="A411" s="99">
        <v>405</v>
      </c>
      <c r="B411" s="99" t="s">
        <v>483</v>
      </c>
      <c r="C411" s="99" t="s">
        <v>2910</v>
      </c>
    </row>
    <row r="412" spans="1:3" ht="14.4">
      <c r="A412" s="98">
        <v>406</v>
      </c>
      <c r="B412" s="98" t="s">
        <v>551</v>
      </c>
      <c r="C412" s="98" t="s">
        <v>2911</v>
      </c>
    </row>
    <row r="413" spans="1:3" ht="14.4">
      <c r="A413" s="99">
        <v>407</v>
      </c>
      <c r="B413" s="99" t="s">
        <v>391</v>
      </c>
      <c r="C413" s="99" t="s">
        <v>2912</v>
      </c>
    </row>
    <row r="414" spans="1:3" ht="14.4">
      <c r="A414" s="98">
        <v>408</v>
      </c>
      <c r="B414" s="98" t="s">
        <v>370</v>
      </c>
      <c r="C414" s="98" t="s">
        <v>2913</v>
      </c>
    </row>
    <row r="415" spans="1:3" ht="14.4">
      <c r="A415" s="99">
        <v>409</v>
      </c>
      <c r="B415" s="99" t="s">
        <v>374</v>
      </c>
      <c r="C415" s="99" t="s">
        <v>2914</v>
      </c>
    </row>
    <row r="416" spans="1:3" ht="14.4">
      <c r="A416" s="98">
        <v>410</v>
      </c>
      <c r="B416" s="98" t="s">
        <v>423</v>
      </c>
      <c r="C416" s="98" t="s">
        <v>2915</v>
      </c>
    </row>
    <row r="417" spans="1:3" ht="14.4">
      <c r="A417" s="99">
        <v>411</v>
      </c>
      <c r="B417" s="99" t="s">
        <v>367</v>
      </c>
      <c r="C417" s="99" t="s">
        <v>2916</v>
      </c>
    </row>
    <row r="418" spans="1:3" ht="14.4">
      <c r="A418" s="98">
        <v>412</v>
      </c>
      <c r="B418" s="98" t="s">
        <v>419</v>
      </c>
      <c r="C418" s="98" t="s">
        <v>2917</v>
      </c>
    </row>
    <row r="419" spans="1:3" ht="14.4">
      <c r="A419" s="99">
        <v>413</v>
      </c>
      <c r="B419" s="99" t="s">
        <v>377</v>
      </c>
      <c r="C419" s="99" t="s">
        <v>2918</v>
      </c>
    </row>
    <row r="420" spans="1:3" ht="14.4">
      <c r="A420" s="98">
        <v>414</v>
      </c>
      <c r="B420" s="98" t="s">
        <v>371</v>
      </c>
      <c r="C420" s="98" t="s">
        <v>2919</v>
      </c>
    </row>
    <row r="421" spans="1:3" ht="14.4">
      <c r="A421" s="99">
        <v>415</v>
      </c>
      <c r="B421" s="99" t="s">
        <v>537</v>
      </c>
      <c r="C421" s="99" t="s">
        <v>2920</v>
      </c>
    </row>
    <row r="422" spans="1:3" ht="14.4">
      <c r="A422" s="98">
        <v>416</v>
      </c>
      <c r="B422" s="98" t="s">
        <v>232</v>
      </c>
      <c r="C422" s="98" t="s">
        <v>2921</v>
      </c>
    </row>
    <row r="423" spans="1:3" ht="14.4">
      <c r="A423" s="99">
        <v>417</v>
      </c>
      <c r="B423" s="99" t="s">
        <v>385</v>
      </c>
      <c r="C423" s="99" t="s">
        <v>2922</v>
      </c>
    </row>
    <row r="424" spans="1:3" ht="14.4">
      <c r="A424" s="98">
        <v>418</v>
      </c>
      <c r="B424" s="98" t="s">
        <v>1066</v>
      </c>
      <c r="C424" s="98" t="s">
        <v>2923</v>
      </c>
    </row>
    <row r="425" spans="1:3" ht="14.4">
      <c r="A425" s="99">
        <v>419</v>
      </c>
      <c r="B425" s="99" t="s">
        <v>535</v>
      </c>
      <c r="C425" s="99" t="s">
        <v>2924</v>
      </c>
    </row>
    <row r="426" spans="1:3" ht="14.4">
      <c r="A426" s="98">
        <v>420</v>
      </c>
      <c r="B426" s="98" t="s">
        <v>546</v>
      </c>
      <c r="C426" s="98" t="s">
        <v>2925</v>
      </c>
    </row>
    <row r="427" spans="1:3" ht="14.4">
      <c r="A427" s="99">
        <v>421</v>
      </c>
      <c r="B427" s="99" t="s">
        <v>357</v>
      </c>
      <c r="C427" s="99" t="s">
        <v>2926</v>
      </c>
    </row>
    <row r="428" spans="1:3" ht="14.4">
      <c r="A428" s="98">
        <v>422</v>
      </c>
      <c r="B428" s="98" t="s">
        <v>397</v>
      </c>
      <c r="C428" s="98" t="s">
        <v>2927</v>
      </c>
    </row>
    <row r="429" spans="1:3" ht="14.4">
      <c r="A429" s="99">
        <v>423</v>
      </c>
      <c r="B429" s="99" t="s">
        <v>355</v>
      </c>
      <c r="C429" s="99" t="s">
        <v>2928</v>
      </c>
    </row>
    <row r="430" spans="1:3" ht="14.4">
      <c r="A430" s="98">
        <v>424</v>
      </c>
      <c r="B430" s="98" t="s">
        <v>366</v>
      </c>
      <c r="C430" s="98" t="s">
        <v>2929</v>
      </c>
    </row>
    <row r="431" spans="1:3" ht="14.4">
      <c r="A431" s="99">
        <v>425</v>
      </c>
      <c r="B431" s="99" t="s">
        <v>2129</v>
      </c>
      <c r="C431" s="99" t="s">
        <v>2930</v>
      </c>
    </row>
    <row r="432" spans="1:3" ht="14.4">
      <c r="A432" s="98">
        <v>426</v>
      </c>
      <c r="B432" s="98" t="s">
        <v>547</v>
      </c>
      <c r="C432" s="98" t="s">
        <v>2931</v>
      </c>
    </row>
    <row r="433" spans="1:3" ht="14.4">
      <c r="A433" s="99">
        <v>427</v>
      </c>
      <c r="B433" s="99" t="s">
        <v>393</v>
      </c>
      <c r="C433" s="99" t="s">
        <v>2932</v>
      </c>
    </row>
    <row r="434" spans="1:3" ht="14.4">
      <c r="A434" s="98">
        <v>428</v>
      </c>
      <c r="B434" s="98" t="s">
        <v>411</v>
      </c>
      <c r="C434" s="98" t="s">
        <v>2933</v>
      </c>
    </row>
    <row r="435" spans="1:3" ht="14.4">
      <c r="A435" s="99">
        <v>429</v>
      </c>
      <c r="B435" s="99" t="s">
        <v>542</v>
      </c>
      <c r="C435" s="99" t="s">
        <v>2934</v>
      </c>
    </row>
    <row r="436" spans="1:3" ht="14.4">
      <c r="A436" s="98">
        <v>430</v>
      </c>
      <c r="B436" s="98" t="s">
        <v>425</v>
      </c>
      <c r="C436" s="98" t="s">
        <v>2935</v>
      </c>
    </row>
    <row r="437" spans="1:3" ht="14.4">
      <c r="A437" s="99">
        <v>431</v>
      </c>
      <c r="B437" s="99" t="s">
        <v>2128</v>
      </c>
      <c r="C437" s="99" t="s">
        <v>2936</v>
      </c>
    </row>
    <row r="438" spans="1:3" ht="14.4">
      <c r="A438" s="98">
        <v>432</v>
      </c>
      <c r="B438" s="98" t="s">
        <v>543</v>
      </c>
      <c r="C438" s="98" t="s">
        <v>2937</v>
      </c>
    </row>
    <row r="439" spans="1:3" ht="14.4">
      <c r="A439" s="99">
        <v>433</v>
      </c>
      <c r="B439" s="99" t="s">
        <v>2938</v>
      </c>
      <c r="C439" s="99" t="s">
        <v>2939</v>
      </c>
    </row>
    <row r="440" spans="1:3" ht="14.4">
      <c r="A440" s="98">
        <v>434</v>
      </c>
      <c r="B440" s="98" t="s">
        <v>424</v>
      </c>
      <c r="C440" s="98" t="s">
        <v>2940</v>
      </c>
    </row>
    <row r="441" spans="1:3" ht="14.4">
      <c r="A441" s="99">
        <v>435</v>
      </c>
      <c r="B441" s="99" t="s">
        <v>364</v>
      </c>
      <c r="C441" s="99" t="s">
        <v>2941</v>
      </c>
    </row>
    <row r="442" spans="1:3" ht="14.4">
      <c r="A442" s="98">
        <v>436</v>
      </c>
      <c r="B442" s="98" t="s">
        <v>342</v>
      </c>
      <c r="C442" s="98" t="s">
        <v>2942</v>
      </c>
    </row>
    <row r="443" spans="1:3" ht="14.4">
      <c r="A443" s="99">
        <v>437</v>
      </c>
      <c r="B443" s="99" t="s">
        <v>422</v>
      </c>
      <c r="C443" s="99" t="s">
        <v>2943</v>
      </c>
    </row>
    <row r="444" spans="1:3" ht="14.4">
      <c r="A444" s="98">
        <v>438</v>
      </c>
      <c r="B444" s="98" t="s">
        <v>2133</v>
      </c>
      <c r="C444" s="98" t="s">
        <v>2944</v>
      </c>
    </row>
  </sheetData>
  <autoFilter ref="A6:C432"/>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3:I100"/>
  <sheetViews>
    <sheetView zoomScale="80" zoomScaleNormal="80" workbookViewId="0">
      <selection activeCell="A3" sqref="A3"/>
    </sheetView>
  </sheetViews>
  <sheetFormatPr baseColWidth="10" defaultRowHeight="13.8"/>
  <cols>
    <col min="2" max="2" width="49.296875" bestFit="1" customWidth="1"/>
    <col min="5" max="5" width="33.296875" bestFit="1" customWidth="1"/>
    <col min="6" max="6" width="19.3984375" customWidth="1"/>
    <col min="7" max="7" width="19.3984375" bestFit="1" customWidth="1"/>
  </cols>
  <sheetData>
    <row r="3" spans="1:9" ht="16.2">
      <c r="A3" s="10" t="s">
        <v>3284</v>
      </c>
    </row>
    <row r="5" spans="1:9" ht="14.4">
      <c r="A5" s="9" t="s">
        <v>3256</v>
      </c>
    </row>
    <row r="6" spans="1:9" ht="14.4" thickBot="1">
      <c r="A6" s="545" t="s">
        <v>609</v>
      </c>
      <c r="B6" s="545" t="s">
        <v>610</v>
      </c>
      <c r="C6" s="545" t="s">
        <v>611</v>
      </c>
      <c r="D6" s="545" t="s">
        <v>3257</v>
      </c>
      <c r="E6" s="545" t="s">
        <v>3258</v>
      </c>
      <c r="F6" s="545" t="s">
        <v>3259</v>
      </c>
      <c r="G6" s="545" t="s">
        <v>5</v>
      </c>
      <c r="H6" s="545" t="s">
        <v>3260</v>
      </c>
    </row>
    <row r="7" spans="1:9">
      <c r="A7" s="546"/>
      <c r="B7" s="546"/>
      <c r="C7" s="546"/>
      <c r="D7" s="546"/>
      <c r="E7" s="546"/>
      <c r="F7" s="546"/>
      <c r="G7" s="546"/>
      <c r="H7" s="546"/>
    </row>
    <row r="8" spans="1:9">
      <c r="A8" s="71">
        <v>1</v>
      </c>
      <c r="B8" s="90" t="s">
        <v>97</v>
      </c>
      <c r="C8" s="71" t="s">
        <v>618</v>
      </c>
      <c r="D8" s="71" t="s">
        <v>619</v>
      </c>
      <c r="E8" s="71" t="s">
        <v>619</v>
      </c>
      <c r="F8" s="71" t="s">
        <v>619</v>
      </c>
      <c r="G8" s="71" t="s">
        <v>619</v>
      </c>
      <c r="H8" s="71" t="s">
        <v>619</v>
      </c>
    </row>
    <row r="9" spans="1:9">
      <c r="A9" s="76">
        <v>2</v>
      </c>
      <c r="B9" s="77" t="s">
        <v>624</v>
      </c>
      <c r="C9" s="76" t="s">
        <v>625</v>
      </c>
      <c r="D9" s="76" t="s">
        <v>1088</v>
      </c>
      <c r="E9" s="76" t="s">
        <v>3261</v>
      </c>
      <c r="F9" s="76" t="s">
        <v>1081</v>
      </c>
      <c r="G9" s="76" t="s">
        <v>619</v>
      </c>
      <c r="H9" s="76" t="s">
        <v>3262</v>
      </c>
      <c r="I9" s="231" t="s">
        <v>3263</v>
      </c>
    </row>
    <row r="10" spans="1:9">
      <c r="A10" s="71">
        <v>3</v>
      </c>
      <c r="B10" s="90" t="s">
        <v>629</v>
      </c>
      <c r="C10" s="71" t="s">
        <v>630</v>
      </c>
      <c r="D10" s="71" t="s">
        <v>1088</v>
      </c>
      <c r="E10" s="71" t="s">
        <v>3264</v>
      </c>
      <c r="F10" s="71" t="s">
        <v>619</v>
      </c>
      <c r="G10" s="71" t="s">
        <v>619</v>
      </c>
      <c r="H10" s="71" t="s">
        <v>1081</v>
      </c>
    </row>
    <row r="11" spans="1:9">
      <c r="A11" s="76">
        <v>4</v>
      </c>
      <c r="B11" s="77" t="s">
        <v>634</v>
      </c>
      <c r="C11" s="76" t="s">
        <v>630</v>
      </c>
      <c r="D11" s="76" t="s">
        <v>1088</v>
      </c>
      <c r="E11" s="76" t="s">
        <v>3264</v>
      </c>
      <c r="F11" s="76" t="s">
        <v>1081</v>
      </c>
      <c r="G11" s="76" t="s">
        <v>619</v>
      </c>
      <c r="H11" s="76" t="s">
        <v>619</v>
      </c>
    </row>
    <row r="12" spans="1:9">
      <c r="A12" s="71">
        <v>5</v>
      </c>
      <c r="B12" s="90" t="s">
        <v>643</v>
      </c>
      <c r="C12" s="71" t="s">
        <v>644</v>
      </c>
      <c r="D12" s="71" t="s">
        <v>1088</v>
      </c>
      <c r="E12" s="71" t="s">
        <v>3264</v>
      </c>
      <c r="F12" s="71" t="s">
        <v>619</v>
      </c>
      <c r="G12" s="71" t="s">
        <v>619</v>
      </c>
      <c r="H12" s="71" t="s">
        <v>3265</v>
      </c>
    </row>
    <row r="13" spans="1:9">
      <c r="A13" s="76">
        <v>6</v>
      </c>
      <c r="B13" s="77" t="s">
        <v>648</v>
      </c>
      <c r="C13" s="76" t="s">
        <v>649</v>
      </c>
      <c r="D13" s="76" t="s">
        <v>619</v>
      </c>
      <c r="E13" s="76" t="s">
        <v>1088</v>
      </c>
      <c r="F13" s="76" t="s">
        <v>1088</v>
      </c>
      <c r="G13" s="76" t="s">
        <v>619</v>
      </c>
      <c r="H13" s="76" t="s">
        <v>619</v>
      </c>
    </row>
    <row r="14" spans="1:9">
      <c r="A14" s="71">
        <v>7</v>
      </c>
      <c r="B14" s="90" t="s">
        <v>654</v>
      </c>
      <c r="C14" s="71" t="s">
        <v>655</v>
      </c>
      <c r="D14" s="71" t="s">
        <v>619</v>
      </c>
      <c r="E14" s="71" t="s">
        <v>619</v>
      </c>
      <c r="F14" s="71" t="s">
        <v>619</v>
      </c>
      <c r="G14" s="71" t="s">
        <v>619</v>
      </c>
      <c r="H14" s="71" t="s">
        <v>619</v>
      </c>
    </row>
    <row r="15" spans="1:9">
      <c r="A15" s="76">
        <v>8</v>
      </c>
      <c r="B15" s="77" t="s">
        <v>656</v>
      </c>
      <c r="C15" s="76" t="s">
        <v>657</v>
      </c>
      <c r="D15" s="76" t="s">
        <v>1088</v>
      </c>
      <c r="E15" s="76" t="s">
        <v>3261</v>
      </c>
      <c r="F15" s="76" t="s">
        <v>619</v>
      </c>
      <c r="G15" s="76" t="s">
        <v>619</v>
      </c>
      <c r="H15" s="76" t="s">
        <v>1081</v>
      </c>
    </row>
    <row r="16" spans="1:9">
      <c r="A16" s="71">
        <v>9</v>
      </c>
      <c r="B16" s="90" t="s">
        <v>662</v>
      </c>
      <c r="C16" s="71" t="s">
        <v>663</v>
      </c>
      <c r="D16" s="71" t="s">
        <v>1088</v>
      </c>
      <c r="E16" s="71" t="s">
        <v>3266</v>
      </c>
      <c r="F16" s="71" t="s">
        <v>619</v>
      </c>
      <c r="G16" s="71" t="s">
        <v>3267</v>
      </c>
      <c r="H16" s="71" t="s">
        <v>619</v>
      </c>
    </row>
    <row r="17" spans="1:8">
      <c r="A17" s="76">
        <v>10</v>
      </c>
      <c r="B17" s="77" t="s">
        <v>666</v>
      </c>
      <c r="C17" s="76" t="s">
        <v>667</v>
      </c>
      <c r="D17" s="76" t="s">
        <v>619</v>
      </c>
      <c r="E17" s="76" t="s">
        <v>619</v>
      </c>
      <c r="F17" s="76" t="s">
        <v>619</v>
      </c>
      <c r="G17" s="76" t="s">
        <v>619</v>
      </c>
      <c r="H17" s="76" t="s">
        <v>619</v>
      </c>
    </row>
    <row r="18" spans="1:8">
      <c r="A18" s="71">
        <v>11</v>
      </c>
      <c r="B18" s="90" t="s">
        <v>670</v>
      </c>
      <c r="C18" s="71" t="s">
        <v>671</v>
      </c>
      <c r="D18" s="71" t="s">
        <v>1088</v>
      </c>
      <c r="E18" s="71" t="s">
        <v>3268</v>
      </c>
      <c r="F18" s="71" t="s">
        <v>619</v>
      </c>
      <c r="G18" s="71" t="s">
        <v>619</v>
      </c>
      <c r="H18" s="71" t="s">
        <v>1081</v>
      </c>
    </row>
    <row r="19" spans="1:8">
      <c r="A19" s="76">
        <v>12</v>
      </c>
      <c r="B19" s="77" t="s">
        <v>674</v>
      </c>
      <c r="C19" s="76" t="s">
        <v>675</v>
      </c>
      <c r="D19" s="76" t="s">
        <v>1088</v>
      </c>
      <c r="E19" s="76" t="s">
        <v>1088</v>
      </c>
      <c r="F19" s="76" t="s">
        <v>619</v>
      </c>
      <c r="G19" s="76" t="s">
        <v>619</v>
      </c>
      <c r="H19" s="76" t="s">
        <v>1088</v>
      </c>
    </row>
    <row r="20" spans="1:8">
      <c r="A20" s="71">
        <v>13</v>
      </c>
      <c r="B20" s="90" t="s">
        <v>682</v>
      </c>
      <c r="C20" s="71" t="s">
        <v>683</v>
      </c>
      <c r="D20" s="71" t="s">
        <v>1088</v>
      </c>
      <c r="E20" s="71" t="s">
        <v>3264</v>
      </c>
      <c r="F20" s="71" t="s">
        <v>619</v>
      </c>
      <c r="G20" s="71" t="s">
        <v>619</v>
      </c>
      <c r="H20" s="71" t="s">
        <v>3269</v>
      </c>
    </row>
    <row r="21" spans="1:8">
      <c r="A21" s="76">
        <v>14</v>
      </c>
      <c r="B21" s="77" t="s">
        <v>96</v>
      </c>
      <c r="C21" s="76" t="s">
        <v>688</v>
      </c>
      <c r="D21" s="76" t="s">
        <v>1088</v>
      </c>
      <c r="E21" s="76" t="s">
        <v>1088</v>
      </c>
      <c r="F21" s="76" t="s">
        <v>619</v>
      </c>
      <c r="G21" s="76" t="s">
        <v>619</v>
      </c>
      <c r="H21" s="76" t="s">
        <v>1081</v>
      </c>
    </row>
    <row r="22" spans="1:8">
      <c r="A22" s="71">
        <v>15</v>
      </c>
      <c r="B22" s="90" t="s">
        <v>691</v>
      </c>
      <c r="C22" s="71" t="s">
        <v>692</v>
      </c>
      <c r="D22" s="71" t="s">
        <v>619</v>
      </c>
      <c r="E22" s="71" t="s">
        <v>619</v>
      </c>
      <c r="F22" s="71" t="s">
        <v>619</v>
      </c>
      <c r="G22" s="71" t="s">
        <v>619</v>
      </c>
      <c r="H22" s="71" t="s">
        <v>619</v>
      </c>
    </row>
    <row r="23" spans="1:8">
      <c r="A23" s="76">
        <v>16</v>
      </c>
      <c r="B23" s="77" t="s">
        <v>700</v>
      </c>
      <c r="C23" s="76" t="s">
        <v>701</v>
      </c>
      <c r="D23" s="76" t="s">
        <v>1088</v>
      </c>
      <c r="E23" s="76" t="s">
        <v>619</v>
      </c>
      <c r="F23" s="76" t="s">
        <v>619</v>
      </c>
      <c r="G23" s="76" t="s">
        <v>619</v>
      </c>
      <c r="H23" s="76" t="s">
        <v>619</v>
      </c>
    </row>
    <row r="24" spans="1:8">
      <c r="A24" s="71">
        <v>17</v>
      </c>
      <c r="B24" s="90" t="s">
        <v>102</v>
      </c>
      <c r="C24" s="71" t="s">
        <v>707</v>
      </c>
      <c r="D24" s="71" t="s">
        <v>1088</v>
      </c>
      <c r="E24" s="71" t="s">
        <v>1088</v>
      </c>
      <c r="F24" s="71" t="s">
        <v>619</v>
      </c>
      <c r="G24" s="71" t="s">
        <v>619</v>
      </c>
      <c r="H24" s="71" t="s">
        <v>619</v>
      </c>
    </row>
    <row r="25" spans="1:8">
      <c r="A25" s="76">
        <v>19</v>
      </c>
      <c r="B25" s="77" t="s">
        <v>229</v>
      </c>
      <c r="C25" s="76" t="s">
        <v>710</v>
      </c>
      <c r="D25" s="76" t="s">
        <v>1081</v>
      </c>
      <c r="E25" s="76" t="s">
        <v>619</v>
      </c>
      <c r="F25" s="76" t="s">
        <v>619</v>
      </c>
      <c r="G25" s="76" t="s">
        <v>619</v>
      </c>
      <c r="H25" s="76"/>
    </row>
    <row r="26" spans="1:8">
      <c r="A26" s="71">
        <v>20</v>
      </c>
      <c r="B26" s="90" t="s">
        <v>713</v>
      </c>
      <c r="C26" s="71" t="s">
        <v>714</v>
      </c>
      <c r="D26" s="71" t="s">
        <v>1088</v>
      </c>
      <c r="E26" s="71" t="s">
        <v>1088</v>
      </c>
      <c r="F26" s="71" t="s">
        <v>619</v>
      </c>
      <c r="G26" s="71" t="s">
        <v>619</v>
      </c>
      <c r="H26" s="71" t="s">
        <v>1081</v>
      </c>
    </row>
    <row r="27" spans="1:8">
      <c r="A27" s="76">
        <v>21</v>
      </c>
      <c r="B27" s="77" t="s">
        <v>717</v>
      </c>
      <c r="C27" s="76" t="s">
        <v>718</v>
      </c>
      <c r="D27" s="76" t="s">
        <v>1088</v>
      </c>
      <c r="E27" s="76" t="s">
        <v>3270</v>
      </c>
      <c r="F27" s="76" t="s">
        <v>619</v>
      </c>
      <c r="G27" s="76" t="s">
        <v>619</v>
      </c>
      <c r="H27" s="76" t="s">
        <v>1081</v>
      </c>
    </row>
    <row r="28" spans="1:8">
      <c r="A28" s="71">
        <v>22</v>
      </c>
      <c r="B28" s="90" t="s">
        <v>721</v>
      </c>
      <c r="C28" s="71" t="s">
        <v>722</v>
      </c>
      <c r="D28" s="71" t="s">
        <v>619</v>
      </c>
      <c r="E28" s="71" t="s">
        <v>619</v>
      </c>
      <c r="F28" s="71" t="s">
        <v>619</v>
      </c>
      <c r="G28" s="71" t="s">
        <v>619</v>
      </c>
      <c r="H28" s="71" t="s">
        <v>619</v>
      </c>
    </row>
    <row r="29" spans="1:8">
      <c r="A29" s="76">
        <v>23</v>
      </c>
      <c r="B29" s="77" t="s">
        <v>161</v>
      </c>
      <c r="C29" s="76" t="s">
        <v>726</v>
      </c>
      <c r="D29" s="76" t="s">
        <v>619</v>
      </c>
      <c r="E29" s="76" t="s">
        <v>619</v>
      </c>
      <c r="F29" s="76" t="s">
        <v>619</v>
      </c>
      <c r="G29" s="76" t="s">
        <v>619</v>
      </c>
      <c r="H29" s="76" t="s">
        <v>619</v>
      </c>
    </row>
    <row r="30" spans="1:8">
      <c r="A30" s="71">
        <v>24</v>
      </c>
      <c r="B30" s="90" t="s">
        <v>729</v>
      </c>
      <c r="C30" s="71" t="s">
        <v>730</v>
      </c>
      <c r="D30" s="71" t="s">
        <v>1088</v>
      </c>
      <c r="E30" s="71" t="s">
        <v>3271</v>
      </c>
      <c r="F30" s="71" t="s">
        <v>619</v>
      </c>
      <c r="G30" s="71" t="s">
        <v>619</v>
      </c>
      <c r="H30" s="71" t="s">
        <v>619</v>
      </c>
    </row>
    <row r="31" spans="1:8">
      <c r="A31" s="76">
        <v>25</v>
      </c>
      <c r="B31" s="77" t="s">
        <v>128</v>
      </c>
      <c r="C31" s="76" t="s">
        <v>736</v>
      </c>
      <c r="D31" s="76" t="s">
        <v>1088</v>
      </c>
      <c r="E31" s="76" t="s">
        <v>619</v>
      </c>
      <c r="F31" s="76" t="s">
        <v>619</v>
      </c>
      <c r="G31" s="76" t="s">
        <v>619</v>
      </c>
      <c r="H31" s="76" t="s">
        <v>1081</v>
      </c>
    </row>
    <row r="32" spans="1:8">
      <c r="A32" s="71">
        <v>26</v>
      </c>
      <c r="B32" s="90" t="s">
        <v>740</v>
      </c>
      <c r="C32" s="71" t="s">
        <v>741</v>
      </c>
      <c r="D32" s="71" t="s">
        <v>1088</v>
      </c>
      <c r="E32" s="71" t="s">
        <v>619</v>
      </c>
      <c r="F32" s="71" t="s">
        <v>619</v>
      </c>
      <c r="G32" s="71" t="s">
        <v>619</v>
      </c>
      <c r="H32" s="71" t="s">
        <v>619</v>
      </c>
    </row>
    <row r="33" spans="1:8">
      <c r="A33" s="76">
        <v>27</v>
      </c>
      <c r="B33" s="77" t="s">
        <v>115</v>
      </c>
      <c r="C33" s="76" t="s">
        <v>743</v>
      </c>
      <c r="D33" s="76" t="s">
        <v>1088</v>
      </c>
      <c r="E33" s="76" t="s">
        <v>619</v>
      </c>
      <c r="F33" s="76" t="s">
        <v>619</v>
      </c>
      <c r="G33" s="76" t="s">
        <v>619</v>
      </c>
      <c r="H33" s="76" t="s">
        <v>619</v>
      </c>
    </row>
    <row r="34" spans="1:8">
      <c r="A34" s="71">
        <v>28</v>
      </c>
      <c r="B34" s="90" t="s">
        <v>747</v>
      </c>
      <c r="C34" s="71" t="s">
        <v>748</v>
      </c>
      <c r="D34" s="71" t="s">
        <v>1088</v>
      </c>
      <c r="E34" s="71" t="s">
        <v>619</v>
      </c>
      <c r="F34" s="71" t="s">
        <v>619</v>
      </c>
      <c r="G34" s="71" t="s">
        <v>619</v>
      </c>
      <c r="H34" s="71" t="s">
        <v>619</v>
      </c>
    </row>
    <row r="35" spans="1:8">
      <c r="A35" s="76">
        <v>29</v>
      </c>
      <c r="B35" s="77" t="s">
        <v>752</v>
      </c>
      <c r="C35" s="76" t="s">
        <v>753</v>
      </c>
      <c r="D35" s="76" t="s">
        <v>1088</v>
      </c>
      <c r="E35" s="76" t="s">
        <v>3268</v>
      </c>
      <c r="F35" s="76" t="s">
        <v>619</v>
      </c>
      <c r="G35" s="76" t="s">
        <v>619</v>
      </c>
      <c r="H35" s="76" t="s">
        <v>619</v>
      </c>
    </row>
    <row r="36" spans="1:8">
      <c r="A36" s="71">
        <v>31</v>
      </c>
      <c r="B36" s="90" t="s">
        <v>760</v>
      </c>
      <c r="C36" s="71" t="s">
        <v>761</v>
      </c>
      <c r="D36" s="71" t="s">
        <v>619</v>
      </c>
      <c r="E36" s="71" t="s">
        <v>619</v>
      </c>
      <c r="F36" s="71" t="s">
        <v>619</v>
      </c>
      <c r="G36" s="71" t="s">
        <v>619</v>
      </c>
      <c r="H36" s="71" t="s">
        <v>619</v>
      </c>
    </row>
    <row r="37" spans="1:8">
      <c r="A37" s="76">
        <v>32</v>
      </c>
      <c r="B37" s="77" t="s">
        <v>763</v>
      </c>
      <c r="C37" s="76" t="s">
        <v>764</v>
      </c>
      <c r="D37" s="76" t="s">
        <v>1088</v>
      </c>
      <c r="E37" s="76" t="s">
        <v>3271</v>
      </c>
      <c r="F37" s="76" t="s">
        <v>1081</v>
      </c>
      <c r="G37" s="76" t="s">
        <v>619</v>
      </c>
      <c r="H37" s="76" t="s">
        <v>3272</v>
      </c>
    </row>
    <row r="38" spans="1:8">
      <c r="A38" s="71">
        <v>33</v>
      </c>
      <c r="B38" s="90" t="s">
        <v>767</v>
      </c>
      <c r="C38" s="71" t="s">
        <v>768</v>
      </c>
      <c r="D38" s="71" t="s">
        <v>1088</v>
      </c>
      <c r="E38" s="71" t="s">
        <v>619</v>
      </c>
      <c r="F38" s="71" t="s">
        <v>619</v>
      </c>
      <c r="G38" s="71" t="s">
        <v>619</v>
      </c>
      <c r="H38" s="71" t="s">
        <v>1081</v>
      </c>
    </row>
    <row r="39" spans="1:8">
      <c r="A39" s="76">
        <v>34</v>
      </c>
      <c r="B39" s="77" t="s">
        <v>774</v>
      </c>
      <c r="C39" s="76" t="s">
        <v>775</v>
      </c>
      <c r="D39" s="76" t="s">
        <v>1081</v>
      </c>
      <c r="E39" s="76" t="s">
        <v>619</v>
      </c>
      <c r="F39" s="76" t="s">
        <v>619</v>
      </c>
      <c r="G39" s="76" t="s">
        <v>619</v>
      </c>
      <c r="H39" s="76" t="s">
        <v>619</v>
      </c>
    </row>
    <row r="40" spans="1:8">
      <c r="A40" s="71">
        <v>36</v>
      </c>
      <c r="B40" s="90" t="s">
        <v>778</v>
      </c>
      <c r="C40" s="71" t="s">
        <v>779</v>
      </c>
      <c r="D40" s="71" t="s">
        <v>1088</v>
      </c>
      <c r="E40" s="71" t="s">
        <v>3273</v>
      </c>
      <c r="F40" s="71" t="s">
        <v>1081</v>
      </c>
      <c r="G40" s="71" t="s">
        <v>619</v>
      </c>
      <c r="H40" s="71" t="s">
        <v>3265</v>
      </c>
    </row>
    <row r="41" spans="1:8">
      <c r="A41" s="76">
        <v>37</v>
      </c>
      <c r="B41" s="77" t="s">
        <v>783</v>
      </c>
      <c r="C41" s="76" t="s">
        <v>784</v>
      </c>
      <c r="D41" s="76" t="s">
        <v>619</v>
      </c>
      <c r="E41" s="76" t="s">
        <v>619</v>
      </c>
      <c r="F41" s="76" t="s">
        <v>619</v>
      </c>
      <c r="G41" s="76" t="s">
        <v>619</v>
      </c>
      <c r="H41" s="76" t="s">
        <v>619</v>
      </c>
    </row>
    <row r="42" spans="1:8">
      <c r="A42" s="71">
        <v>38</v>
      </c>
      <c r="B42" s="90" t="s">
        <v>786</v>
      </c>
      <c r="C42" s="71" t="s">
        <v>787</v>
      </c>
      <c r="D42" s="71" t="s">
        <v>619</v>
      </c>
      <c r="E42" s="71" t="s">
        <v>619</v>
      </c>
      <c r="F42" s="71" t="s">
        <v>619</v>
      </c>
      <c r="G42" s="71" t="s">
        <v>619</v>
      </c>
      <c r="H42" s="71" t="s">
        <v>619</v>
      </c>
    </row>
    <row r="43" spans="1:8">
      <c r="A43" s="76">
        <v>39</v>
      </c>
      <c r="B43" s="77" t="s">
        <v>549</v>
      </c>
      <c r="C43" s="76" t="s">
        <v>789</v>
      </c>
      <c r="D43" s="76" t="s">
        <v>619</v>
      </c>
      <c r="E43" s="76" t="s">
        <v>619</v>
      </c>
      <c r="F43" s="76" t="s">
        <v>619</v>
      </c>
      <c r="G43" s="76" t="s">
        <v>619</v>
      </c>
      <c r="H43" s="76" t="s">
        <v>619</v>
      </c>
    </row>
    <row r="44" spans="1:8">
      <c r="A44" s="71">
        <v>41</v>
      </c>
      <c r="B44" s="90" t="s">
        <v>227</v>
      </c>
      <c r="C44" s="71" t="s">
        <v>790</v>
      </c>
      <c r="D44" s="71" t="s">
        <v>1088</v>
      </c>
      <c r="E44" s="71" t="s">
        <v>1088</v>
      </c>
      <c r="F44" s="71" t="s">
        <v>1088</v>
      </c>
      <c r="G44" s="71" t="s">
        <v>619</v>
      </c>
      <c r="H44" s="71" t="s">
        <v>619</v>
      </c>
    </row>
    <row r="45" spans="1:8">
      <c r="A45" s="76">
        <v>42</v>
      </c>
      <c r="B45" s="77" t="s">
        <v>792</v>
      </c>
      <c r="C45" s="76" t="s">
        <v>793</v>
      </c>
      <c r="D45" s="76"/>
      <c r="E45" s="76" t="s">
        <v>619</v>
      </c>
      <c r="F45" s="76" t="s">
        <v>619</v>
      </c>
      <c r="G45" s="76" t="s">
        <v>619</v>
      </c>
      <c r="H45" s="76" t="s">
        <v>619</v>
      </c>
    </row>
    <row r="46" spans="1:8">
      <c r="A46" s="71">
        <v>45</v>
      </c>
      <c r="B46" s="90" t="s">
        <v>801</v>
      </c>
      <c r="C46" s="71" t="s">
        <v>802</v>
      </c>
      <c r="D46" s="71" t="s">
        <v>1088</v>
      </c>
      <c r="E46" s="71" t="s">
        <v>3274</v>
      </c>
      <c r="F46" s="71" t="s">
        <v>619</v>
      </c>
      <c r="G46" s="71" t="s">
        <v>619</v>
      </c>
      <c r="H46" s="71" t="s">
        <v>619</v>
      </c>
    </row>
    <row r="47" spans="1:8">
      <c r="A47" s="76">
        <v>46</v>
      </c>
      <c r="B47" s="77" t="s">
        <v>176</v>
      </c>
      <c r="C47" s="76" t="s">
        <v>804</v>
      </c>
      <c r="D47" s="76" t="s">
        <v>1081</v>
      </c>
      <c r="E47" s="76" t="s">
        <v>619</v>
      </c>
      <c r="F47" s="76" t="s">
        <v>619</v>
      </c>
      <c r="G47" s="76" t="s">
        <v>619</v>
      </c>
      <c r="H47" s="76" t="s">
        <v>619</v>
      </c>
    </row>
    <row r="48" spans="1:8">
      <c r="A48" s="71">
        <v>47</v>
      </c>
      <c r="B48" s="90" t="s">
        <v>806</v>
      </c>
      <c r="C48" s="71" t="s">
        <v>807</v>
      </c>
      <c r="D48" s="71" t="s">
        <v>619</v>
      </c>
      <c r="E48" s="71" t="s">
        <v>619</v>
      </c>
      <c r="F48" s="71" t="s">
        <v>619</v>
      </c>
      <c r="G48" s="71" t="s">
        <v>619</v>
      </c>
      <c r="H48" s="71" t="s">
        <v>619</v>
      </c>
    </row>
    <row r="49" spans="1:8">
      <c r="A49" s="76">
        <v>48</v>
      </c>
      <c r="B49" s="77" t="s">
        <v>812</v>
      </c>
      <c r="C49" s="76" t="s">
        <v>813</v>
      </c>
      <c r="D49" s="76" t="s">
        <v>1088</v>
      </c>
      <c r="E49" s="76" t="s">
        <v>3270</v>
      </c>
      <c r="F49" s="76" t="s">
        <v>619</v>
      </c>
      <c r="G49" s="76" t="s">
        <v>619</v>
      </c>
      <c r="H49" s="76" t="s">
        <v>1081</v>
      </c>
    </row>
    <row r="50" spans="1:8">
      <c r="A50" s="71">
        <v>51</v>
      </c>
      <c r="B50" s="90" t="s">
        <v>816</v>
      </c>
      <c r="C50" s="71" t="s">
        <v>817</v>
      </c>
      <c r="D50" s="71" t="s">
        <v>1088</v>
      </c>
      <c r="E50" s="71" t="s">
        <v>619</v>
      </c>
      <c r="F50" s="71" t="s">
        <v>619</v>
      </c>
      <c r="G50" s="71" t="s">
        <v>619</v>
      </c>
      <c r="H50" s="71" t="s">
        <v>619</v>
      </c>
    </row>
    <row r="51" spans="1:8">
      <c r="A51" s="76">
        <v>52</v>
      </c>
      <c r="B51" s="77" t="s">
        <v>818</v>
      </c>
      <c r="C51" s="76" t="s">
        <v>819</v>
      </c>
      <c r="D51" s="76" t="s">
        <v>1081</v>
      </c>
      <c r="E51" s="76" t="s">
        <v>619</v>
      </c>
      <c r="F51" s="76" t="s">
        <v>619</v>
      </c>
      <c r="G51" s="76" t="s">
        <v>619</v>
      </c>
      <c r="H51" s="76" t="s">
        <v>619</v>
      </c>
    </row>
    <row r="52" spans="1:8">
      <c r="A52" s="71">
        <v>53</v>
      </c>
      <c r="B52" s="90" t="s">
        <v>175</v>
      </c>
      <c r="C52" s="71" t="s">
        <v>824</v>
      </c>
      <c r="D52" s="71" t="s">
        <v>619</v>
      </c>
      <c r="E52" s="71" t="s">
        <v>619</v>
      </c>
      <c r="F52" s="71" t="s">
        <v>619</v>
      </c>
      <c r="G52" s="71" t="s">
        <v>619</v>
      </c>
      <c r="H52" s="71" t="s">
        <v>619</v>
      </c>
    </row>
    <row r="53" spans="1:8">
      <c r="A53" s="76">
        <v>54</v>
      </c>
      <c r="B53" s="77" t="s">
        <v>564</v>
      </c>
      <c r="C53" s="76" t="s">
        <v>562</v>
      </c>
      <c r="D53" s="76" t="s">
        <v>619</v>
      </c>
      <c r="E53" s="76" t="s">
        <v>619</v>
      </c>
      <c r="F53" s="76" t="s">
        <v>619</v>
      </c>
      <c r="G53" s="76" t="s">
        <v>619</v>
      </c>
      <c r="H53" s="76" t="s">
        <v>619</v>
      </c>
    </row>
    <row r="54" spans="1:8">
      <c r="A54" s="71">
        <v>55</v>
      </c>
      <c r="B54" s="90" t="s">
        <v>827</v>
      </c>
      <c r="C54" s="71" t="s">
        <v>828</v>
      </c>
      <c r="D54" s="71" t="s">
        <v>1081</v>
      </c>
      <c r="E54" s="71" t="s">
        <v>619</v>
      </c>
      <c r="F54" s="71" t="s">
        <v>619</v>
      </c>
      <c r="G54" s="71" t="s">
        <v>619</v>
      </c>
      <c r="H54" s="71" t="s">
        <v>619</v>
      </c>
    </row>
    <row r="55" spans="1:8">
      <c r="A55" s="76">
        <v>56</v>
      </c>
      <c r="B55" s="77" t="s">
        <v>177</v>
      </c>
      <c r="C55" s="76" t="s">
        <v>832</v>
      </c>
      <c r="D55" s="76" t="s">
        <v>619</v>
      </c>
      <c r="E55" s="76" t="s">
        <v>619</v>
      </c>
      <c r="F55" s="76" t="s">
        <v>619</v>
      </c>
      <c r="G55" s="76" t="s">
        <v>619</v>
      </c>
      <c r="H55" s="76" t="s">
        <v>619</v>
      </c>
    </row>
    <row r="56" spans="1:8">
      <c r="A56" s="71">
        <v>57</v>
      </c>
      <c r="B56" s="90" t="s">
        <v>182</v>
      </c>
      <c r="C56" s="71" t="s">
        <v>837</v>
      </c>
      <c r="D56" s="71" t="s">
        <v>619</v>
      </c>
      <c r="E56" s="71" t="s">
        <v>619</v>
      </c>
      <c r="F56" s="71" t="s">
        <v>619</v>
      </c>
      <c r="G56" s="71" t="s">
        <v>619</v>
      </c>
      <c r="H56" s="71" t="s">
        <v>619</v>
      </c>
    </row>
    <row r="57" spans="1:8">
      <c r="A57" s="76">
        <v>58</v>
      </c>
      <c r="B57" s="77" t="s">
        <v>173</v>
      </c>
      <c r="C57" s="76" t="s">
        <v>840</v>
      </c>
      <c r="D57" s="76" t="s">
        <v>1081</v>
      </c>
      <c r="E57" s="76" t="s">
        <v>619</v>
      </c>
      <c r="F57" s="76" t="s">
        <v>619</v>
      </c>
      <c r="G57" s="76" t="s">
        <v>619</v>
      </c>
      <c r="H57" s="76" t="s">
        <v>619</v>
      </c>
    </row>
    <row r="58" spans="1:8">
      <c r="A58" s="71">
        <v>60</v>
      </c>
      <c r="B58" s="90" t="s">
        <v>842</v>
      </c>
      <c r="C58" s="71" t="s">
        <v>843</v>
      </c>
      <c r="D58" s="71" t="s">
        <v>1088</v>
      </c>
      <c r="E58" s="71" t="s">
        <v>619</v>
      </c>
      <c r="F58" s="71" t="s">
        <v>619</v>
      </c>
      <c r="G58" s="71" t="s">
        <v>619</v>
      </c>
      <c r="H58" s="71" t="s">
        <v>619</v>
      </c>
    </row>
    <row r="59" spans="1:8">
      <c r="A59" s="76">
        <v>61</v>
      </c>
      <c r="B59" s="77" t="s">
        <v>459</v>
      </c>
      <c r="C59" s="76" t="s">
        <v>847</v>
      </c>
      <c r="D59" s="76" t="s">
        <v>1081</v>
      </c>
      <c r="E59" s="76" t="s">
        <v>619</v>
      </c>
      <c r="F59" s="76" t="s">
        <v>1081</v>
      </c>
      <c r="G59" s="76" t="s">
        <v>619</v>
      </c>
      <c r="H59" s="76" t="s">
        <v>1081</v>
      </c>
    </row>
    <row r="60" spans="1:8">
      <c r="A60" s="71">
        <v>63</v>
      </c>
      <c r="B60" s="90" t="s">
        <v>851</v>
      </c>
      <c r="C60" s="71" t="s">
        <v>852</v>
      </c>
      <c r="D60" s="71" t="s">
        <v>1088</v>
      </c>
      <c r="E60" s="71" t="s">
        <v>3275</v>
      </c>
      <c r="F60" s="71" t="s">
        <v>619</v>
      </c>
      <c r="G60" s="71" t="s">
        <v>3276</v>
      </c>
      <c r="H60" s="71" t="s">
        <v>1081</v>
      </c>
    </row>
    <row r="61" spans="1:8">
      <c r="A61" s="76">
        <v>66</v>
      </c>
      <c r="B61" s="77" t="s">
        <v>28</v>
      </c>
      <c r="C61" s="76" t="s">
        <v>853</v>
      </c>
      <c r="D61" s="76" t="s">
        <v>619</v>
      </c>
      <c r="E61" s="76" t="s">
        <v>619</v>
      </c>
      <c r="F61" s="76" t="s">
        <v>619</v>
      </c>
      <c r="G61" s="76" t="s">
        <v>619</v>
      </c>
      <c r="H61" s="76" t="s">
        <v>619</v>
      </c>
    </row>
    <row r="62" spans="1:8">
      <c r="A62" s="71">
        <v>68</v>
      </c>
      <c r="B62" s="90" t="s">
        <v>858</v>
      </c>
      <c r="C62" s="71" t="s">
        <v>859</v>
      </c>
      <c r="D62" s="71" t="s">
        <v>619</v>
      </c>
      <c r="E62" s="71" t="s">
        <v>619</v>
      </c>
      <c r="F62" s="71" t="s">
        <v>619</v>
      </c>
      <c r="G62" s="71" t="s">
        <v>619</v>
      </c>
      <c r="H62" s="71" t="s">
        <v>619</v>
      </c>
    </row>
    <row r="63" spans="1:8">
      <c r="A63" s="76">
        <v>70</v>
      </c>
      <c r="B63" s="77" t="s">
        <v>860</v>
      </c>
      <c r="C63" s="76" t="s">
        <v>861</v>
      </c>
      <c r="D63" s="76" t="s">
        <v>619</v>
      </c>
      <c r="E63" s="76" t="s">
        <v>619</v>
      </c>
      <c r="F63" s="76" t="s">
        <v>619</v>
      </c>
      <c r="G63" s="76" t="s">
        <v>619</v>
      </c>
      <c r="H63" s="76" t="s">
        <v>619</v>
      </c>
    </row>
    <row r="64" spans="1:8">
      <c r="A64" s="71">
        <v>71</v>
      </c>
      <c r="B64" s="90" t="s">
        <v>863</v>
      </c>
      <c r="C64" s="71" t="s">
        <v>864</v>
      </c>
      <c r="D64" s="71" t="s">
        <v>1088</v>
      </c>
      <c r="E64" s="71" t="s">
        <v>619</v>
      </c>
      <c r="F64" s="71" t="s">
        <v>619</v>
      </c>
      <c r="G64" s="71" t="s">
        <v>619</v>
      </c>
      <c r="H64" s="71" t="s">
        <v>619</v>
      </c>
    </row>
    <row r="65" spans="1:8" s="105" customFormat="1">
      <c r="A65" s="76">
        <v>74</v>
      </c>
      <c r="B65" s="77" t="s">
        <v>867</v>
      </c>
      <c r="C65" s="76" t="s">
        <v>868</v>
      </c>
      <c r="D65" s="76" t="s">
        <v>1088</v>
      </c>
      <c r="E65" s="76" t="s">
        <v>3277</v>
      </c>
      <c r="F65" s="76" t="s">
        <v>619</v>
      </c>
      <c r="G65" s="76" t="s">
        <v>3278</v>
      </c>
      <c r="H65" s="76" t="s">
        <v>619</v>
      </c>
    </row>
    <row r="66" spans="1:8">
      <c r="A66" s="71">
        <v>75</v>
      </c>
      <c r="B66" s="90" t="s">
        <v>874</v>
      </c>
      <c r="C66" s="71" t="s">
        <v>875</v>
      </c>
      <c r="D66" s="71" t="s">
        <v>619</v>
      </c>
      <c r="E66" s="71" t="s">
        <v>619</v>
      </c>
      <c r="F66" s="71" t="s">
        <v>619</v>
      </c>
      <c r="G66" s="71" t="s">
        <v>619</v>
      </c>
      <c r="H66" s="71" t="s">
        <v>619</v>
      </c>
    </row>
    <row r="67" spans="1:8">
      <c r="A67" s="76">
        <v>79</v>
      </c>
      <c r="B67" s="77" t="s">
        <v>877</v>
      </c>
      <c r="C67" s="76" t="s">
        <v>878</v>
      </c>
      <c r="D67" s="76" t="s">
        <v>619</v>
      </c>
      <c r="E67" s="76" t="s">
        <v>619</v>
      </c>
      <c r="F67" s="76" t="s">
        <v>619</v>
      </c>
      <c r="G67" s="76" t="s">
        <v>619</v>
      </c>
      <c r="H67" s="76" t="s">
        <v>619</v>
      </c>
    </row>
    <row r="68" spans="1:8">
      <c r="A68" s="71">
        <v>80</v>
      </c>
      <c r="B68" s="90" t="s">
        <v>881</v>
      </c>
      <c r="C68" s="71" t="s">
        <v>882</v>
      </c>
      <c r="D68" s="71" t="s">
        <v>1081</v>
      </c>
      <c r="E68" s="71" t="s">
        <v>619</v>
      </c>
      <c r="F68" s="71" t="s">
        <v>619</v>
      </c>
      <c r="G68" s="71" t="s">
        <v>619</v>
      </c>
      <c r="H68" s="71" t="s">
        <v>619</v>
      </c>
    </row>
    <row r="69" spans="1:8">
      <c r="A69" s="76">
        <v>85</v>
      </c>
      <c r="B69" s="77" t="s">
        <v>894</v>
      </c>
      <c r="C69" s="76" t="s">
        <v>895</v>
      </c>
      <c r="D69" s="76" t="s">
        <v>1088</v>
      </c>
      <c r="E69" s="76" t="s">
        <v>619</v>
      </c>
      <c r="F69" s="76" t="s">
        <v>619</v>
      </c>
      <c r="G69" s="76" t="s">
        <v>619</v>
      </c>
      <c r="H69" s="76" t="s">
        <v>619</v>
      </c>
    </row>
    <row r="70" spans="1:8">
      <c r="A70" s="71">
        <v>87</v>
      </c>
      <c r="B70" s="90" t="s">
        <v>197</v>
      </c>
      <c r="C70" s="71" t="s">
        <v>902</v>
      </c>
      <c r="D70" s="71" t="s">
        <v>619</v>
      </c>
      <c r="E70" s="71" t="s">
        <v>619</v>
      </c>
      <c r="F70" s="71" t="s">
        <v>619</v>
      </c>
      <c r="G70" s="71" t="s">
        <v>619</v>
      </c>
      <c r="H70" s="71" t="s">
        <v>619</v>
      </c>
    </row>
    <row r="71" spans="1:8">
      <c r="A71" s="76">
        <v>89</v>
      </c>
      <c r="B71" s="77" t="s">
        <v>198</v>
      </c>
      <c r="C71" s="76" t="s">
        <v>907</v>
      </c>
      <c r="D71" s="76" t="s">
        <v>619</v>
      </c>
      <c r="E71" s="76" t="s">
        <v>619</v>
      </c>
      <c r="F71" s="76" t="s">
        <v>619</v>
      </c>
      <c r="G71" s="76" t="s">
        <v>619</v>
      </c>
      <c r="H71" s="76" t="s">
        <v>619</v>
      </c>
    </row>
    <row r="72" spans="1:8">
      <c r="A72" s="71">
        <v>92</v>
      </c>
      <c r="B72" s="90" t="s">
        <v>912</v>
      </c>
      <c r="C72" s="71" t="s">
        <v>913</v>
      </c>
      <c r="D72" s="71" t="s">
        <v>619</v>
      </c>
      <c r="E72" s="71" t="s">
        <v>619</v>
      </c>
      <c r="F72" s="71" t="s">
        <v>619</v>
      </c>
      <c r="G72" s="71" t="s">
        <v>619</v>
      </c>
      <c r="H72" s="71" t="s">
        <v>619</v>
      </c>
    </row>
    <row r="73" spans="1:8">
      <c r="A73" s="76">
        <v>95</v>
      </c>
      <c r="B73" s="77" t="s">
        <v>914</v>
      </c>
      <c r="C73" s="76" t="s">
        <v>915</v>
      </c>
      <c r="D73" s="76" t="s">
        <v>619</v>
      </c>
      <c r="E73" s="76" t="s">
        <v>619</v>
      </c>
      <c r="F73" s="76" t="s">
        <v>619</v>
      </c>
      <c r="G73" s="76" t="s">
        <v>619</v>
      </c>
      <c r="H73" s="76" t="s">
        <v>619</v>
      </c>
    </row>
    <row r="74" spans="1:8">
      <c r="A74" s="71">
        <v>97</v>
      </c>
      <c r="B74" s="90" t="s">
        <v>917</v>
      </c>
      <c r="C74" s="71" t="s">
        <v>918</v>
      </c>
      <c r="D74" s="71" t="s">
        <v>1081</v>
      </c>
      <c r="E74" s="71" t="s">
        <v>619</v>
      </c>
      <c r="F74" s="71" t="s">
        <v>619</v>
      </c>
      <c r="G74" s="71" t="s">
        <v>619</v>
      </c>
      <c r="H74" s="71" t="s">
        <v>619</v>
      </c>
    </row>
    <row r="75" spans="1:8">
      <c r="A75" s="76">
        <v>98</v>
      </c>
      <c r="B75" s="77" t="s">
        <v>922</v>
      </c>
      <c r="C75" s="76" t="s">
        <v>923</v>
      </c>
      <c r="D75" s="76" t="s">
        <v>1081</v>
      </c>
      <c r="E75" s="76" t="s">
        <v>619</v>
      </c>
      <c r="F75" s="76" t="s">
        <v>619</v>
      </c>
      <c r="G75" s="76" t="s">
        <v>619</v>
      </c>
      <c r="H75" s="76" t="s">
        <v>3279</v>
      </c>
    </row>
    <row r="76" spans="1:8">
      <c r="A76" s="71">
        <v>105</v>
      </c>
      <c r="B76" s="90" t="s">
        <v>82</v>
      </c>
      <c r="C76" s="71" t="s">
        <v>926</v>
      </c>
      <c r="D76" s="71" t="s">
        <v>1088</v>
      </c>
      <c r="E76" s="71" t="s">
        <v>3280</v>
      </c>
      <c r="F76" s="71" t="s">
        <v>619</v>
      </c>
      <c r="G76" s="71" t="s">
        <v>619</v>
      </c>
      <c r="H76" s="71" t="s">
        <v>3281</v>
      </c>
    </row>
    <row r="77" spans="1:8">
      <c r="A77" s="76">
        <v>106</v>
      </c>
      <c r="B77" s="77" t="s">
        <v>72</v>
      </c>
      <c r="C77" s="76" t="s">
        <v>928</v>
      </c>
      <c r="D77" s="76" t="s">
        <v>1088</v>
      </c>
      <c r="E77" s="76" t="s">
        <v>619</v>
      </c>
      <c r="F77" s="76" t="s">
        <v>619</v>
      </c>
      <c r="G77" s="76" t="s">
        <v>619</v>
      </c>
      <c r="H77" s="76" t="s">
        <v>619</v>
      </c>
    </row>
    <row r="78" spans="1:8">
      <c r="A78" s="71">
        <v>107</v>
      </c>
      <c r="B78" s="90" t="s">
        <v>92</v>
      </c>
      <c r="C78" s="71" t="s">
        <v>932</v>
      </c>
      <c r="D78" s="71" t="s">
        <v>1088</v>
      </c>
      <c r="E78" s="71" t="s">
        <v>619</v>
      </c>
      <c r="F78" s="71" t="s">
        <v>619</v>
      </c>
      <c r="G78" s="71" t="s">
        <v>619</v>
      </c>
      <c r="H78" s="71" t="s">
        <v>1081</v>
      </c>
    </row>
    <row r="79" spans="1:8">
      <c r="A79" s="76">
        <v>18</v>
      </c>
      <c r="B79" s="77" t="s">
        <v>3331</v>
      </c>
      <c r="C79" s="76" t="s">
        <v>2445</v>
      </c>
      <c r="D79" s="76" t="s">
        <v>1088</v>
      </c>
      <c r="E79" s="76" t="s">
        <v>3268</v>
      </c>
      <c r="F79" s="76"/>
      <c r="G79" s="76" t="s">
        <v>1081</v>
      </c>
      <c r="H79" s="76" t="s">
        <v>1081</v>
      </c>
    </row>
    <row r="80" spans="1:8">
      <c r="A80" s="71"/>
      <c r="B80" s="90" t="s">
        <v>3659</v>
      </c>
      <c r="C80" s="71" t="s">
        <v>2447</v>
      </c>
      <c r="D80" s="71" t="s">
        <v>1088</v>
      </c>
      <c r="E80" s="71" t="s">
        <v>3270</v>
      </c>
      <c r="F80" s="71"/>
      <c r="G80" s="71" t="s">
        <v>1079</v>
      </c>
      <c r="H80" s="71"/>
    </row>
    <row r="81" spans="1:8">
      <c r="A81" s="76"/>
      <c r="B81" s="77" t="s">
        <v>3704</v>
      </c>
      <c r="C81" s="76" t="s">
        <v>3705</v>
      </c>
      <c r="D81" s="76" t="s">
        <v>1079</v>
      </c>
      <c r="E81" s="76" t="s">
        <v>619</v>
      </c>
      <c r="F81" s="76" t="s">
        <v>619</v>
      </c>
      <c r="G81" s="76" t="s">
        <v>619</v>
      </c>
      <c r="H81" s="76" t="s">
        <v>619</v>
      </c>
    </row>
    <row r="82" spans="1:8">
      <c r="A82" s="71"/>
      <c r="B82" s="90" t="s">
        <v>3714</v>
      </c>
      <c r="C82" s="71" t="s">
        <v>3715</v>
      </c>
      <c r="D82" s="71" t="s">
        <v>1079</v>
      </c>
      <c r="E82" s="71" t="s">
        <v>619</v>
      </c>
      <c r="F82" s="71" t="s">
        <v>619</v>
      </c>
      <c r="G82" s="71" t="s">
        <v>619</v>
      </c>
      <c r="H82" s="71" t="s">
        <v>619</v>
      </c>
    </row>
    <row r="83" spans="1:8">
      <c r="A83" s="76"/>
      <c r="B83" s="77" t="s">
        <v>1899</v>
      </c>
      <c r="C83" s="76" t="s">
        <v>2466</v>
      </c>
      <c r="D83" s="76" t="s">
        <v>1079</v>
      </c>
      <c r="E83" s="76" t="s">
        <v>619</v>
      </c>
      <c r="F83" s="76" t="s">
        <v>619</v>
      </c>
      <c r="G83" s="76" t="s">
        <v>619</v>
      </c>
      <c r="H83" s="76" t="s">
        <v>619</v>
      </c>
    </row>
    <row r="84" spans="1:8">
      <c r="A84" s="71"/>
      <c r="B84" s="90" t="s">
        <v>3731</v>
      </c>
      <c r="C84" s="71" t="s">
        <v>1080</v>
      </c>
      <c r="D84" s="71" t="s">
        <v>1078</v>
      </c>
      <c r="E84" s="71" t="s">
        <v>3268</v>
      </c>
      <c r="F84" s="71" t="s">
        <v>619</v>
      </c>
      <c r="G84" s="71" t="s">
        <v>619</v>
      </c>
      <c r="H84" s="71" t="s">
        <v>619</v>
      </c>
    </row>
    <row r="85" spans="1:8">
      <c r="A85" s="76"/>
      <c r="B85" s="77" t="s">
        <v>3736</v>
      </c>
      <c r="C85" s="76" t="s">
        <v>2484</v>
      </c>
      <c r="D85" s="76" t="s">
        <v>1078</v>
      </c>
      <c r="E85" s="76" t="s">
        <v>3268</v>
      </c>
      <c r="F85" s="76" t="s">
        <v>1079</v>
      </c>
      <c r="G85" s="76"/>
      <c r="H85" s="76"/>
    </row>
    <row r="86" spans="1:8">
      <c r="A86" s="71"/>
      <c r="B86" s="90" t="s">
        <v>3747</v>
      </c>
      <c r="C86" s="71" t="s">
        <v>2462</v>
      </c>
      <c r="D86" s="71" t="s">
        <v>1078</v>
      </c>
      <c r="E86" s="71" t="s">
        <v>3748</v>
      </c>
      <c r="F86" s="71" t="s">
        <v>619</v>
      </c>
      <c r="G86" s="71" t="s">
        <v>619</v>
      </c>
      <c r="H86" s="71" t="s">
        <v>619</v>
      </c>
    </row>
    <row r="87" spans="1:8">
      <c r="A87" s="76"/>
      <c r="B87" s="77" t="s">
        <v>1878</v>
      </c>
      <c r="C87" s="76" t="s">
        <v>2461</v>
      </c>
      <c r="D87" s="76" t="s">
        <v>1079</v>
      </c>
      <c r="E87" s="76"/>
      <c r="F87" s="76"/>
      <c r="G87" s="76"/>
      <c r="H87" s="76"/>
    </row>
    <row r="88" spans="1:8">
      <c r="A88" s="71"/>
      <c r="B88" s="90"/>
      <c r="C88" s="71"/>
      <c r="D88" s="71"/>
      <c r="E88" s="71"/>
      <c r="F88" s="71"/>
      <c r="G88" s="71"/>
      <c r="H88" s="71"/>
    </row>
    <row r="89" spans="1:8">
      <c r="A89" s="76"/>
      <c r="B89" s="77"/>
      <c r="C89" s="76"/>
      <c r="D89" s="76"/>
      <c r="E89" s="76"/>
      <c r="F89" s="76"/>
      <c r="G89" s="76"/>
      <c r="H89" s="76"/>
    </row>
    <row r="90" spans="1:8">
      <c r="A90" s="71"/>
      <c r="B90" s="90"/>
      <c r="C90" s="71"/>
      <c r="D90" s="71"/>
      <c r="E90" s="71"/>
      <c r="F90" s="71"/>
      <c r="G90" s="71"/>
      <c r="H90" s="71"/>
    </row>
    <row r="91" spans="1:8" ht="14.4">
      <c r="A91" s="9" t="s">
        <v>3282</v>
      </c>
    </row>
    <row r="92" spans="1:8" ht="14.4" thickBot="1">
      <c r="A92" s="545" t="s">
        <v>609</v>
      </c>
      <c r="B92" s="545" t="s">
        <v>610</v>
      </c>
      <c r="C92" s="545" t="s">
        <v>611</v>
      </c>
      <c r="D92" s="545" t="s">
        <v>3257</v>
      </c>
      <c r="E92" s="545" t="s">
        <v>3258</v>
      </c>
      <c r="F92" s="545" t="s">
        <v>3259</v>
      </c>
      <c r="G92" s="545" t="s">
        <v>5</v>
      </c>
      <c r="H92" s="545" t="s">
        <v>3260</v>
      </c>
    </row>
    <row r="93" spans="1:8">
      <c r="A93" s="546"/>
      <c r="B93" s="546"/>
      <c r="C93" s="546"/>
      <c r="D93" s="546"/>
      <c r="E93" s="546"/>
      <c r="F93" s="546"/>
      <c r="G93" s="546"/>
      <c r="H93" s="546"/>
    </row>
    <row r="94" spans="1:8" ht="36">
      <c r="A94" s="71">
        <v>1</v>
      </c>
      <c r="B94" s="90" t="s">
        <v>1023</v>
      </c>
      <c r="C94" s="71" t="s">
        <v>1024</v>
      </c>
      <c r="D94" s="71" t="s">
        <v>619</v>
      </c>
      <c r="E94" s="71" t="s">
        <v>619</v>
      </c>
      <c r="F94" s="81" t="s">
        <v>3283</v>
      </c>
      <c r="G94" s="81" t="s">
        <v>619</v>
      </c>
      <c r="H94" s="81" t="s">
        <v>619</v>
      </c>
    </row>
    <row r="95" spans="1:8" ht="36">
      <c r="A95" s="76">
        <v>2</v>
      </c>
      <c r="B95" s="77" t="s">
        <v>1027</v>
      </c>
      <c r="C95" s="76" t="s">
        <v>1028</v>
      </c>
      <c r="D95" s="76" t="s">
        <v>619</v>
      </c>
      <c r="E95" s="76" t="s">
        <v>619</v>
      </c>
      <c r="F95" s="78" t="s">
        <v>3283</v>
      </c>
      <c r="G95" s="76" t="s">
        <v>619</v>
      </c>
      <c r="H95" s="76" t="s">
        <v>619</v>
      </c>
    </row>
    <row r="96" spans="1:8" ht="36">
      <c r="A96" s="71">
        <v>3</v>
      </c>
      <c r="B96" s="73" t="s">
        <v>1029</v>
      </c>
      <c r="C96" s="74" t="s">
        <v>1030</v>
      </c>
      <c r="D96" s="74" t="s">
        <v>619</v>
      </c>
      <c r="E96" s="74" t="s">
        <v>619</v>
      </c>
      <c r="F96" s="110" t="s">
        <v>3283</v>
      </c>
      <c r="G96" s="110" t="s">
        <v>619</v>
      </c>
      <c r="H96" s="110" t="s">
        <v>619</v>
      </c>
    </row>
    <row r="97" spans="1:8" ht="36">
      <c r="A97" s="76">
        <v>4</v>
      </c>
      <c r="B97" s="77" t="s">
        <v>1032</v>
      </c>
      <c r="C97" s="76" t="s">
        <v>1033</v>
      </c>
      <c r="D97" s="76" t="s">
        <v>619</v>
      </c>
      <c r="E97" s="76" t="s">
        <v>619</v>
      </c>
      <c r="F97" s="78" t="s">
        <v>3283</v>
      </c>
      <c r="G97" s="76" t="s">
        <v>619</v>
      </c>
      <c r="H97" s="76" t="s">
        <v>619</v>
      </c>
    </row>
    <row r="98" spans="1:8" ht="36">
      <c r="A98" s="71">
        <v>5</v>
      </c>
      <c r="B98" s="73" t="s">
        <v>1035</v>
      </c>
      <c r="C98" s="74" t="s">
        <v>1036</v>
      </c>
      <c r="D98" s="74" t="s">
        <v>619</v>
      </c>
      <c r="E98" s="74" t="s">
        <v>619</v>
      </c>
      <c r="F98" s="110" t="s">
        <v>3283</v>
      </c>
      <c r="G98" s="110" t="s">
        <v>619</v>
      </c>
      <c r="H98" s="110" t="s">
        <v>619</v>
      </c>
    </row>
    <row r="99" spans="1:8">
      <c r="A99" s="76">
        <v>6</v>
      </c>
      <c r="B99" s="77" t="s">
        <v>1039</v>
      </c>
      <c r="C99" s="76" t="s">
        <v>1040</v>
      </c>
      <c r="D99" s="76" t="s">
        <v>1088</v>
      </c>
      <c r="E99" s="76" t="s">
        <v>3270</v>
      </c>
      <c r="F99" s="76" t="s">
        <v>619</v>
      </c>
      <c r="G99" s="76" t="s">
        <v>1081</v>
      </c>
      <c r="H99" s="76" t="s">
        <v>619</v>
      </c>
    </row>
    <row r="100" spans="1:8">
      <c r="A100" s="71">
        <v>7</v>
      </c>
      <c r="B100" s="73" t="s">
        <v>1051</v>
      </c>
      <c r="C100" s="74" t="s">
        <v>1052</v>
      </c>
      <c r="D100" s="74" t="s">
        <v>1088</v>
      </c>
      <c r="E100" s="74" t="s">
        <v>619</v>
      </c>
      <c r="F100" s="74" t="s">
        <v>619</v>
      </c>
      <c r="G100" s="74" t="s">
        <v>619</v>
      </c>
      <c r="H100" s="74" t="s">
        <v>619</v>
      </c>
    </row>
  </sheetData>
  <autoFilter ref="A6:H87"/>
  <mergeCells count="16">
    <mergeCell ref="G6:G7"/>
    <mergeCell ref="H6:H7"/>
    <mergeCell ref="A92:A93"/>
    <mergeCell ref="B92:B93"/>
    <mergeCell ref="C92:C93"/>
    <mergeCell ref="D92:D93"/>
    <mergeCell ref="E92:E93"/>
    <mergeCell ref="F92:F93"/>
    <mergeCell ref="G92:G93"/>
    <mergeCell ref="H92:H93"/>
    <mergeCell ref="A6:A7"/>
    <mergeCell ref="B6:B7"/>
    <mergeCell ref="C6:C7"/>
    <mergeCell ref="D6:D7"/>
    <mergeCell ref="E6:E7"/>
    <mergeCell ref="F6:F7"/>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3:J81"/>
  <sheetViews>
    <sheetView workbookViewId="0">
      <selection activeCell="A3" sqref="A3"/>
    </sheetView>
  </sheetViews>
  <sheetFormatPr baseColWidth="10" defaultRowHeight="13.8"/>
  <cols>
    <col min="1" max="1" width="6.3984375" customWidth="1"/>
    <col min="2" max="2" width="43.296875" customWidth="1"/>
    <col min="3" max="3" width="21.69921875" customWidth="1"/>
    <col min="4" max="4" width="22.296875" customWidth="1"/>
    <col min="5" max="5" width="21.69921875" customWidth="1"/>
    <col min="6" max="6" width="22" customWidth="1"/>
    <col min="9" max="9" width="54.3984375" bestFit="1" customWidth="1"/>
    <col min="10" max="10" width="14.3984375" bestFit="1" customWidth="1"/>
  </cols>
  <sheetData>
    <row r="3" spans="1:10" ht="16.2">
      <c r="A3" s="10" t="s">
        <v>3136</v>
      </c>
    </row>
    <row r="6" spans="1:10" ht="14.4">
      <c r="A6" s="196" t="s">
        <v>3</v>
      </c>
      <c r="B6" s="196" t="s">
        <v>3055</v>
      </c>
      <c r="C6" s="196" t="s">
        <v>3056</v>
      </c>
      <c r="D6" s="196" t="s">
        <v>3057</v>
      </c>
      <c r="E6" s="196" t="s">
        <v>3058</v>
      </c>
      <c r="F6" s="196" t="s">
        <v>3059</v>
      </c>
    </row>
    <row r="7" spans="1:10" ht="14.4">
      <c r="A7" s="207">
        <v>1</v>
      </c>
      <c r="B7" s="199" t="s">
        <v>3060</v>
      </c>
      <c r="C7" s="208">
        <v>19240627.170000002</v>
      </c>
      <c r="D7" s="209">
        <v>19240627.170000002</v>
      </c>
      <c r="E7" s="208">
        <v>3995620.19</v>
      </c>
      <c r="F7" s="207" t="s">
        <v>3061</v>
      </c>
      <c r="J7" s="124"/>
    </row>
    <row r="8" spans="1:10" ht="14.4">
      <c r="A8" s="207">
        <v>2</v>
      </c>
      <c r="B8" s="199" t="s">
        <v>3062</v>
      </c>
      <c r="C8" s="208">
        <v>29344191.969999999</v>
      </c>
      <c r="D8" s="209">
        <v>29344191.969999999</v>
      </c>
      <c r="E8" s="208">
        <v>5668717.5199999996</v>
      </c>
      <c r="F8" s="207" t="s">
        <v>3061</v>
      </c>
      <c r="J8" s="124"/>
    </row>
    <row r="9" spans="1:10" ht="26.4">
      <c r="A9" s="207">
        <v>3</v>
      </c>
      <c r="B9" s="199" t="s">
        <v>3063</v>
      </c>
      <c r="C9" s="208">
        <v>92755516.920000002</v>
      </c>
      <c r="D9" s="209">
        <v>92755516.920000002</v>
      </c>
      <c r="E9" s="208">
        <v>20624265.449999999</v>
      </c>
      <c r="F9" s="207" t="s">
        <v>3061</v>
      </c>
      <c r="J9" s="124"/>
    </row>
    <row r="10" spans="1:10" ht="26.4">
      <c r="A10" s="207">
        <v>4</v>
      </c>
      <c r="B10" s="199" t="s">
        <v>3064</v>
      </c>
      <c r="C10" s="208">
        <v>69073565.560000002</v>
      </c>
      <c r="D10" s="209">
        <v>69073565.560000002</v>
      </c>
      <c r="E10" s="208">
        <v>17625779.5</v>
      </c>
      <c r="F10" s="207" t="s">
        <v>3061</v>
      </c>
      <c r="J10" s="124"/>
    </row>
    <row r="11" spans="1:10" ht="14.4">
      <c r="A11" s="207">
        <v>5</v>
      </c>
      <c r="B11" s="199" t="s">
        <v>3065</v>
      </c>
      <c r="C11" s="208">
        <v>34524231.939999998</v>
      </c>
      <c r="D11" s="209">
        <v>34524231.939999998</v>
      </c>
      <c r="E11" s="208">
        <v>6138551.75</v>
      </c>
      <c r="F11" s="207" t="s">
        <v>3061</v>
      </c>
      <c r="J11" s="124"/>
    </row>
    <row r="12" spans="1:10" ht="14.4">
      <c r="A12" s="207">
        <v>6</v>
      </c>
      <c r="B12" s="199" t="s">
        <v>3066</v>
      </c>
      <c r="C12" s="208">
        <v>25943631.02</v>
      </c>
      <c r="D12" s="209">
        <v>25943631.02</v>
      </c>
      <c r="E12" s="208">
        <v>6407802.46</v>
      </c>
      <c r="F12" s="207" t="s">
        <v>3061</v>
      </c>
      <c r="J12" s="124"/>
    </row>
    <row r="13" spans="1:10" ht="14.4">
      <c r="A13" s="207">
        <v>7</v>
      </c>
      <c r="B13" s="199" t="s">
        <v>3067</v>
      </c>
      <c r="C13" s="208">
        <v>18856314.75</v>
      </c>
      <c r="D13" s="209">
        <v>18856314.75</v>
      </c>
      <c r="E13" s="208">
        <v>4494959.2699999996</v>
      </c>
      <c r="F13" s="207" t="s">
        <v>3061</v>
      </c>
      <c r="J13" s="124"/>
    </row>
    <row r="14" spans="1:10" ht="26.4">
      <c r="A14" s="207">
        <v>8</v>
      </c>
      <c r="B14" s="199" t="s">
        <v>3068</v>
      </c>
      <c r="C14" s="208">
        <v>15032299.310000001</v>
      </c>
      <c r="D14" s="209">
        <v>15032299.310000001</v>
      </c>
      <c r="E14" s="208">
        <v>3568237.43</v>
      </c>
      <c r="F14" s="207" t="s">
        <v>3061</v>
      </c>
      <c r="J14" s="124"/>
    </row>
    <row r="15" spans="1:10" ht="14.4">
      <c r="A15" s="207">
        <v>9</v>
      </c>
      <c r="B15" s="199" t="s">
        <v>3069</v>
      </c>
      <c r="C15" s="208">
        <v>64683853.939999998</v>
      </c>
      <c r="D15" s="209">
        <v>64683853.939999998</v>
      </c>
      <c r="E15" s="208">
        <v>17755165.109999999</v>
      </c>
      <c r="F15" s="207" t="s">
        <v>3061</v>
      </c>
      <c r="J15" s="124"/>
    </row>
    <row r="16" spans="1:10" ht="14.4">
      <c r="A16" s="207">
        <v>10</v>
      </c>
      <c r="B16" s="199" t="s">
        <v>3070</v>
      </c>
      <c r="C16" s="208">
        <v>114879516.42</v>
      </c>
      <c r="D16" s="209">
        <v>114879516.42</v>
      </c>
      <c r="E16" s="208">
        <v>28856335.43</v>
      </c>
      <c r="F16" s="207" t="s">
        <v>3061</v>
      </c>
      <c r="J16" s="124"/>
    </row>
    <row r="17" spans="1:10" ht="14.4">
      <c r="A17" s="207">
        <v>11</v>
      </c>
      <c r="B17" s="199" t="s">
        <v>3071</v>
      </c>
      <c r="C17" s="208">
        <v>24255299.120000001</v>
      </c>
      <c r="D17" s="209">
        <v>24255299.120000001</v>
      </c>
      <c r="E17" s="208">
        <v>6089345.6100000003</v>
      </c>
      <c r="F17" s="207" t="s">
        <v>3061</v>
      </c>
      <c r="J17" s="124"/>
    </row>
    <row r="18" spans="1:10" ht="26.4">
      <c r="A18" s="207">
        <v>12</v>
      </c>
      <c r="B18" s="199" t="s">
        <v>3072</v>
      </c>
      <c r="C18" s="208">
        <v>11000000</v>
      </c>
      <c r="D18" s="209">
        <v>11000000</v>
      </c>
      <c r="E18" s="208">
        <v>1960711.97</v>
      </c>
      <c r="F18" s="207" t="s">
        <v>3061</v>
      </c>
      <c r="J18" s="124"/>
    </row>
    <row r="19" spans="1:10" ht="26.4">
      <c r="A19" s="207">
        <v>13</v>
      </c>
      <c r="B19" s="199" t="s">
        <v>3073</v>
      </c>
      <c r="C19" s="208">
        <v>30000000</v>
      </c>
      <c r="D19" s="209">
        <v>30000000</v>
      </c>
      <c r="E19" s="208">
        <v>4029158.24</v>
      </c>
      <c r="F19" s="207" t="s">
        <v>3061</v>
      </c>
      <c r="J19" s="124"/>
    </row>
    <row r="20" spans="1:10" ht="14.4">
      <c r="A20" s="207">
        <v>14</v>
      </c>
      <c r="B20" s="199" t="s">
        <v>3074</v>
      </c>
      <c r="C20" s="208">
        <v>6000000</v>
      </c>
      <c r="D20" s="209">
        <v>6000000</v>
      </c>
      <c r="E20" s="208">
        <v>1113519.54</v>
      </c>
      <c r="F20" s="207" t="s">
        <v>3061</v>
      </c>
      <c r="J20" s="124"/>
    </row>
    <row r="21" spans="1:10" ht="14.4">
      <c r="A21" s="207">
        <v>15</v>
      </c>
      <c r="B21" s="199" t="s">
        <v>3075</v>
      </c>
      <c r="C21" s="208">
        <v>13000000</v>
      </c>
      <c r="D21" s="209">
        <v>13000000</v>
      </c>
      <c r="E21" s="208">
        <v>2751937.13</v>
      </c>
      <c r="F21" s="207" t="s">
        <v>3061</v>
      </c>
      <c r="J21" s="124"/>
    </row>
    <row r="22" spans="1:10" ht="14.4">
      <c r="A22" s="207">
        <v>16</v>
      </c>
      <c r="B22" s="199" t="s">
        <v>3076</v>
      </c>
      <c r="C22" s="208">
        <v>11000000</v>
      </c>
      <c r="D22" s="209">
        <v>11000000</v>
      </c>
      <c r="E22" s="208">
        <v>2360987.48</v>
      </c>
      <c r="F22" s="207" t="s">
        <v>3061</v>
      </c>
      <c r="J22" s="124"/>
    </row>
    <row r="23" spans="1:10" ht="26.4">
      <c r="A23" s="207">
        <v>17</v>
      </c>
      <c r="B23" s="199" t="s">
        <v>3077</v>
      </c>
      <c r="C23" s="208">
        <v>10000000</v>
      </c>
      <c r="D23" s="209">
        <v>10000000</v>
      </c>
      <c r="E23" s="208">
        <v>1666260.52</v>
      </c>
      <c r="F23" s="207" t="s">
        <v>3061</v>
      </c>
      <c r="J23" s="124"/>
    </row>
    <row r="24" spans="1:10" ht="26.4">
      <c r="A24" s="207">
        <v>18</v>
      </c>
      <c r="B24" s="199" t="s">
        <v>3078</v>
      </c>
      <c r="C24" s="208">
        <v>15000000</v>
      </c>
      <c r="D24" s="209">
        <v>15000000</v>
      </c>
      <c r="E24" s="208">
        <v>2641922.34</v>
      </c>
      <c r="F24" s="207" t="s">
        <v>3061</v>
      </c>
      <c r="J24" s="124"/>
    </row>
    <row r="25" spans="1:10" ht="26.4">
      <c r="A25" s="207">
        <v>19</v>
      </c>
      <c r="B25" s="199" t="s">
        <v>3079</v>
      </c>
      <c r="C25" s="208">
        <v>10000000</v>
      </c>
      <c r="D25" s="209">
        <v>10000000</v>
      </c>
      <c r="E25" s="208">
        <v>1649027.47</v>
      </c>
      <c r="F25" s="207" t="s">
        <v>3061</v>
      </c>
      <c r="J25" s="124"/>
    </row>
    <row r="26" spans="1:10" ht="26.4">
      <c r="A26" s="207">
        <v>20</v>
      </c>
      <c r="B26" s="199" t="s">
        <v>3080</v>
      </c>
      <c r="C26" s="208">
        <v>5000000</v>
      </c>
      <c r="D26" s="209">
        <v>5000000</v>
      </c>
      <c r="E26" s="208">
        <v>881039.88</v>
      </c>
      <c r="F26" s="207" t="s">
        <v>3061</v>
      </c>
      <c r="J26" s="124"/>
    </row>
    <row r="27" spans="1:10" ht="39.6">
      <c r="A27" s="207">
        <v>21</v>
      </c>
      <c r="B27" s="199" t="s">
        <v>3081</v>
      </c>
      <c r="C27" s="208">
        <v>9956755.0899999999</v>
      </c>
      <c r="D27" s="209">
        <v>9740014.4900000002</v>
      </c>
      <c r="E27" s="208">
        <v>2137317.9</v>
      </c>
      <c r="F27" s="207" t="s">
        <v>3082</v>
      </c>
      <c r="J27" s="124"/>
    </row>
    <row r="28" spans="1:10" ht="14.4">
      <c r="A28" s="207">
        <v>22</v>
      </c>
      <c r="B28" s="199" t="s">
        <v>3083</v>
      </c>
      <c r="C28" s="208">
        <v>10000000</v>
      </c>
      <c r="D28" s="209">
        <v>10000000</v>
      </c>
      <c r="E28" s="208">
        <v>1792480.82</v>
      </c>
      <c r="F28" s="207" t="s">
        <v>3061</v>
      </c>
      <c r="J28" s="124"/>
    </row>
    <row r="29" spans="1:10" ht="26.4">
      <c r="A29" s="207">
        <v>23</v>
      </c>
      <c r="B29" s="199" t="s">
        <v>3084</v>
      </c>
      <c r="C29" s="208">
        <v>5000000</v>
      </c>
      <c r="D29" s="209">
        <v>5000000</v>
      </c>
      <c r="E29" s="208">
        <v>817721.86</v>
      </c>
      <c r="F29" s="207" t="s">
        <v>3061</v>
      </c>
      <c r="J29" s="124"/>
    </row>
    <row r="30" spans="1:10" ht="26.4">
      <c r="A30" s="207">
        <v>24</v>
      </c>
      <c r="B30" s="199" t="s">
        <v>3085</v>
      </c>
      <c r="C30" s="208">
        <v>7500000</v>
      </c>
      <c r="D30" s="209">
        <v>7500000</v>
      </c>
      <c r="E30" s="208">
        <v>1323592.32</v>
      </c>
      <c r="F30" s="207" t="s">
        <v>3061</v>
      </c>
      <c r="J30" s="124"/>
    </row>
    <row r="31" spans="1:10" ht="14.4">
      <c r="A31" s="207">
        <v>25</v>
      </c>
      <c r="B31" s="199" t="s">
        <v>3086</v>
      </c>
      <c r="C31" s="208">
        <v>6000000</v>
      </c>
      <c r="D31" s="209">
        <v>6000000</v>
      </c>
      <c r="E31" s="208">
        <v>1100550.98</v>
      </c>
      <c r="F31" s="207" t="s">
        <v>3061</v>
      </c>
      <c r="J31" s="124"/>
    </row>
    <row r="32" spans="1:10" ht="26.4">
      <c r="A32" s="207">
        <v>26</v>
      </c>
      <c r="B32" s="199" t="s">
        <v>3087</v>
      </c>
      <c r="C32" s="208">
        <v>6000000</v>
      </c>
      <c r="D32" s="209">
        <v>6000000</v>
      </c>
      <c r="E32" s="208">
        <v>1114466.04</v>
      </c>
      <c r="F32" s="207" t="s">
        <v>3061</v>
      </c>
      <c r="J32" s="124"/>
    </row>
    <row r="33" spans="1:10" ht="26.4">
      <c r="A33" s="207">
        <v>27</v>
      </c>
      <c r="B33" s="199" t="s">
        <v>3088</v>
      </c>
      <c r="C33" s="208">
        <v>10000000</v>
      </c>
      <c r="D33" s="209">
        <v>10000000</v>
      </c>
      <c r="E33" s="208">
        <v>1771347.86</v>
      </c>
      <c r="F33" s="207" t="s">
        <v>3061</v>
      </c>
      <c r="J33" s="124"/>
    </row>
    <row r="34" spans="1:10" ht="14.4">
      <c r="A34" s="207">
        <v>28</v>
      </c>
      <c r="B34" s="199" t="s">
        <v>3089</v>
      </c>
      <c r="C34" s="208">
        <v>10000000</v>
      </c>
      <c r="D34" s="209">
        <v>10000000</v>
      </c>
      <c r="E34" s="208">
        <v>2169211.86</v>
      </c>
      <c r="F34" s="207" t="s">
        <v>3061</v>
      </c>
      <c r="J34" s="124"/>
    </row>
    <row r="35" spans="1:10" ht="14.4">
      <c r="A35" s="207">
        <v>29</v>
      </c>
      <c r="B35" s="199" t="s">
        <v>3090</v>
      </c>
      <c r="C35" s="208">
        <v>10000000</v>
      </c>
      <c r="D35" s="209">
        <v>10000000</v>
      </c>
      <c r="E35" s="208">
        <v>2283090.0499999998</v>
      </c>
      <c r="F35" s="207" t="s">
        <v>3061</v>
      </c>
    </row>
    <row r="36" spans="1:10" ht="26.4">
      <c r="A36" s="207">
        <v>30</v>
      </c>
      <c r="B36" s="199" t="s">
        <v>3091</v>
      </c>
      <c r="C36" s="208">
        <v>15000000</v>
      </c>
      <c r="D36" s="209">
        <v>15000000</v>
      </c>
      <c r="E36" s="208">
        <v>2590662.63</v>
      </c>
      <c r="F36" s="207" t="s">
        <v>3061</v>
      </c>
    </row>
    <row r="37" spans="1:10" ht="14.4">
      <c r="A37" s="207">
        <v>31</v>
      </c>
      <c r="B37" s="199" t="s">
        <v>3092</v>
      </c>
      <c r="C37" s="208">
        <v>5000000</v>
      </c>
      <c r="D37" s="209">
        <v>5000000</v>
      </c>
      <c r="E37" s="208">
        <v>916750.21</v>
      </c>
      <c r="F37" s="207" t="s">
        <v>3061</v>
      </c>
    </row>
    <row r="38" spans="1:10" ht="14.4">
      <c r="A38" s="207">
        <v>32</v>
      </c>
      <c r="B38" s="199" t="s">
        <v>3093</v>
      </c>
      <c r="C38" s="208">
        <v>9862108.7300000004</v>
      </c>
      <c r="D38" s="209">
        <v>9433134.9100000001</v>
      </c>
      <c r="E38" s="208">
        <v>2044304.46</v>
      </c>
      <c r="F38" s="207" t="s">
        <v>3082</v>
      </c>
    </row>
    <row r="39" spans="1:10" ht="26.4">
      <c r="A39" s="207">
        <v>33</v>
      </c>
      <c r="B39" s="199" t="s">
        <v>3094</v>
      </c>
      <c r="C39" s="208">
        <v>9308389.2100000009</v>
      </c>
      <c r="D39" s="209">
        <v>9106864.8300000001</v>
      </c>
      <c r="E39" s="208">
        <v>2001421.2</v>
      </c>
      <c r="F39" s="207" t="s">
        <v>3082</v>
      </c>
    </row>
    <row r="40" spans="1:10" ht="39.6">
      <c r="A40" s="207">
        <v>34</v>
      </c>
      <c r="B40" s="199" t="s">
        <v>3095</v>
      </c>
      <c r="C40" s="208">
        <v>15000000</v>
      </c>
      <c r="D40" s="209">
        <v>15000000</v>
      </c>
      <c r="E40" s="208">
        <v>2718765.33</v>
      </c>
      <c r="F40" s="207" t="s">
        <v>3061</v>
      </c>
    </row>
    <row r="41" spans="1:10" ht="26.4">
      <c r="A41" s="207">
        <v>35</v>
      </c>
      <c r="B41" s="199" t="s">
        <v>3096</v>
      </c>
      <c r="C41" s="208">
        <v>5000000</v>
      </c>
      <c r="D41" s="209">
        <v>5000000</v>
      </c>
      <c r="E41" s="208">
        <v>1223060.78</v>
      </c>
      <c r="F41" s="207" t="s">
        <v>3061</v>
      </c>
    </row>
    <row r="42" spans="1:10" ht="26.4">
      <c r="A42" s="207">
        <v>36</v>
      </c>
      <c r="B42" s="199" t="s">
        <v>3097</v>
      </c>
      <c r="C42" s="208">
        <v>5000000</v>
      </c>
      <c r="D42" s="209">
        <v>5000000</v>
      </c>
      <c r="E42" s="208">
        <v>1016452.67</v>
      </c>
      <c r="F42" s="207" t="s">
        <v>3061</v>
      </c>
    </row>
    <row r="43" spans="1:10" ht="26.4">
      <c r="A43" s="207">
        <v>37</v>
      </c>
      <c r="B43" s="199" t="s">
        <v>3098</v>
      </c>
      <c r="C43" s="208">
        <v>5000000</v>
      </c>
      <c r="D43" s="209">
        <v>5000000</v>
      </c>
      <c r="E43" s="208">
        <v>897963.85</v>
      </c>
      <c r="F43" s="207" t="s">
        <v>3061</v>
      </c>
    </row>
    <row r="44" spans="1:10" ht="39.6">
      <c r="A44" s="207">
        <v>38</v>
      </c>
      <c r="B44" s="199" t="s">
        <v>3099</v>
      </c>
      <c r="C44" s="208">
        <v>5500000</v>
      </c>
      <c r="D44" s="209">
        <v>5500000</v>
      </c>
      <c r="E44" s="208">
        <v>935442.62</v>
      </c>
      <c r="F44" s="207" t="s">
        <v>3061</v>
      </c>
    </row>
    <row r="45" spans="1:10" ht="26.4">
      <c r="A45" s="207">
        <v>39</v>
      </c>
      <c r="B45" s="199" t="s">
        <v>3100</v>
      </c>
      <c r="C45" s="208">
        <v>5000000</v>
      </c>
      <c r="D45" s="209">
        <v>5000000</v>
      </c>
      <c r="E45" s="208">
        <v>831649.34</v>
      </c>
      <c r="F45" s="207" t="s">
        <v>3061</v>
      </c>
    </row>
    <row r="46" spans="1:10" ht="39.6">
      <c r="A46" s="207">
        <v>40</v>
      </c>
      <c r="B46" s="199" t="s">
        <v>3101</v>
      </c>
      <c r="C46" s="208">
        <v>1420855.15</v>
      </c>
      <c r="D46" s="209">
        <v>1384684.65</v>
      </c>
      <c r="E46" s="208">
        <v>270707.40999999997</v>
      </c>
      <c r="F46" s="207" t="s">
        <v>3082</v>
      </c>
    </row>
    <row r="47" spans="1:10" ht="26.4">
      <c r="A47" s="207">
        <v>41</v>
      </c>
      <c r="B47" s="199" t="s">
        <v>3102</v>
      </c>
      <c r="C47" s="208">
        <v>9500000</v>
      </c>
      <c r="D47" s="209">
        <v>9500000</v>
      </c>
      <c r="E47" s="208">
        <v>1798340.3</v>
      </c>
      <c r="F47" s="207" t="s">
        <v>3061</v>
      </c>
    </row>
    <row r="48" spans="1:10" ht="26.4">
      <c r="A48" s="207">
        <v>42</v>
      </c>
      <c r="B48" s="199" t="s">
        <v>3103</v>
      </c>
      <c r="C48" s="208">
        <v>26871393.780000001</v>
      </c>
      <c r="D48" s="209">
        <v>26871393.780000001</v>
      </c>
      <c r="E48" s="208">
        <v>4767425.5599999996</v>
      </c>
      <c r="F48" s="207" t="s">
        <v>3061</v>
      </c>
    </row>
    <row r="49" spans="1:6" ht="26.4">
      <c r="A49" s="207">
        <v>43</v>
      </c>
      <c r="B49" s="199" t="s">
        <v>3104</v>
      </c>
      <c r="C49" s="208">
        <v>6128606.2199999997</v>
      </c>
      <c r="D49" s="209">
        <v>6128606.2199999997</v>
      </c>
      <c r="E49" s="208">
        <v>1144531.5900000001</v>
      </c>
      <c r="F49" s="207" t="s">
        <v>3061</v>
      </c>
    </row>
    <row r="50" spans="1:6" ht="26.4">
      <c r="A50" s="207">
        <v>44</v>
      </c>
      <c r="B50" s="199" t="s">
        <v>3105</v>
      </c>
      <c r="C50" s="208">
        <v>24082556.329999998</v>
      </c>
      <c r="D50" s="209">
        <v>23096289.969999999</v>
      </c>
      <c r="E50" s="208">
        <v>939491.79</v>
      </c>
      <c r="F50" s="207" t="s">
        <v>3082</v>
      </c>
    </row>
    <row r="51" spans="1:6" ht="26.4">
      <c r="A51" s="207">
        <v>45</v>
      </c>
      <c r="B51" s="199" t="s">
        <v>3106</v>
      </c>
      <c r="C51" s="208">
        <v>17430951.93</v>
      </c>
      <c r="D51" s="209">
        <v>14844699.640000001</v>
      </c>
      <c r="E51" s="208">
        <v>405144.74</v>
      </c>
      <c r="F51" s="207" t="s">
        <v>3082</v>
      </c>
    </row>
    <row r="52" spans="1:6" ht="26.4">
      <c r="A52" s="207">
        <v>46</v>
      </c>
      <c r="B52" s="199" t="s">
        <v>3107</v>
      </c>
      <c r="C52" s="208">
        <v>1142999.6000000001</v>
      </c>
      <c r="D52" s="209">
        <v>836007.07</v>
      </c>
      <c r="E52" s="208">
        <v>25784.62</v>
      </c>
      <c r="F52" s="207" t="s">
        <v>3082</v>
      </c>
    </row>
    <row r="53" spans="1:6" ht="26.4">
      <c r="A53" s="207">
        <v>47</v>
      </c>
      <c r="B53" s="199" t="s">
        <v>3108</v>
      </c>
      <c r="C53" s="208">
        <v>1456701.48</v>
      </c>
      <c r="D53" s="209">
        <v>1391245.15</v>
      </c>
      <c r="E53" s="208">
        <v>10499.8</v>
      </c>
      <c r="F53" s="207" t="s">
        <v>3082</v>
      </c>
    </row>
    <row r="54" spans="1:6" ht="26.4">
      <c r="A54" s="207">
        <v>48</v>
      </c>
      <c r="B54" s="199" t="s">
        <v>3109</v>
      </c>
      <c r="C54" s="208">
        <v>7485963.1600000001</v>
      </c>
      <c r="D54" s="209">
        <v>6057778.1699999999</v>
      </c>
      <c r="E54" s="208">
        <v>53276.86</v>
      </c>
      <c r="F54" s="207" t="s">
        <v>3082</v>
      </c>
    </row>
    <row r="55" spans="1:6" ht="26.4">
      <c r="A55" s="207">
        <v>49</v>
      </c>
      <c r="B55" s="199" t="s">
        <v>3110</v>
      </c>
      <c r="C55" s="208">
        <v>13983338.779999999</v>
      </c>
      <c r="D55" s="209">
        <v>8646239.2599999998</v>
      </c>
      <c r="E55" s="208">
        <v>201179.77</v>
      </c>
      <c r="F55" s="207" t="s">
        <v>3082</v>
      </c>
    </row>
    <row r="56" spans="1:6" ht="39.6">
      <c r="A56" s="207">
        <v>50</v>
      </c>
      <c r="B56" s="199" t="s">
        <v>3111</v>
      </c>
      <c r="C56" s="208">
        <v>961032.66</v>
      </c>
      <c r="D56" s="209">
        <v>0</v>
      </c>
      <c r="E56" s="208">
        <v>0</v>
      </c>
      <c r="F56" s="207" t="s">
        <v>3112</v>
      </c>
    </row>
    <row r="57" spans="1:6" ht="26.4">
      <c r="A57" s="207">
        <v>51</v>
      </c>
      <c r="B57" s="199" t="s">
        <v>3113</v>
      </c>
      <c r="C57" s="208">
        <v>671177.65</v>
      </c>
      <c r="D57" s="209">
        <v>671177.65</v>
      </c>
      <c r="E57" s="208">
        <v>0</v>
      </c>
      <c r="F57" s="207" t="s">
        <v>3082</v>
      </c>
    </row>
    <row r="58" spans="1:6" ht="26.4">
      <c r="A58" s="207">
        <v>52</v>
      </c>
      <c r="B58" s="199" t="s">
        <v>3114</v>
      </c>
      <c r="C58" s="208">
        <v>613708.41</v>
      </c>
      <c r="D58" s="209">
        <v>613708.41</v>
      </c>
      <c r="E58" s="208">
        <v>0</v>
      </c>
      <c r="F58" s="207" t="s">
        <v>3082</v>
      </c>
    </row>
    <row r="59" spans="1:6" ht="26.4">
      <c r="A59" s="207">
        <v>53</v>
      </c>
      <c r="B59" s="199" t="s">
        <v>3115</v>
      </c>
      <c r="C59" s="208">
        <v>519482.28</v>
      </c>
      <c r="D59" s="209">
        <v>519482.28</v>
      </c>
      <c r="E59" s="208">
        <v>0</v>
      </c>
      <c r="F59" s="207" t="s">
        <v>3082</v>
      </c>
    </row>
    <row r="60" spans="1:6" ht="26.4">
      <c r="A60" s="207">
        <v>54</v>
      </c>
      <c r="B60" s="199" t="s">
        <v>3116</v>
      </c>
      <c r="C60" s="208">
        <v>695774.07</v>
      </c>
      <c r="D60" s="209">
        <v>695774.07</v>
      </c>
      <c r="E60" s="208">
        <v>0</v>
      </c>
      <c r="F60" s="207" t="s">
        <v>3082</v>
      </c>
    </row>
    <row r="61" spans="1:6" ht="26.4">
      <c r="A61" s="207">
        <v>55</v>
      </c>
      <c r="B61" s="199" t="s">
        <v>3117</v>
      </c>
      <c r="C61" s="208">
        <v>54260.99</v>
      </c>
      <c r="D61" s="209">
        <v>0</v>
      </c>
      <c r="E61" s="208">
        <v>0</v>
      </c>
      <c r="F61" s="207" t="s">
        <v>3112</v>
      </c>
    </row>
    <row r="62" spans="1:6" ht="26.4">
      <c r="A62" s="207">
        <v>56</v>
      </c>
      <c r="B62" s="199" t="s">
        <v>3118</v>
      </c>
      <c r="C62" s="208">
        <v>0</v>
      </c>
      <c r="D62" s="209">
        <v>0</v>
      </c>
      <c r="E62" s="208">
        <v>0</v>
      </c>
      <c r="F62" s="207" t="s">
        <v>3112</v>
      </c>
    </row>
    <row r="63" spans="1:6" ht="26.4">
      <c r="A63" s="207">
        <v>57</v>
      </c>
      <c r="B63" s="199" t="s">
        <v>3119</v>
      </c>
      <c r="C63" s="208">
        <v>1767709.8</v>
      </c>
      <c r="D63" s="209">
        <v>1734466.98</v>
      </c>
      <c r="E63" s="208">
        <v>0</v>
      </c>
      <c r="F63" s="207" t="s">
        <v>3082</v>
      </c>
    </row>
    <row r="64" spans="1:6" ht="26.4">
      <c r="A64" s="207">
        <v>58</v>
      </c>
      <c r="B64" s="199" t="s">
        <v>3120</v>
      </c>
      <c r="C64" s="208">
        <v>520000</v>
      </c>
      <c r="D64" s="209">
        <v>0</v>
      </c>
      <c r="E64" s="208">
        <v>0</v>
      </c>
      <c r="F64" s="207" t="s">
        <v>3112</v>
      </c>
    </row>
    <row r="65" spans="1:6" ht="41.1" customHeight="1">
      <c r="A65" s="207">
        <v>59</v>
      </c>
      <c r="B65" s="199" t="s">
        <v>3121</v>
      </c>
      <c r="C65" s="208">
        <v>390000</v>
      </c>
      <c r="D65" s="209">
        <v>0</v>
      </c>
      <c r="E65" s="208">
        <v>0</v>
      </c>
      <c r="F65" s="207" t="s">
        <v>3112</v>
      </c>
    </row>
    <row r="66" spans="1:6" ht="26.4">
      <c r="A66" s="207">
        <v>60</v>
      </c>
      <c r="B66" s="199" t="s">
        <v>3122</v>
      </c>
      <c r="C66" s="208">
        <v>275600</v>
      </c>
      <c r="D66" s="209">
        <v>0</v>
      </c>
      <c r="E66" s="208">
        <v>0</v>
      </c>
      <c r="F66" s="207" t="s">
        <v>3112</v>
      </c>
    </row>
    <row r="67" spans="1:6" ht="26.4">
      <c r="A67" s="207">
        <v>61</v>
      </c>
      <c r="B67" s="199" t="s">
        <v>3123</v>
      </c>
      <c r="C67" s="208">
        <v>415683.62</v>
      </c>
      <c r="D67" s="209">
        <v>0</v>
      </c>
      <c r="E67" s="208">
        <v>0</v>
      </c>
      <c r="F67" s="207" t="s">
        <v>3112</v>
      </c>
    </row>
    <row r="68" spans="1:6" ht="26.4">
      <c r="A68" s="207">
        <v>62</v>
      </c>
      <c r="B68" s="199" t="s">
        <v>3124</v>
      </c>
      <c r="C68" s="208">
        <v>260000</v>
      </c>
      <c r="D68" s="209">
        <v>0</v>
      </c>
      <c r="E68" s="208">
        <v>0</v>
      </c>
      <c r="F68" s="207" t="s">
        <v>3112</v>
      </c>
    </row>
    <row r="69" spans="1:6" ht="26.4">
      <c r="A69" s="207">
        <v>63</v>
      </c>
      <c r="B69" s="199" t="s">
        <v>3125</v>
      </c>
      <c r="C69" s="208">
        <v>195000</v>
      </c>
      <c r="D69" s="209">
        <v>0</v>
      </c>
      <c r="E69" s="208">
        <v>0</v>
      </c>
      <c r="F69" s="207" t="s">
        <v>3112</v>
      </c>
    </row>
    <row r="70" spans="1:6" ht="39.6">
      <c r="A70" s="207">
        <v>64</v>
      </c>
      <c r="B70" s="199" t="s">
        <v>3126</v>
      </c>
      <c r="C70" s="208">
        <v>10800000</v>
      </c>
      <c r="D70" s="209">
        <v>10800000</v>
      </c>
      <c r="E70" s="208">
        <v>0</v>
      </c>
      <c r="F70" s="207" t="s">
        <v>3082</v>
      </c>
    </row>
    <row r="71" spans="1:6" ht="26.4">
      <c r="A71" s="207">
        <v>65</v>
      </c>
      <c r="B71" s="199" t="s">
        <v>3127</v>
      </c>
      <c r="C71" s="208">
        <v>23400000</v>
      </c>
      <c r="D71" s="209">
        <v>0</v>
      </c>
      <c r="E71" s="208">
        <v>0</v>
      </c>
      <c r="F71" s="207" t="s">
        <v>3112</v>
      </c>
    </row>
    <row r="72" spans="1:6" ht="26.4">
      <c r="A72" s="207">
        <v>66</v>
      </c>
      <c r="B72" s="199" t="s">
        <v>3128</v>
      </c>
      <c r="C72" s="208">
        <v>7200000</v>
      </c>
      <c r="D72" s="209">
        <v>0</v>
      </c>
      <c r="E72" s="208">
        <v>0</v>
      </c>
      <c r="F72" s="207" t="s">
        <v>3112</v>
      </c>
    </row>
    <row r="73" spans="1:6" ht="14.4">
      <c r="A73" s="207">
        <v>67</v>
      </c>
      <c r="B73" s="199" t="s">
        <v>3129</v>
      </c>
      <c r="C73" s="208">
        <v>46200000</v>
      </c>
      <c r="D73" s="209">
        <v>46200000</v>
      </c>
      <c r="E73" s="208">
        <v>8591021.7100000009</v>
      </c>
      <c r="F73" s="207"/>
    </row>
    <row r="74" spans="1:6" ht="14.4">
      <c r="A74" s="207">
        <v>68</v>
      </c>
      <c r="B74" s="199" t="s">
        <v>3130</v>
      </c>
      <c r="C74" s="208">
        <v>26850000</v>
      </c>
      <c r="D74" s="209">
        <v>20600000</v>
      </c>
      <c r="E74" s="208">
        <v>657664.17000000004</v>
      </c>
      <c r="F74" s="207"/>
    </row>
    <row r="75" spans="1:6" ht="26.4">
      <c r="A75" s="207">
        <v>69</v>
      </c>
      <c r="B75" s="199" t="s">
        <v>3131</v>
      </c>
      <c r="C75" s="208">
        <v>5000000</v>
      </c>
      <c r="D75" s="209">
        <v>5000000</v>
      </c>
      <c r="E75" s="208">
        <v>660483.91</v>
      </c>
      <c r="F75" s="207"/>
    </row>
    <row r="76" spans="1:6" ht="39.6">
      <c r="A76" s="207">
        <v>72</v>
      </c>
      <c r="B76" s="199" t="s">
        <v>3132</v>
      </c>
      <c r="C76" s="208">
        <v>8177003.3499999996</v>
      </c>
      <c r="D76" s="209">
        <v>8177003.3499999996</v>
      </c>
      <c r="E76" s="208">
        <v>203152.23</v>
      </c>
      <c r="F76" s="207"/>
    </row>
    <row r="77" spans="1:6" ht="52.8">
      <c r="A77" s="207">
        <v>71</v>
      </c>
      <c r="B77" s="199" t="s">
        <v>3133</v>
      </c>
      <c r="C77" s="208">
        <v>5950000</v>
      </c>
      <c r="D77" s="209">
        <v>5950000</v>
      </c>
      <c r="E77" s="208">
        <v>105159.05</v>
      </c>
      <c r="F77" s="207"/>
    </row>
    <row r="78" spans="1:6" ht="39.6">
      <c r="A78" s="207">
        <v>70</v>
      </c>
      <c r="B78" s="199" t="s">
        <v>3134</v>
      </c>
      <c r="C78" s="208">
        <v>22500000</v>
      </c>
      <c r="D78" s="209">
        <v>22500000</v>
      </c>
      <c r="E78" s="208">
        <v>558997.57999999996</v>
      </c>
      <c r="F78" s="207"/>
    </row>
    <row r="79" spans="1:6" ht="14.4">
      <c r="A79" s="627" t="s">
        <v>606</v>
      </c>
      <c r="B79" s="628"/>
      <c r="C79" s="210">
        <f>SUM(C7:C78)</f>
        <v>1046636100.41</v>
      </c>
      <c r="D79" s="210">
        <v>995087619.01999998</v>
      </c>
      <c r="E79" s="210">
        <f>SUM(E7:E78)</f>
        <v>190358458.16000012</v>
      </c>
    </row>
    <row r="81" spans="4:4">
      <c r="D81" s="123"/>
    </row>
  </sheetData>
  <autoFilter ref="A6:C79"/>
  <mergeCells count="1">
    <mergeCell ref="A79:B79"/>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3:M601"/>
  <sheetViews>
    <sheetView zoomScale="80" zoomScaleNormal="80" workbookViewId="0">
      <selection activeCell="A3" sqref="A3"/>
    </sheetView>
  </sheetViews>
  <sheetFormatPr baseColWidth="10" defaultRowHeight="13.8"/>
  <cols>
    <col min="1" max="1" width="10.69921875" style="67"/>
    <col min="2" max="2" width="43.59765625" customWidth="1"/>
    <col min="3" max="3" width="16" customWidth="1"/>
    <col min="4" max="4" width="20.69921875" bestFit="1" customWidth="1"/>
    <col min="5" max="5" width="22" customWidth="1"/>
    <col min="6" max="6" width="22.69921875" customWidth="1"/>
    <col min="7" max="7" width="20.59765625" customWidth="1"/>
    <col min="8" max="8" width="12.59765625" bestFit="1" customWidth="1"/>
    <col min="11" max="11" width="32.59765625" customWidth="1"/>
    <col min="13" max="13" width="17.69921875" bestFit="1" customWidth="1"/>
  </cols>
  <sheetData>
    <row r="3" spans="1:13" ht="16.2">
      <c r="A3" s="10" t="s">
        <v>3135</v>
      </c>
    </row>
    <row r="6" spans="1:13" ht="3" customHeight="1"/>
    <row r="7" spans="1:13" s="75" customFormat="1" ht="37.5" customHeight="1">
      <c r="A7" s="196" t="s">
        <v>2948</v>
      </c>
      <c r="B7" s="196" t="s">
        <v>2949</v>
      </c>
      <c r="C7" s="196" t="s">
        <v>2950</v>
      </c>
      <c r="D7" s="196" t="s">
        <v>2951</v>
      </c>
      <c r="E7" s="196" t="s">
        <v>2952</v>
      </c>
      <c r="F7" s="196" t="s">
        <v>2953</v>
      </c>
      <c r="G7" s="196" t="s">
        <v>2954</v>
      </c>
      <c r="H7" s="196" t="s">
        <v>2955</v>
      </c>
      <c r="I7" s="196" t="s">
        <v>2956</v>
      </c>
      <c r="J7" s="196" t="s">
        <v>2957</v>
      </c>
      <c r="K7" s="196" t="s">
        <v>2958</v>
      </c>
      <c r="L7" s="197"/>
      <c r="M7" s="198"/>
    </row>
    <row r="8" spans="1:13" ht="24" customHeight="1">
      <c r="A8" s="632" t="s">
        <v>2959</v>
      </c>
      <c r="B8" s="632"/>
      <c r="C8" s="632"/>
      <c r="D8" s="632"/>
      <c r="E8" s="632"/>
      <c r="F8" s="632"/>
      <c r="G8" s="632"/>
      <c r="H8" s="632"/>
      <c r="I8" s="632"/>
      <c r="J8" s="632"/>
      <c r="K8" s="632"/>
      <c r="L8" s="8"/>
    </row>
    <row r="9" spans="1:13" ht="14.4">
      <c r="A9" s="13">
        <v>1</v>
      </c>
      <c r="B9" s="199" t="s">
        <v>2960</v>
      </c>
      <c r="C9" s="102" t="s">
        <v>84</v>
      </c>
      <c r="D9" s="100">
        <v>13000000</v>
      </c>
      <c r="E9" s="100">
        <v>13000000</v>
      </c>
      <c r="F9" s="200">
        <v>13000000</v>
      </c>
      <c r="G9" s="100">
        <v>0</v>
      </c>
      <c r="H9" s="201" t="s">
        <v>2961</v>
      </c>
      <c r="I9" s="100">
        <v>5</v>
      </c>
      <c r="J9" s="100">
        <v>5</v>
      </c>
      <c r="K9" s="101"/>
      <c r="L9" s="8"/>
    </row>
    <row r="10" spans="1:13" ht="52.8">
      <c r="A10" s="13">
        <v>2</v>
      </c>
      <c r="B10" s="199" t="s">
        <v>2962</v>
      </c>
      <c r="C10" s="102" t="s">
        <v>2963</v>
      </c>
      <c r="D10" s="100">
        <v>30000000</v>
      </c>
      <c r="E10" s="100">
        <v>30000000</v>
      </c>
      <c r="F10" s="200">
        <v>30000000</v>
      </c>
      <c r="G10" s="100">
        <v>0</v>
      </c>
      <c r="H10" s="201" t="s">
        <v>2961</v>
      </c>
      <c r="I10" s="100">
        <v>149.6</v>
      </c>
      <c r="J10" s="100">
        <v>149.6</v>
      </c>
      <c r="K10" s="101"/>
      <c r="L10" s="8"/>
    </row>
    <row r="11" spans="1:13" ht="26.4">
      <c r="A11" s="13">
        <v>3</v>
      </c>
      <c r="B11" s="199" t="s">
        <v>2964</v>
      </c>
      <c r="C11" s="102" t="s">
        <v>19</v>
      </c>
      <c r="D11" s="100">
        <v>11000000</v>
      </c>
      <c r="E11" s="100">
        <v>11000000</v>
      </c>
      <c r="F11" s="200">
        <v>11000000</v>
      </c>
      <c r="G11" s="100">
        <v>0</v>
      </c>
      <c r="H11" s="201" t="s">
        <v>2961</v>
      </c>
      <c r="I11" s="100">
        <v>7.85</v>
      </c>
      <c r="J11" s="100">
        <v>7.85</v>
      </c>
      <c r="K11" s="101"/>
      <c r="L11" s="8"/>
    </row>
    <row r="12" spans="1:13" ht="14.4">
      <c r="A12" s="13">
        <v>4</v>
      </c>
      <c r="B12" s="199" t="s">
        <v>2965</v>
      </c>
      <c r="C12" s="102" t="s">
        <v>16</v>
      </c>
      <c r="D12" s="100">
        <v>6000000</v>
      </c>
      <c r="E12" s="100">
        <v>6000000</v>
      </c>
      <c r="F12" s="200">
        <v>6000000</v>
      </c>
      <c r="G12" s="100">
        <v>0</v>
      </c>
      <c r="H12" s="201" t="s">
        <v>2961</v>
      </c>
      <c r="I12" s="100">
        <v>4.66</v>
      </c>
      <c r="J12" s="100">
        <v>4.66</v>
      </c>
      <c r="K12" s="101"/>
      <c r="L12" s="8"/>
    </row>
    <row r="13" spans="1:13" ht="26.4">
      <c r="A13" s="13">
        <v>5</v>
      </c>
      <c r="B13" s="199" t="s">
        <v>2966</v>
      </c>
      <c r="C13" s="102" t="s">
        <v>499</v>
      </c>
      <c r="D13" s="100">
        <v>10000000</v>
      </c>
      <c r="E13" s="100">
        <v>10000000</v>
      </c>
      <c r="F13" s="200">
        <v>10000000</v>
      </c>
      <c r="G13" s="100">
        <v>0</v>
      </c>
      <c r="H13" s="201" t="s">
        <v>2961</v>
      </c>
      <c r="I13" s="100">
        <v>6.3</v>
      </c>
      <c r="J13" s="100">
        <v>6.3</v>
      </c>
      <c r="K13" s="101"/>
      <c r="L13" s="8"/>
    </row>
    <row r="14" spans="1:13" ht="26.4">
      <c r="A14" s="13">
        <v>6</v>
      </c>
      <c r="B14" s="199" t="s">
        <v>2967</v>
      </c>
      <c r="C14" s="102" t="s">
        <v>2968</v>
      </c>
      <c r="D14" s="100">
        <v>15000000</v>
      </c>
      <c r="E14" s="100">
        <v>15000000</v>
      </c>
      <c r="F14" s="200">
        <v>15000000</v>
      </c>
      <c r="G14" s="100">
        <v>0</v>
      </c>
      <c r="H14" s="201" t="s">
        <v>2961</v>
      </c>
      <c r="I14" s="100">
        <v>16.22</v>
      </c>
      <c r="J14" s="100">
        <v>16.22</v>
      </c>
      <c r="K14" s="101"/>
      <c r="L14" s="8"/>
    </row>
    <row r="15" spans="1:13" ht="26.4">
      <c r="A15" s="13">
        <v>7</v>
      </c>
      <c r="B15" s="199" t="s">
        <v>2969</v>
      </c>
      <c r="C15" s="102" t="s">
        <v>2970</v>
      </c>
      <c r="D15" s="100">
        <v>15000000</v>
      </c>
      <c r="E15" s="100">
        <v>15000000</v>
      </c>
      <c r="F15" s="200">
        <v>15000000</v>
      </c>
      <c r="G15" s="100">
        <v>0</v>
      </c>
      <c r="H15" s="201" t="s">
        <v>2961</v>
      </c>
      <c r="I15" s="100">
        <v>4.5999999999999996</v>
      </c>
      <c r="J15" s="100">
        <v>4.5999999999999996</v>
      </c>
      <c r="K15" s="101"/>
      <c r="L15" s="8"/>
    </row>
    <row r="16" spans="1:13" ht="26.4">
      <c r="A16" s="13">
        <v>8</v>
      </c>
      <c r="B16" s="199" t="s">
        <v>2971</v>
      </c>
      <c r="C16" s="102" t="s">
        <v>2970</v>
      </c>
      <c r="D16" s="100">
        <v>26871393.780000001</v>
      </c>
      <c r="E16" s="100">
        <v>26871393.780000001</v>
      </c>
      <c r="F16" s="200">
        <v>26871393.780000001</v>
      </c>
      <c r="G16" s="100">
        <v>0</v>
      </c>
      <c r="H16" s="201" t="s">
        <v>2961</v>
      </c>
      <c r="I16" s="100">
        <v>7.57</v>
      </c>
      <c r="J16" s="100">
        <v>7.57</v>
      </c>
      <c r="K16" s="101"/>
      <c r="L16" s="8"/>
    </row>
    <row r="17" spans="1:13" ht="26.4">
      <c r="A17" s="13">
        <v>9</v>
      </c>
      <c r="B17" s="199" t="s">
        <v>2972</v>
      </c>
      <c r="C17" s="102" t="s">
        <v>2970</v>
      </c>
      <c r="D17" s="100">
        <v>16128606.220000001</v>
      </c>
      <c r="E17" s="100">
        <v>16128606.220000001</v>
      </c>
      <c r="F17" s="200">
        <v>16128606.220000001</v>
      </c>
      <c r="G17" s="100">
        <v>0</v>
      </c>
      <c r="H17" s="201" t="s">
        <v>2973</v>
      </c>
      <c r="I17" s="202">
        <v>15000</v>
      </c>
      <c r="J17" s="202">
        <v>15000</v>
      </c>
      <c r="K17" s="101"/>
      <c r="L17" s="8"/>
    </row>
    <row r="18" spans="1:13" ht="26.4">
      <c r="A18" s="13">
        <v>10</v>
      </c>
      <c r="B18" s="199" t="s">
        <v>2974</v>
      </c>
      <c r="C18" s="102" t="s">
        <v>19</v>
      </c>
      <c r="D18" s="100">
        <v>10000000</v>
      </c>
      <c r="E18" s="100">
        <v>10000000</v>
      </c>
      <c r="F18" s="200">
        <v>10000000</v>
      </c>
      <c r="G18" s="100">
        <v>0</v>
      </c>
      <c r="H18" s="201" t="s">
        <v>2961</v>
      </c>
      <c r="I18" s="100">
        <v>11</v>
      </c>
      <c r="J18" s="100">
        <v>11</v>
      </c>
      <c r="K18" s="101"/>
      <c r="L18" s="8"/>
    </row>
    <row r="19" spans="1:13" ht="14.4">
      <c r="A19" s="13">
        <v>11</v>
      </c>
      <c r="B19" s="199" t="s">
        <v>2975</v>
      </c>
      <c r="C19" s="102" t="s">
        <v>19</v>
      </c>
      <c r="D19" s="100">
        <v>10000000</v>
      </c>
      <c r="E19" s="100">
        <v>10000000</v>
      </c>
      <c r="F19" s="200">
        <v>10000000</v>
      </c>
      <c r="G19" s="100">
        <v>0</v>
      </c>
      <c r="H19" s="201" t="s">
        <v>2973</v>
      </c>
      <c r="I19" s="100">
        <v>10000</v>
      </c>
      <c r="J19" s="100">
        <v>10000</v>
      </c>
      <c r="K19" s="101"/>
      <c r="L19" s="8"/>
    </row>
    <row r="20" spans="1:13" ht="14.4">
      <c r="A20" s="13">
        <v>12</v>
      </c>
      <c r="B20" s="199" t="s">
        <v>2976</v>
      </c>
      <c r="C20" s="102" t="s">
        <v>31</v>
      </c>
      <c r="D20" s="100">
        <v>10000000</v>
      </c>
      <c r="E20" s="100">
        <v>10000000</v>
      </c>
      <c r="F20" s="200">
        <v>10000000</v>
      </c>
      <c r="G20" s="100">
        <v>0</v>
      </c>
      <c r="H20" s="201" t="s">
        <v>2973</v>
      </c>
      <c r="I20" s="100">
        <v>10000</v>
      </c>
      <c r="J20" s="100">
        <v>10000</v>
      </c>
      <c r="K20" s="101"/>
      <c r="L20" s="8"/>
    </row>
    <row r="21" spans="1:13" ht="31.2" customHeight="1">
      <c r="A21" s="13">
        <v>13</v>
      </c>
      <c r="B21" s="199" t="s">
        <v>2977</v>
      </c>
      <c r="C21" s="102" t="s">
        <v>2970</v>
      </c>
      <c r="D21" s="100">
        <v>5000000</v>
      </c>
      <c r="E21" s="100">
        <v>5000000</v>
      </c>
      <c r="F21" s="200">
        <v>5000000</v>
      </c>
      <c r="G21" s="100">
        <v>0</v>
      </c>
      <c r="H21" s="201" t="s">
        <v>2961</v>
      </c>
      <c r="I21" s="100">
        <v>3.84</v>
      </c>
      <c r="J21" s="100">
        <v>3.84</v>
      </c>
      <c r="K21" s="101"/>
      <c r="L21" s="8"/>
    </row>
    <row r="22" spans="1:13" ht="39.6">
      <c r="A22" s="13">
        <v>14</v>
      </c>
      <c r="B22" s="199" t="s">
        <v>2978</v>
      </c>
      <c r="C22" s="102" t="s">
        <v>2979</v>
      </c>
      <c r="D22" s="100">
        <v>10000000</v>
      </c>
      <c r="E22" s="100">
        <v>10000000</v>
      </c>
      <c r="F22" s="200">
        <v>10000000</v>
      </c>
      <c r="G22" s="100">
        <v>0</v>
      </c>
      <c r="H22" s="201" t="s">
        <v>2980</v>
      </c>
      <c r="I22" s="100">
        <v>10000</v>
      </c>
      <c r="J22" s="100">
        <v>10000</v>
      </c>
      <c r="K22" s="101"/>
      <c r="L22" s="8"/>
    </row>
    <row r="23" spans="1:13" ht="26.4">
      <c r="A23" s="13">
        <v>15</v>
      </c>
      <c r="B23" s="199" t="s">
        <v>2981</v>
      </c>
      <c r="C23" s="102" t="s">
        <v>2970</v>
      </c>
      <c r="D23" s="100">
        <v>5000000</v>
      </c>
      <c r="E23" s="100">
        <v>5000000</v>
      </c>
      <c r="F23" s="200">
        <v>5000000</v>
      </c>
      <c r="G23" s="100">
        <v>0</v>
      </c>
      <c r="H23" s="201" t="s">
        <v>2961</v>
      </c>
      <c r="I23" s="100">
        <v>70</v>
      </c>
      <c r="J23" s="100">
        <v>70</v>
      </c>
      <c r="K23" s="101"/>
      <c r="L23" s="8"/>
    </row>
    <row r="24" spans="1:13" ht="26.4">
      <c r="A24" s="13">
        <v>16</v>
      </c>
      <c r="B24" s="199" t="s">
        <v>2982</v>
      </c>
      <c r="C24" s="102" t="s">
        <v>2970</v>
      </c>
      <c r="D24" s="100">
        <v>7500000</v>
      </c>
      <c r="E24" s="100">
        <v>7500000</v>
      </c>
      <c r="F24" s="200">
        <v>7500000</v>
      </c>
      <c r="G24" s="100">
        <v>0</v>
      </c>
      <c r="H24" s="201" t="s">
        <v>2961</v>
      </c>
      <c r="I24" s="100">
        <v>115</v>
      </c>
      <c r="J24" s="100">
        <v>115</v>
      </c>
      <c r="K24" s="101"/>
      <c r="L24" s="8"/>
    </row>
    <row r="25" spans="1:13" ht="26.4">
      <c r="A25" s="13">
        <v>17</v>
      </c>
      <c r="B25" s="199" t="s">
        <v>2983</v>
      </c>
      <c r="C25" s="102" t="s">
        <v>2979</v>
      </c>
      <c r="D25" s="100">
        <v>6000000</v>
      </c>
      <c r="E25" s="100">
        <v>6000000</v>
      </c>
      <c r="F25" s="200">
        <v>6000000</v>
      </c>
      <c r="G25" s="100">
        <v>0</v>
      </c>
      <c r="H25" s="201" t="s">
        <v>2961</v>
      </c>
      <c r="I25" s="100">
        <v>230</v>
      </c>
      <c r="J25" s="100">
        <v>230</v>
      </c>
      <c r="K25" s="101"/>
      <c r="L25" s="8"/>
    </row>
    <row r="26" spans="1:13" ht="26.4">
      <c r="A26" s="13">
        <v>18</v>
      </c>
      <c r="B26" s="199" t="s">
        <v>2984</v>
      </c>
      <c r="C26" s="102" t="s">
        <v>2979</v>
      </c>
      <c r="D26" s="100">
        <v>6000000</v>
      </c>
      <c r="E26" s="100">
        <v>6000000</v>
      </c>
      <c r="F26" s="200">
        <v>6000000</v>
      </c>
      <c r="G26" s="100">
        <v>0</v>
      </c>
      <c r="H26" s="201" t="s">
        <v>2961</v>
      </c>
      <c r="I26" s="100">
        <v>350</v>
      </c>
      <c r="J26" s="100">
        <v>350</v>
      </c>
      <c r="K26" s="101"/>
      <c r="L26" s="8"/>
    </row>
    <row r="27" spans="1:13" ht="26.4">
      <c r="A27" s="13">
        <v>19</v>
      </c>
      <c r="B27" s="199" t="s">
        <v>2985</v>
      </c>
      <c r="C27" s="102" t="s">
        <v>24</v>
      </c>
      <c r="D27" s="100">
        <v>15000000</v>
      </c>
      <c r="E27" s="100">
        <v>15000000</v>
      </c>
      <c r="F27" s="200">
        <v>15000000</v>
      </c>
      <c r="G27" s="100">
        <v>0</v>
      </c>
      <c r="H27" s="201" t="s">
        <v>2961</v>
      </c>
      <c r="I27" s="100">
        <v>10.98</v>
      </c>
      <c r="J27" s="100">
        <v>10.98</v>
      </c>
      <c r="K27" s="101"/>
      <c r="L27" s="8"/>
      <c r="M27" s="122">
        <f>+E38+497021372.36</f>
        <v>800172961.34000003</v>
      </c>
    </row>
    <row r="28" spans="1:13" ht="26.4">
      <c r="A28" s="13">
        <v>20</v>
      </c>
      <c r="B28" s="199" t="s">
        <v>2986</v>
      </c>
      <c r="C28" s="102" t="s">
        <v>84</v>
      </c>
      <c r="D28" s="100">
        <v>10000000</v>
      </c>
      <c r="E28" s="100">
        <v>10000000</v>
      </c>
      <c r="F28" s="200">
        <v>10000000</v>
      </c>
      <c r="G28" s="100">
        <v>0</v>
      </c>
      <c r="H28" s="201" t="s">
        <v>2961</v>
      </c>
      <c r="I28" s="100">
        <v>2.2999999999999998</v>
      </c>
      <c r="J28" s="100">
        <v>2.2999999999999998</v>
      </c>
      <c r="K28" s="101"/>
      <c r="L28" s="8"/>
      <c r="M28" s="123">
        <f>+M27+E61</f>
        <v>806056296.58000004</v>
      </c>
    </row>
    <row r="29" spans="1:13" ht="26.4">
      <c r="A29" s="13">
        <v>21</v>
      </c>
      <c r="B29" s="199" t="s">
        <v>2987</v>
      </c>
      <c r="C29" s="102" t="s">
        <v>84</v>
      </c>
      <c r="D29" s="100">
        <v>5000000</v>
      </c>
      <c r="E29" s="100">
        <v>5000000</v>
      </c>
      <c r="F29" s="200">
        <v>5000000</v>
      </c>
      <c r="G29" s="100">
        <v>0</v>
      </c>
      <c r="H29" s="201" t="s">
        <v>2961</v>
      </c>
      <c r="I29" s="100">
        <v>2.2999999999999998</v>
      </c>
      <c r="J29" s="100">
        <v>2.2999999999999998</v>
      </c>
      <c r="K29" s="101"/>
      <c r="L29" s="8"/>
    </row>
    <row r="30" spans="1:13" ht="26.4">
      <c r="A30" s="13">
        <v>22</v>
      </c>
      <c r="B30" s="199" t="s">
        <v>2988</v>
      </c>
      <c r="C30" s="102" t="s">
        <v>84</v>
      </c>
      <c r="D30" s="100">
        <v>10000000</v>
      </c>
      <c r="E30" s="100">
        <v>9266944.3300000001</v>
      </c>
      <c r="F30" s="200">
        <v>9433134.9100000001</v>
      </c>
      <c r="G30" s="100">
        <f>D30-F30</f>
        <v>566865.08999999985</v>
      </c>
      <c r="H30" s="201" t="s">
        <v>2973</v>
      </c>
      <c r="I30" s="100">
        <v>10000</v>
      </c>
      <c r="J30" s="100">
        <v>10000</v>
      </c>
      <c r="K30" s="101"/>
      <c r="L30" s="8"/>
    </row>
    <row r="31" spans="1:13" ht="26.4">
      <c r="A31" s="13">
        <v>23</v>
      </c>
      <c r="B31" s="199" t="s">
        <v>2989</v>
      </c>
      <c r="C31" s="102" t="s">
        <v>2970</v>
      </c>
      <c r="D31" s="100">
        <v>10000000</v>
      </c>
      <c r="E31" s="100">
        <v>10000000</v>
      </c>
      <c r="F31" s="200">
        <v>10000000</v>
      </c>
      <c r="G31" s="100">
        <v>0</v>
      </c>
      <c r="H31" s="201"/>
      <c r="I31" s="100"/>
      <c r="J31" s="100"/>
      <c r="K31" s="101"/>
      <c r="L31" s="8"/>
    </row>
    <row r="32" spans="1:13" ht="26.4">
      <c r="A32" s="13">
        <v>24</v>
      </c>
      <c r="B32" s="199" t="s">
        <v>2990</v>
      </c>
      <c r="C32" s="102" t="s">
        <v>89</v>
      </c>
      <c r="D32" s="100">
        <v>15000000</v>
      </c>
      <c r="E32" s="100">
        <v>15000000</v>
      </c>
      <c r="F32" s="200">
        <v>15000000</v>
      </c>
      <c r="G32" s="100">
        <v>0</v>
      </c>
      <c r="H32" s="201" t="s">
        <v>2961</v>
      </c>
      <c r="I32" s="100">
        <v>1.4</v>
      </c>
      <c r="J32" s="100">
        <v>1.4</v>
      </c>
      <c r="K32" s="101"/>
      <c r="L32" s="8"/>
    </row>
    <row r="33" spans="1:12" ht="26.4">
      <c r="A33" s="13">
        <v>25</v>
      </c>
      <c r="B33" s="199" t="s">
        <v>2991</v>
      </c>
      <c r="C33" s="102" t="s">
        <v>89</v>
      </c>
      <c r="D33" s="100">
        <v>5000000</v>
      </c>
      <c r="E33" s="100">
        <v>5000000</v>
      </c>
      <c r="F33" s="200">
        <v>5000000</v>
      </c>
      <c r="G33" s="100">
        <v>0</v>
      </c>
      <c r="H33" s="201" t="s">
        <v>2961</v>
      </c>
      <c r="I33" s="100">
        <v>3.67</v>
      </c>
      <c r="J33" s="100">
        <v>3.67</v>
      </c>
      <c r="K33" s="101"/>
      <c r="L33" s="8"/>
    </row>
    <row r="34" spans="1:12" ht="26.4">
      <c r="A34" s="13">
        <v>26</v>
      </c>
      <c r="B34" s="199" t="s">
        <v>2992</v>
      </c>
      <c r="C34" s="102" t="s">
        <v>2970</v>
      </c>
      <c r="D34" s="100">
        <v>5500000</v>
      </c>
      <c r="E34" s="100">
        <v>5500000</v>
      </c>
      <c r="F34" s="200">
        <v>5500000</v>
      </c>
      <c r="G34" s="100">
        <v>0</v>
      </c>
      <c r="H34" s="201" t="s">
        <v>2961</v>
      </c>
      <c r="I34" s="100">
        <v>2.7</v>
      </c>
      <c r="J34" s="100">
        <v>2.7</v>
      </c>
      <c r="K34" s="101"/>
      <c r="L34" s="8"/>
    </row>
    <row r="35" spans="1:12" ht="26.4">
      <c r="A35" s="13">
        <v>27</v>
      </c>
      <c r="B35" s="199" t="s">
        <v>2993</v>
      </c>
      <c r="C35" s="102" t="s">
        <v>16</v>
      </c>
      <c r="D35" s="100">
        <v>9500000</v>
      </c>
      <c r="E35" s="100">
        <v>9500000</v>
      </c>
      <c r="F35" s="200">
        <v>9500000</v>
      </c>
      <c r="G35" s="100">
        <v>0</v>
      </c>
      <c r="H35" s="201" t="s">
        <v>2961</v>
      </c>
      <c r="I35" s="100">
        <v>14</v>
      </c>
      <c r="J35" s="100">
        <v>14</v>
      </c>
      <c r="K35" s="101"/>
      <c r="L35" s="8"/>
    </row>
    <row r="36" spans="1:12" ht="26.4">
      <c r="A36" s="13">
        <v>28</v>
      </c>
      <c r="B36" s="199" t="s">
        <v>2994</v>
      </c>
      <c r="C36" s="102" t="s">
        <v>16</v>
      </c>
      <c r="D36" s="100">
        <v>2500000</v>
      </c>
      <c r="E36" s="100">
        <v>1384644.65</v>
      </c>
      <c r="F36" s="200">
        <v>1384644.65</v>
      </c>
      <c r="G36" s="100">
        <f>D36-E36</f>
        <v>1115355.3500000001</v>
      </c>
      <c r="H36" s="201"/>
      <c r="I36" s="100">
        <v>0</v>
      </c>
      <c r="J36" s="100">
        <v>0</v>
      </c>
      <c r="K36" s="101"/>
      <c r="L36" s="8"/>
    </row>
    <row r="37" spans="1:12" ht="26.4">
      <c r="A37" s="13">
        <v>29</v>
      </c>
      <c r="B37" s="199" t="s">
        <v>2995</v>
      </c>
      <c r="C37" s="102" t="s">
        <v>94</v>
      </c>
      <c r="D37" s="100">
        <v>5000000</v>
      </c>
      <c r="E37" s="100">
        <v>5000000</v>
      </c>
      <c r="F37" s="200">
        <v>5000000</v>
      </c>
      <c r="G37" s="100">
        <v>0</v>
      </c>
      <c r="H37" s="201" t="s">
        <v>2996</v>
      </c>
      <c r="I37" s="100">
        <v>90</v>
      </c>
      <c r="J37" s="100">
        <v>90</v>
      </c>
      <c r="K37" s="101"/>
      <c r="L37" s="8"/>
    </row>
    <row r="38" spans="1:12" ht="14.4">
      <c r="A38" s="633" t="s">
        <v>606</v>
      </c>
      <c r="B38" s="634"/>
      <c r="C38" s="635"/>
      <c r="D38" s="203">
        <f>SUM(D9:D37)</f>
        <v>305000000</v>
      </c>
      <c r="E38" s="203">
        <f>SUM(E9:E37)</f>
        <v>303151588.98000002</v>
      </c>
      <c r="F38" s="203">
        <f>SUM(F9:F37)</f>
        <v>303317779.55999994</v>
      </c>
      <c r="G38" s="203">
        <f>SUM(G9:G37)</f>
        <v>1682220.44</v>
      </c>
      <c r="H38" s="633"/>
      <c r="I38" s="634"/>
      <c r="J38" s="634"/>
      <c r="K38" s="635"/>
      <c r="L38" s="8"/>
    </row>
    <row r="39" spans="1:12" ht="14.4">
      <c r="A39" s="632" t="s">
        <v>2997</v>
      </c>
      <c r="B39" s="632"/>
      <c r="C39" s="632"/>
      <c r="D39" s="632"/>
      <c r="E39" s="632"/>
      <c r="F39" s="632"/>
      <c r="G39" s="632"/>
      <c r="H39" s="632"/>
      <c r="I39" s="632"/>
      <c r="J39" s="632"/>
      <c r="K39" s="632"/>
      <c r="L39" s="8"/>
    </row>
    <row r="40" spans="1:12" ht="26.4">
      <c r="A40" s="13">
        <v>1</v>
      </c>
      <c r="B40" s="199" t="s">
        <v>2998</v>
      </c>
      <c r="C40" s="102" t="s">
        <v>89</v>
      </c>
      <c r="D40" s="100">
        <v>25474411.960000001</v>
      </c>
      <c r="E40" s="100">
        <v>5624306.9800000004</v>
      </c>
      <c r="F40" s="200">
        <v>24836908.219999999</v>
      </c>
      <c r="G40" s="100">
        <f>D40-F40</f>
        <v>637503.74000000209</v>
      </c>
      <c r="H40" s="201" t="s">
        <v>2961</v>
      </c>
      <c r="I40" s="100">
        <v>7.12</v>
      </c>
      <c r="J40" s="100">
        <v>7.12</v>
      </c>
      <c r="K40" s="101"/>
      <c r="L40" s="8"/>
    </row>
    <row r="41" spans="1:12" ht="14.4">
      <c r="A41" s="13">
        <v>2</v>
      </c>
      <c r="B41" s="199" t="s">
        <v>2999</v>
      </c>
      <c r="C41" s="102" t="s">
        <v>84</v>
      </c>
      <c r="D41" s="100">
        <v>3654086.98</v>
      </c>
      <c r="E41" s="100">
        <v>259028.26</v>
      </c>
      <c r="F41" s="200">
        <v>1441609.22</v>
      </c>
      <c r="G41" s="100">
        <f t="shared" ref="G41:G60" si="0">D41-F41</f>
        <v>2212477.7599999998</v>
      </c>
      <c r="H41" s="201" t="s">
        <v>2973</v>
      </c>
      <c r="I41" s="100">
        <v>10000</v>
      </c>
      <c r="J41" s="100">
        <v>10000</v>
      </c>
      <c r="K41" s="101"/>
      <c r="L41" s="8"/>
    </row>
    <row r="42" spans="1:12" ht="14.4">
      <c r="A42" s="13">
        <v>3</v>
      </c>
      <c r="B42" s="199" t="s">
        <v>3000</v>
      </c>
      <c r="C42" s="102" t="s">
        <v>34</v>
      </c>
      <c r="D42" s="100">
        <v>4000000</v>
      </c>
      <c r="E42" s="100">
        <v>0</v>
      </c>
      <c r="F42" s="200">
        <v>520000</v>
      </c>
      <c r="G42" s="100">
        <f t="shared" si="0"/>
        <v>3480000</v>
      </c>
      <c r="H42" s="201" t="s">
        <v>2973</v>
      </c>
      <c r="I42" s="100">
        <v>80000</v>
      </c>
      <c r="J42" s="100">
        <v>0</v>
      </c>
      <c r="K42" s="101"/>
      <c r="L42" s="8"/>
    </row>
    <row r="43" spans="1:12" ht="26.4">
      <c r="A43" s="13">
        <v>4</v>
      </c>
      <c r="B43" s="199" t="s">
        <v>3001</v>
      </c>
      <c r="C43" s="102" t="s">
        <v>31</v>
      </c>
      <c r="D43" s="100">
        <v>3000000</v>
      </c>
      <c r="E43" s="100">
        <v>0</v>
      </c>
      <c r="F43" s="200">
        <v>390000</v>
      </c>
      <c r="G43" s="100">
        <f t="shared" si="0"/>
        <v>2610000</v>
      </c>
      <c r="H43" s="201" t="s">
        <v>2961</v>
      </c>
      <c r="I43" s="100">
        <v>2.7</v>
      </c>
      <c r="J43" s="100">
        <v>0</v>
      </c>
      <c r="K43" s="101"/>
      <c r="L43" s="8"/>
    </row>
    <row r="44" spans="1:12" ht="14.4">
      <c r="A44" s="13">
        <v>5</v>
      </c>
      <c r="B44" s="199" t="s">
        <v>3002</v>
      </c>
      <c r="C44" s="102" t="s">
        <v>84</v>
      </c>
      <c r="D44" s="100">
        <v>417392.21</v>
      </c>
      <c r="E44" s="100">
        <v>0</v>
      </c>
      <c r="F44" s="200">
        <v>54260.99</v>
      </c>
      <c r="G44" s="100">
        <f t="shared" si="0"/>
        <v>363131.22000000003</v>
      </c>
      <c r="H44" s="100">
        <v>0</v>
      </c>
      <c r="I44" s="100">
        <v>0</v>
      </c>
      <c r="J44" s="100">
        <v>0</v>
      </c>
      <c r="K44" s="101"/>
      <c r="L44" s="8"/>
    </row>
    <row r="45" spans="1:12" ht="24" customHeight="1">
      <c r="A45" s="13">
        <v>6</v>
      </c>
      <c r="B45" s="199" t="s">
        <v>3003</v>
      </c>
      <c r="C45" s="102" t="s">
        <v>3004</v>
      </c>
      <c r="D45" s="100">
        <v>2120000</v>
      </c>
      <c r="E45" s="100">
        <v>0</v>
      </c>
      <c r="F45" s="200">
        <v>275600</v>
      </c>
      <c r="G45" s="100">
        <f>D45-F45</f>
        <v>1844400</v>
      </c>
      <c r="H45" s="100">
        <v>0</v>
      </c>
      <c r="I45" s="100">
        <v>0</v>
      </c>
      <c r="J45" s="100">
        <v>0</v>
      </c>
      <c r="K45" s="101"/>
      <c r="L45" s="8"/>
    </row>
    <row r="46" spans="1:12" ht="14.4">
      <c r="A46" s="13">
        <v>7</v>
      </c>
      <c r="B46" s="199" t="s">
        <v>3005</v>
      </c>
      <c r="C46" s="102" t="s">
        <v>2970</v>
      </c>
      <c r="D46" s="100">
        <v>787136</v>
      </c>
      <c r="E46" s="100">
        <v>0</v>
      </c>
      <c r="F46" s="200">
        <v>0</v>
      </c>
      <c r="G46" s="100">
        <f t="shared" si="0"/>
        <v>787136</v>
      </c>
      <c r="H46" s="100">
        <v>0</v>
      </c>
      <c r="I46" s="100">
        <v>0</v>
      </c>
      <c r="J46" s="100">
        <v>0</v>
      </c>
      <c r="K46" s="101"/>
      <c r="L46" s="8"/>
    </row>
    <row r="47" spans="1:12" ht="26.4">
      <c r="A47" s="13">
        <v>8</v>
      </c>
      <c r="B47" s="199" t="s">
        <v>3006</v>
      </c>
      <c r="C47" s="102" t="s">
        <v>26</v>
      </c>
      <c r="D47" s="100">
        <v>3197566.26</v>
      </c>
      <c r="E47" s="100">
        <v>0</v>
      </c>
      <c r="F47" s="200">
        <v>415683.62</v>
      </c>
      <c r="G47" s="100">
        <f t="shared" si="0"/>
        <v>2781882.6399999997</v>
      </c>
      <c r="H47" s="100">
        <v>0</v>
      </c>
      <c r="I47" s="100">
        <v>0</v>
      </c>
      <c r="J47" s="100">
        <v>0</v>
      </c>
      <c r="K47" s="101"/>
      <c r="L47" s="8"/>
    </row>
    <row r="48" spans="1:12" ht="26.4">
      <c r="A48" s="13">
        <v>9</v>
      </c>
      <c r="B48" s="199" t="s">
        <v>3007</v>
      </c>
      <c r="C48" s="102" t="s">
        <v>2979</v>
      </c>
      <c r="D48" s="100">
        <v>3901207.42</v>
      </c>
      <c r="E48" s="100">
        <v>0</v>
      </c>
      <c r="F48" s="200">
        <v>519482.28</v>
      </c>
      <c r="G48" s="100">
        <f t="shared" si="0"/>
        <v>3381725.1399999997</v>
      </c>
      <c r="H48" s="201" t="s">
        <v>2980</v>
      </c>
      <c r="I48" s="202">
        <v>10000</v>
      </c>
      <c r="J48" s="100">
        <v>10000</v>
      </c>
      <c r="K48" s="101"/>
      <c r="L48" s="8"/>
    </row>
    <row r="49" spans="1:12" ht="14.4">
      <c r="A49" s="13">
        <v>10</v>
      </c>
      <c r="B49" s="199" t="s">
        <v>3008</v>
      </c>
      <c r="C49" s="102" t="s">
        <v>2979</v>
      </c>
      <c r="D49" s="100">
        <v>5352108.1500000004</v>
      </c>
      <c r="E49" s="100">
        <v>0</v>
      </c>
      <c r="F49" s="200">
        <v>695774.07</v>
      </c>
      <c r="G49" s="100">
        <f t="shared" si="0"/>
        <v>4656334.08</v>
      </c>
      <c r="H49" s="201" t="s">
        <v>2961</v>
      </c>
      <c r="I49" s="100">
        <v>195</v>
      </c>
      <c r="J49" s="100">
        <v>0</v>
      </c>
      <c r="K49" s="101"/>
      <c r="L49" s="8"/>
    </row>
    <row r="50" spans="1:12" ht="14.4">
      <c r="A50" s="13">
        <v>11</v>
      </c>
      <c r="B50" s="199" t="s">
        <v>3009</v>
      </c>
      <c r="C50" s="102" t="s">
        <v>2979</v>
      </c>
      <c r="D50" s="100">
        <v>4720833.8499999996</v>
      </c>
      <c r="E50" s="100">
        <v>0</v>
      </c>
      <c r="F50" s="200">
        <v>613708.41</v>
      </c>
      <c r="G50" s="100">
        <f t="shared" si="0"/>
        <v>4107125.4399999995</v>
      </c>
      <c r="H50" s="201" t="s">
        <v>2961</v>
      </c>
      <c r="I50" s="100">
        <v>172</v>
      </c>
      <c r="J50" s="100">
        <v>0</v>
      </c>
      <c r="K50" s="101"/>
      <c r="L50" s="8"/>
    </row>
    <row r="51" spans="1:12" ht="26.4">
      <c r="A51" s="13">
        <v>12</v>
      </c>
      <c r="B51" s="199" t="s">
        <v>3010</v>
      </c>
      <c r="C51" s="102" t="s">
        <v>499</v>
      </c>
      <c r="D51" s="100">
        <v>3510000</v>
      </c>
      <c r="E51" s="100">
        <v>0</v>
      </c>
      <c r="F51" s="200">
        <v>2099389.15</v>
      </c>
      <c r="G51" s="100">
        <f t="shared" si="0"/>
        <v>1410610.85</v>
      </c>
      <c r="H51" s="201" t="s">
        <v>2961</v>
      </c>
      <c r="I51" s="100">
        <v>2.23</v>
      </c>
      <c r="J51" s="100">
        <v>0</v>
      </c>
      <c r="K51" s="101"/>
      <c r="L51" s="8"/>
    </row>
    <row r="52" spans="1:12" ht="26.4">
      <c r="A52" s="13">
        <v>13</v>
      </c>
      <c r="B52" s="199" t="s">
        <v>3011</v>
      </c>
      <c r="C52" s="102" t="s">
        <v>3012</v>
      </c>
      <c r="D52" s="100">
        <v>23322145.43</v>
      </c>
      <c r="E52" s="100">
        <v>0</v>
      </c>
      <c r="F52" s="200">
        <v>19541689.149999999</v>
      </c>
      <c r="G52" s="100">
        <f t="shared" si="0"/>
        <v>3780456.2800000012</v>
      </c>
      <c r="H52" s="201" t="s">
        <v>2961</v>
      </c>
      <c r="I52" s="100">
        <v>135</v>
      </c>
      <c r="J52" s="100">
        <v>0</v>
      </c>
      <c r="K52" s="101"/>
      <c r="L52" s="8"/>
    </row>
    <row r="53" spans="1:12" ht="26.4">
      <c r="A53" s="13">
        <v>14</v>
      </c>
      <c r="B53" s="199" t="s">
        <v>3013</v>
      </c>
      <c r="C53" s="102"/>
      <c r="D53" s="100">
        <v>31120435</v>
      </c>
      <c r="E53" s="100">
        <v>0</v>
      </c>
      <c r="F53" s="200">
        <v>16797227.800000001</v>
      </c>
      <c r="G53" s="100">
        <f t="shared" si="0"/>
        <v>14323207.199999999</v>
      </c>
      <c r="H53" s="201" t="s">
        <v>2961</v>
      </c>
      <c r="I53" s="100">
        <v>55</v>
      </c>
      <c r="J53" s="100">
        <v>0</v>
      </c>
      <c r="K53" s="101"/>
      <c r="L53" s="8"/>
    </row>
    <row r="54" spans="1:12" ht="26.1" customHeight="1">
      <c r="A54" s="13">
        <v>15</v>
      </c>
      <c r="B54" s="199" t="s">
        <v>3014</v>
      </c>
      <c r="C54" s="102"/>
      <c r="D54" s="100">
        <v>7439782.5</v>
      </c>
      <c r="E54" s="100">
        <v>0</v>
      </c>
      <c r="F54" s="200">
        <v>3461866.07</v>
      </c>
      <c r="G54" s="100">
        <f t="shared" si="0"/>
        <v>3977916.43</v>
      </c>
      <c r="H54" s="201" t="s">
        <v>2961</v>
      </c>
      <c r="I54" s="100">
        <v>140</v>
      </c>
      <c r="J54" s="100">
        <v>0</v>
      </c>
      <c r="K54" s="101"/>
      <c r="L54" s="8"/>
    </row>
    <row r="55" spans="1:12" ht="26.4">
      <c r="A55" s="13">
        <v>16</v>
      </c>
      <c r="B55" s="199" t="s">
        <v>3015</v>
      </c>
      <c r="C55" s="102"/>
      <c r="D55" s="100">
        <v>8333875.5</v>
      </c>
      <c r="E55" s="100">
        <v>0</v>
      </c>
      <c r="F55" s="200">
        <v>961032.66</v>
      </c>
      <c r="G55" s="100">
        <f t="shared" si="0"/>
        <v>7372842.8399999999</v>
      </c>
      <c r="H55" s="201" t="s">
        <v>2961</v>
      </c>
      <c r="I55" s="100">
        <v>90</v>
      </c>
      <c r="J55" s="100">
        <v>0</v>
      </c>
      <c r="K55" s="101"/>
      <c r="L55" s="8"/>
    </row>
    <row r="56" spans="1:12" ht="14.4">
      <c r="A56" s="13">
        <v>17</v>
      </c>
      <c r="B56" s="199" t="s">
        <v>3016</v>
      </c>
      <c r="C56" s="102"/>
      <c r="D56" s="100">
        <v>7986113.7400000002</v>
      </c>
      <c r="E56" s="100">
        <v>0</v>
      </c>
      <c r="F56" s="200">
        <v>7158847.7400000002</v>
      </c>
      <c r="G56" s="100">
        <f t="shared" si="0"/>
        <v>827266</v>
      </c>
      <c r="H56" s="201" t="s">
        <v>2961</v>
      </c>
      <c r="I56" s="100">
        <v>118</v>
      </c>
      <c r="J56" s="100">
        <v>0</v>
      </c>
      <c r="K56" s="101"/>
      <c r="L56" s="8"/>
    </row>
    <row r="57" spans="1:12" ht="14.4">
      <c r="A57" s="13">
        <v>18</v>
      </c>
      <c r="B57" s="199" t="s">
        <v>3017</v>
      </c>
      <c r="C57" s="102"/>
      <c r="D57" s="100">
        <v>5162905</v>
      </c>
      <c r="E57" s="100">
        <v>0</v>
      </c>
      <c r="F57" s="200">
        <v>671177.65</v>
      </c>
      <c r="G57" s="100">
        <f t="shared" si="0"/>
        <v>4491727.3499999996</v>
      </c>
      <c r="H57" s="201" t="s">
        <v>2961</v>
      </c>
      <c r="I57" s="100">
        <v>128</v>
      </c>
      <c r="J57" s="100">
        <v>0</v>
      </c>
      <c r="K57" s="101"/>
      <c r="L57" s="8"/>
    </row>
    <row r="58" spans="1:12" ht="14.4">
      <c r="A58" s="13">
        <v>19</v>
      </c>
      <c r="B58" s="199" t="s">
        <v>3018</v>
      </c>
      <c r="C58" s="102"/>
      <c r="D58" s="100">
        <v>3000000</v>
      </c>
      <c r="E58" s="100">
        <v>0</v>
      </c>
      <c r="F58" s="200">
        <v>0</v>
      </c>
      <c r="G58" s="100">
        <f t="shared" si="0"/>
        <v>3000000</v>
      </c>
      <c r="H58" s="100">
        <v>0</v>
      </c>
      <c r="I58" s="100">
        <v>0</v>
      </c>
      <c r="J58" s="100">
        <v>0</v>
      </c>
      <c r="K58" s="101"/>
      <c r="L58" s="8"/>
    </row>
    <row r="59" spans="1:12" ht="14.4">
      <c r="A59" s="13">
        <v>20</v>
      </c>
      <c r="B59" s="199" t="s">
        <v>3019</v>
      </c>
      <c r="C59" s="102"/>
      <c r="D59" s="100">
        <v>2000000</v>
      </c>
      <c r="E59" s="100">
        <v>0</v>
      </c>
      <c r="F59" s="200">
        <v>260000</v>
      </c>
      <c r="G59" s="100">
        <f t="shared" si="0"/>
        <v>1740000</v>
      </c>
      <c r="H59" s="100">
        <v>0</v>
      </c>
      <c r="I59" s="100">
        <v>0</v>
      </c>
      <c r="J59" s="100">
        <v>0</v>
      </c>
      <c r="K59" s="101"/>
      <c r="L59" s="8"/>
    </row>
    <row r="60" spans="1:12" ht="14.4">
      <c r="A60" s="13">
        <v>21</v>
      </c>
      <c r="B60" s="199" t="s">
        <v>3020</v>
      </c>
      <c r="C60" s="102"/>
      <c r="D60" s="100">
        <v>1500000</v>
      </c>
      <c r="E60" s="100">
        <v>0</v>
      </c>
      <c r="F60" s="200">
        <v>195000</v>
      </c>
      <c r="G60" s="100">
        <f t="shared" si="0"/>
        <v>1305000</v>
      </c>
      <c r="H60" s="100">
        <v>0</v>
      </c>
      <c r="I60" s="100">
        <v>0</v>
      </c>
      <c r="J60" s="100">
        <v>0</v>
      </c>
      <c r="K60" s="101"/>
      <c r="L60" s="8"/>
    </row>
    <row r="61" spans="1:12" ht="14.4">
      <c r="A61" s="633" t="s">
        <v>606</v>
      </c>
      <c r="B61" s="634"/>
      <c r="C61" s="635"/>
      <c r="D61" s="203">
        <f>SUM(D40:D60)</f>
        <v>150000000</v>
      </c>
      <c r="E61" s="203">
        <f>SUM(E40:E60)</f>
        <v>5883335.2400000002</v>
      </c>
      <c r="F61" s="203">
        <f>SUM(F40:F60)</f>
        <v>80909257.029999986</v>
      </c>
      <c r="G61" s="203">
        <f>SUM(G40:G60)</f>
        <v>69090742.969999999</v>
      </c>
      <c r="H61" s="633"/>
      <c r="I61" s="634"/>
      <c r="J61" s="634"/>
      <c r="K61" s="635"/>
      <c r="L61" s="8"/>
    </row>
    <row r="62" spans="1:12" ht="14.4">
      <c r="A62" s="632" t="s">
        <v>3021</v>
      </c>
      <c r="B62" s="632"/>
      <c r="C62" s="632"/>
      <c r="D62" s="632"/>
      <c r="E62" s="632"/>
      <c r="F62" s="632"/>
      <c r="G62" s="632"/>
      <c r="H62" s="632"/>
      <c r="I62" s="632"/>
      <c r="J62" s="632"/>
      <c r="K62" s="632"/>
      <c r="L62" s="8"/>
    </row>
    <row r="63" spans="1:12" ht="14.4">
      <c r="A63" s="13">
        <v>1</v>
      </c>
      <c r="B63" s="199" t="s">
        <v>3022</v>
      </c>
      <c r="C63" s="102" t="s">
        <v>3023</v>
      </c>
      <c r="D63" s="100">
        <v>60000000</v>
      </c>
      <c r="E63" s="100">
        <v>0</v>
      </c>
      <c r="F63" s="200">
        <v>10800000</v>
      </c>
      <c r="G63" s="100">
        <f>D63-F63</f>
        <v>49200000</v>
      </c>
      <c r="H63" s="201" t="s">
        <v>2961</v>
      </c>
      <c r="I63" s="100">
        <v>63</v>
      </c>
      <c r="J63" s="100">
        <v>0</v>
      </c>
      <c r="K63" s="101"/>
      <c r="L63" s="8"/>
    </row>
    <row r="64" spans="1:12" ht="14.4">
      <c r="A64" s="13">
        <v>2</v>
      </c>
      <c r="B64" s="199" t="s">
        <v>3024</v>
      </c>
      <c r="C64" s="102" t="s">
        <v>3025</v>
      </c>
      <c r="D64" s="100">
        <v>40000000</v>
      </c>
      <c r="E64" s="100">
        <v>0</v>
      </c>
      <c r="F64" s="200">
        <v>7200000</v>
      </c>
      <c r="G64" s="100">
        <f t="shared" ref="G64:G67" si="1">D64-F64</f>
        <v>32800000</v>
      </c>
      <c r="H64" s="201" t="s">
        <v>2961</v>
      </c>
      <c r="I64" s="100">
        <v>230</v>
      </c>
      <c r="J64" s="100">
        <v>0</v>
      </c>
      <c r="K64" s="101"/>
      <c r="L64" s="8"/>
    </row>
    <row r="65" spans="1:13" ht="14.4">
      <c r="A65" s="13">
        <v>3</v>
      </c>
      <c r="B65" s="199" t="s">
        <v>3026</v>
      </c>
      <c r="C65" s="102" t="s">
        <v>3027</v>
      </c>
      <c r="D65" s="100">
        <v>130000000</v>
      </c>
      <c r="E65" s="100">
        <v>0</v>
      </c>
      <c r="F65" s="200">
        <v>23400000</v>
      </c>
      <c r="G65" s="100">
        <f t="shared" si="1"/>
        <v>106600000</v>
      </c>
      <c r="H65" s="201" t="s">
        <v>2961</v>
      </c>
      <c r="I65" s="100">
        <f>137+130+150+140+147+142</f>
        <v>846</v>
      </c>
      <c r="J65" s="100">
        <v>0</v>
      </c>
      <c r="K65" s="101"/>
      <c r="L65" s="8"/>
    </row>
    <row r="66" spans="1:13" ht="14.4">
      <c r="A66" s="13">
        <v>4</v>
      </c>
      <c r="B66" s="199" t="s">
        <v>3028</v>
      </c>
      <c r="C66" s="102" t="s">
        <v>84</v>
      </c>
      <c r="D66" s="100">
        <v>20000000</v>
      </c>
      <c r="E66" s="100">
        <v>0</v>
      </c>
      <c r="F66" s="100">
        <v>0</v>
      </c>
      <c r="G66" s="100">
        <f t="shared" si="1"/>
        <v>20000000</v>
      </c>
      <c r="H66" s="201" t="s">
        <v>2961</v>
      </c>
      <c r="I66" s="100">
        <v>55</v>
      </c>
      <c r="J66" s="100">
        <v>0</v>
      </c>
      <c r="K66" s="101"/>
      <c r="L66" s="8"/>
    </row>
    <row r="67" spans="1:13" ht="14.4">
      <c r="A67" s="13">
        <v>5</v>
      </c>
      <c r="B67" s="199" t="s">
        <v>3029</v>
      </c>
      <c r="C67" s="102" t="s">
        <v>84</v>
      </c>
      <c r="D67" s="100">
        <v>20000000</v>
      </c>
      <c r="E67" s="100">
        <v>0</v>
      </c>
      <c r="F67" s="100">
        <v>0</v>
      </c>
      <c r="G67" s="100">
        <f t="shared" si="1"/>
        <v>20000000</v>
      </c>
      <c r="H67" s="201" t="s">
        <v>2961</v>
      </c>
      <c r="I67" s="100">
        <v>74</v>
      </c>
      <c r="J67" s="100">
        <v>0</v>
      </c>
      <c r="K67" s="101"/>
      <c r="L67" s="8"/>
      <c r="M67" s="122"/>
    </row>
    <row r="68" spans="1:13" ht="26.4">
      <c r="A68" s="13">
        <v>6</v>
      </c>
      <c r="B68" s="199" t="s">
        <v>3030</v>
      </c>
      <c r="C68" s="102" t="s">
        <v>22</v>
      </c>
      <c r="D68" s="100">
        <v>19000000</v>
      </c>
      <c r="E68" s="100">
        <v>0</v>
      </c>
      <c r="F68" s="100">
        <v>0</v>
      </c>
      <c r="G68" s="100">
        <f>D68-F68</f>
        <v>19000000</v>
      </c>
      <c r="H68" s="201" t="s">
        <v>2961</v>
      </c>
      <c r="I68" s="100">
        <v>51</v>
      </c>
      <c r="J68" s="100">
        <v>0</v>
      </c>
      <c r="K68" s="101"/>
      <c r="L68" s="8"/>
    </row>
    <row r="69" spans="1:13" ht="14.4">
      <c r="A69" s="13">
        <v>7</v>
      </c>
      <c r="B69" s="199" t="s">
        <v>3031</v>
      </c>
      <c r="C69" s="102" t="s">
        <v>22</v>
      </c>
      <c r="D69" s="100">
        <v>11000000</v>
      </c>
      <c r="E69" s="100">
        <v>0</v>
      </c>
      <c r="F69" s="100">
        <v>0</v>
      </c>
      <c r="G69" s="100">
        <f t="shared" ref="G69:G72" si="2">D69-F69</f>
        <v>11000000</v>
      </c>
      <c r="H69" s="201" t="s">
        <v>2961</v>
      </c>
      <c r="I69" s="100">
        <v>118</v>
      </c>
      <c r="J69" s="100">
        <v>0</v>
      </c>
      <c r="K69" s="101"/>
      <c r="L69" s="8"/>
      <c r="M69" s="122"/>
    </row>
    <row r="70" spans="1:13" ht="14.4">
      <c r="A70" s="13">
        <v>8</v>
      </c>
      <c r="B70" s="199" t="s">
        <v>3032</v>
      </c>
      <c r="C70" s="204">
        <v>0</v>
      </c>
      <c r="D70" s="100">
        <v>10000000</v>
      </c>
      <c r="E70" s="100">
        <v>0</v>
      </c>
      <c r="F70" s="100">
        <v>0</v>
      </c>
      <c r="G70" s="100">
        <f t="shared" si="2"/>
        <v>10000000</v>
      </c>
      <c r="H70" s="100">
        <v>0</v>
      </c>
      <c r="I70" s="100">
        <v>0</v>
      </c>
      <c r="J70" s="100">
        <v>0</v>
      </c>
      <c r="K70" s="101"/>
      <c r="L70" s="8"/>
    </row>
    <row r="71" spans="1:13" ht="26.4">
      <c r="A71" s="13">
        <v>9</v>
      </c>
      <c r="B71" s="199" t="s">
        <v>3033</v>
      </c>
      <c r="C71" s="204">
        <v>0</v>
      </c>
      <c r="D71" s="100">
        <v>1500000</v>
      </c>
      <c r="E71" s="100">
        <v>0</v>
      </c>
      <c r="F71" s="100">
        <v>0</v>
      </c>
      <c r="G71" s="100">
        <f t="shared" si="2"/>
        <v>1500000</v>
      </c>
      <c r="H71" s="100">
        <v>0</v>
      </c>
      <c r="I71" s="100">
        <v>0</v>
      </c>
      <c r="J71" s="100">
        <v>0</v>
      </c>
      <c r="K71" s="101"/>
      <c r="L71" s="8"/>
      <c r="M71" s="122"/>
    </row>
    <row r="72" spans="1:13" ht="14.4">
      <c r="A72" s="13">
        <v>10</v>
      </c>
      <c r="B72" s="199" t="s">
        <v>3034</v>
      </c>
      <c r="C72" s="204">
        <v>0</v>
      </c>
      <c r="D72" s="100">
        <v>12500000</v>
      </c>
      <c r="E72" s="100">
        <v>0</v>
      </c>
      <c r="F72" s="100">
        <v>0</v>
      </c>
      <c r="G72" s="100">
        <f t="shared" si="2"/>
        <v>12500000</v>
      </c>
      <c r="H72" s="100">
        <v>0</v>
      </c>
      <c r="I72" s="100">
        <v>0</v>
      </c>
      <c r="J72" s="100">
        <v>0</v>
      </c>
      <c r="K72" s="101"/>
      <c r="L72" s="8"/>
      <c r="M72" s="123"/>
    </row>
    <row r="73" spans="1:13" ht="14.4">
      <c r="A73" s="633" t="s">
        <v>606</v>
      </c>
      <c r="B73" s="634"/>
      <c r="C73" s="635"/>
      <c r="D73" s="203">
        <f>SUM(D63:D72)</f>
        <v>324000000</v>
      </c>
      <c r="E73" s="203">
        <f>SUM(E63:E72)</f>
        <v>0</v>
      </c>
      <c r="F73" s="203">
        <f>SUM(F63:F72)</f>
        <v>41400000</v>
      </c>
      <c r="G73" s="203">
        <f>SUM(G63:G72)</f>
        <v>282600000</v>
      </c>
      <c r="H73" s="633"/>
      <c r="I73" s="634"/>
      <c r="J73" s="634"/>
      <c r="K73" s="635"/>
      <c r="L73" s="8"/>
      <c r="M73" s="123"/>
    </row>
    <row r="74" spans="1:13" ht="14.4">
      <c r="A74" s="632" t="s">
        <v>3035</v>
      </c>
      <c r="B74" s="632"/>
      <c r="C74" s="632"/>
      <c r="D74" s="632"/>
      <c r="E74" s="632"/>
      <c r="F74" s="632"/>
      <c r="G74" s="632"/>
      <c r="H74" s="632"/>
      <c r="I74" s="632"/>
      <c r="J74" s="632"/>
      <c r="K74" s="632"/>
      <c r="L74" s="8"/>
    </row>
    <row r="75" spans="1:13" ht="14.4">
      <c r="A75" s="13">
        <v>1</v>
      </c>
      <c r="B75" s="199" t="s">
        <v>3036</v>
      </c>
      <c r="C75" s="102" t="s">
        <v>3037</v>
      </c>
      <c r="D75" s="100">
        <v>30000000</v>
      </c>
      <c r="E75" s="100">
        <v>0</v>
      </c>
      <c r="F75" s="100">
        <v>0</v>
      </c>
      <c r="G75" s="100">
        <f>D75-F75</f>
        <v>30000000</v>
      </c>
      <c r="H75" s="201"/>
      <c r="I75" s="100"/>
      <c r="J75" s="100"/>
      <c r="K75" s="101"/>
      <c r="L75" s="8"/>
    </row>
    <row r="76" spans="1:13" ht="14.4">
      <c r="A76" s="13">
        <v>2</v>
      </c>
      <c r="B76" s="199" t="s">
        <v>3038</v>
      </c>
      <c r="C76" s="102" t="s">
        <v>22</v>
      </c>
      <c r="D76" s="100">
        <v>30000000</v>
      </c>
      <c r="E76" s="100">
        <v>0</v>
      </c>
      <c r="F76" s="100">
        <v>0</v>
      </c>
      <c r="G76" s="100">
        <f t="shared" ref="G76:G79" si="3">D76-F76</f>
        <v>30000000</v>
      </c>
      <c r="H76" s="201"/>
      <c r="I76" s="100"/>
      <c r="J76" s="100"/>
      <c r="K76" s="101"/>
      <c r="L76" s="8"/>
    </row>
    <row r="77" spans="1:13" ht="14.4">
      <c r="A77" s="13">
        <v>3</v>
      </c>
      <c r="B77" s="199" t="s">
        <v>3039</v>
      </c>
      <c r="C77" s="102" t="s">
        <v>3040</v>
      </c>
      <c r="D77" s="100">
        <v>30000000</v>
      </c>
      <c r="E77" s="100">
        <v>0</v>
      </c>
      <c r="F77" s="100">
        <v>0</v>
      </c>
      <c r="G77" s="100">
        <f t="shared" si="3"/>
        <v>30000000</v>
      </c>
      <c r="H77" s="201"/>
      <c r="I77" s="100"/>
      <c r="J77" s="100"/>
      <c r="K77" s="101"/>
      <c r="L77" s="8"/>
    </row>
    <row r="78" spans="1:13" ht="26.4">
      <c r="A78" s="13">
        <v>5</v>
      </c>
      <c r="B78" s="199" t="s">
        <v>3041</v>
      </c>
      <c r="C78" s="102" t="s">
        <v>3042</v>
      </c>
      <c r="D78" s="100">
        <v>30000000</v>
      </c>
      <c r="E78" s="100">
        <v>0</v>
      </c>
      <c r="F78" s="100">
        <v>0</v>
      </c>
      <c r="G78" s="100">
        <f t="shared" si="3"/>
        <v>30000000</v>
      </c>
      <c r="H78" s="201"/>
      <c r="I78" s="100"/>
      <c r="J78" s="100"/>
      <c r="K78" s="101"/>
      <c r="L78" s="8"/>
    </row>
    <row r="79" spans="1:13" ht="14.4">
      <c r="A79" s="13">
        <v>6</v>
      </c>
      <c r="B79" s="199" t="s">
        <v>3043</v>
      </c>
      <c r="C79" s="102" t="s">
        <v>499</v>
      </c>
      <c r="D79" s="100">
        <v>25000000</v>
      </c>
      <c r="E79" s="100">
        <v>0</v>
      </c>
      <c r="F79" s="100">
        <v>0</v>
      </c>
      <c r="G79" s="100">
        <f t="shared" si="3"/>
        <v>25000000</v>
      </c>
      <c r="H79" s="100"/>
      <c r="I79" s="100"/>
      <c r="J79" s="100"/>
      <c r="K79" s="101"/>
      <c r="L79" s="8"/>
    </row>
    <row r="80" spans="1:13" ht="14.4">
      <c r="A80" s="13">
        <v>8</v>
      </c>
      <c r="B80" s="199" t="s">
        <v>3044</v>
      </c>
      <c r="C80" s="102" t="s">
        <v>499</v>
      </c>
      <c r="D80" s="100">
        <v>10000000</v>
      </c>
      <c r="E80" s="100">
        <v>0</v>
      </c>
      <c r="F80" s="100">
        <v>0</v>
      </c>
      <c r="G80" s="100">
        <f>D80-F80</f>
        <v>10000000</v>
      </c>
      <c r="H80" s="100"/>
      <c r="I80" s="100"/>
      <c r="J80" s="100"/>
      <c r="K80" s="101"/>
      <c r="L80" s="8"/>
    </row>
    <row r="81" spans="1:12" ht="14.4">
      <c r="A81" s="13">
        <v>9</v>
      </c>
      <c r="B81" s="199" t="s">
        <v>3045</v>
      </c>
      <c r="C81" s="102" t="s">
        <v>3004</v>
      </c>
      <c r="D81" s="100">
        <v>18000000</v>
      </c>
      <c r="E81" s="100">
        <v>0</v>
      </c>
      <c r="F81" s="100">
        <v>0</v>
      </c>
      <c r="G81" s="100">
        <f t="shared" ref="G81:G90" si="4">D81-F81</f>
        <v>18000000</v>
      </c>
      <c r="H81" s="100"/>
      <c r="I81" s="100"/>
      <c r="J81" s="100"/>
      <c r="K81" s="101"/>
      <c r="L81" s="8"/>
    </row>
    <row r="82" spans="1:12" ht="14.4">
      <c r="A82" s="13">
        <v>10</v>
      </c>
      <c r="B82" s="199" t="s">
        <v>3046</v>
      </c>
      <c r="C82" s="102" t="s">
        <v>26</v>
      </c>
      <c r="D82" s="100">
        <v>20000000</v>
      </c>
      <c r="E82" s="100">
        <v>0</v>
      </c>
      <c r="F82" s="100">
        <v>0</v>
      </c>
      <c r="G82" s="100">
        <f t="shared" si="4"/>
        <v>20000000</v>
      </c>
      <c r="H82" s="100"/>
      <c r="I82" s="100"/>
      <c r="J82" s="100"/>
      <c r="K82" s="101"/>
      <c r="L82" s="8"/>
    </row>
    <row r="83" spans="1:12" ht="14.4">
      <c r="A83" s="13">
        <v>11</v>
      </c>
      <c r="B83" s="199" t="s">
        <v>3047</v>
      </c>
      <c r="C83" s="102" t="s">
        <v>94</v>
      </c>
      <c r="D83" s="100">
        <v>10000000</v>
      </c>
      <c r="E83" s="100">
        <v>0</v>
      </c>
      <c r="F83" s="100">
        <v>0</v>
      </c>
      <c r="G83" s="100">
        <f t="shared" si="4"/>
        <v>10000000</v>
      </c>
      <c r="H83" s="201"/>
      <c r="I83" s="202"/>
      <c r="J83" s="100"/>
      <c r="K83" s="101"/>
      <c r="L83" s="8"/>
    </row>
    <row r="84" spans="1:12" ht="14.4">
      <c r="A84" s="13">
        <v>12</v>
      </c>
      <c r="B84" s="199" t="s">
        <v>3048</v>
      </c>
      <c r="C84" s="102" t="s">
        <v>94</v>
      </c>
      <c r="D84" s="100">
        <v>10000000</v>
      </c>
      <c r="E84" s="100">
        <v>0</v>
      </c>
      <c r="F84" s="100">
        <v>0</v>
      </c>
      <c r="G84" s="100">
        <f t="shared" si="4"/>
        <v>10000000</v>
      </c>
      <c r="H84" s="201"/>
      <c r="I84" s="100"/>
      <c r="J84" s="100"/>
      <c r="K84" s="101"/>
      <c r="L84" s="8"/>
    </row>
    <row r="85" spans="1:12" ht="14.4">
      <c r="A85" s="13">
        <v>13</v>
      </c>
      <c r="B85" s="199" t="s">
        <v>3049</v>
      </c>
      <c r="C85" s="102" t="s">
        <v>3025</v>
      </c>
      <c r="D85" s="100">
        <v>10000000</v>
      </c>
      <c r="E85" s="100">
        <v>0</v>
      </c>
      <c r="F85" s="100">
        <v>0</v>
      </c>
      <c r="G85" s="100">
        <f t="shared" si="4"/>
        <v>10000000</v>
      </c>
      <c r="H85" s="201"/>
      <c r="I85" s="100"/>
      <c r="J85" s="100"/>
      <c r="K85" s="101"/>
      <c r="L85" s="8"/>
    </row>
    <row r="86" spans="1:12" ht="14.4">
      <c r="A86" s="13">
        <v>14</v>
      </c>
      <c r="B86" s="199" t="s">
        <v>3050</v>
      </c>
      <c r="C86" s="102" t="s">
        <v>499</v>
      </c>
      <c r="D86" s="100">
        <v>10000000</v>
      </c>
      <c r="E86" s="100">
        <v>0</v>
      </c>
      <c r="F86" s="100">
        <v>0</v>
      </c>
      <c r="G86" s="100">
        <f t="shared" si="4"/>
        <v>10000000</v>
      </c>
      <c r="H86" s="201"/>
      <c r="I86" s="100"/>
      <c r="J86" s="100"/>
      <c r="K86" s="101"/>
      <c r="L86" s="8"/>
    </row>
    <row r="87" spans="1:12" ht="14.4">
      <c r="A87" s="13">
        <v>15</v>
      </c>
      <c r="B87" s="199" t="s">
        <v>3051</v>
      </c>
      <c r="C87" s="102"/>
      <c r="D87" s="100">
        <v>20000000</v>
      </c>
      <c r="E87" s="100">
        <v>0</v>
      </c>
      <c r="F87" s="100">
        <v>0</v>
      </c>
      <c r="G87" s="100">
        <f t="shared" si="4"/>
        <v>20000000</v>
      </c>
      <c r="H87" s="201"/>
      <c r="I87" s="100"/>
      <c r="J87" s="100"/>
      <c r="K87" s="101"/>
      <c r="L87" s="8"/>
    </row>
    <row r="88" spans="1:12" ht="39.6">
      <c r="A88" s="13">
        <v>16</v>
      </c>
      <c r="B88" s="199" t="s">
        <v>3052</v>
      </c>
      <c r="C88" s="102" t="s">
        <v>22</v>
      </c>
      <c r="D88" s="100">
        <v>5000000</v>
      </c>
      <c r="E88" s="100">
        <v>0</v>
      </c>
      <c r="F88" s="100">
        <v>0</v>
      </c>
      <c r="G88" s="100">
        <f t="shared" si="4"/>
        <v>5000000</v>
      </c>
      <c r="H88" s="201"/>
      <c r="I88" s="100"/>
      <c r="J88" s="100"/>
      <c r="K88" s="101"/>
      <c r="L88" s="8"/>
    </row>
    <row r="89" spans="1:12" ht="26.4">
      <c r="A89" s="13">
        <v>17</v>
      </c>
      <c r="B89" s="199" t="s">
        <v>3053</v>
      </c>
      <c r="C89" s="102" t="s">
        <v>89</v>
      </c>
      <c r="D89" s="100">
        <v>17000000</v>
      </c>
      <c r="E89" s="100">
        <v>0</v>
      </c>
      <c r="F89" s="100">
        <v>0</v>
      </c>
      <c r="G89" s="100">
        <f t="shared" si="4"/>
        <v>17000000</v>
      </c>
      <c r="H89" s="201"/>
      <c r="I89" s="100"/>
      <c r="J89" s="100"/>
      <c r="K89" s="101"/>
      <c r="L89" s="8"/>
    </row>
    <row r="90" spans="1:12" ht="26.4">
      <c r="A90" s="13">
        <v>18</v>
      </c>
      <c r="B90" s="199" t="s">
        <v>3054</v>
      </c>
      <c r="C90" s="102"/>
      <c r="D90" s="100">
        <v>25000000</v>
      </c>
      <c r="E90" s="100">
        <v>0</v>
      </c>
      <c r="F90" s="100">
        <v>0</v>
      </c>
      <c r="G90" s="100">
        <f t="shared" si="4"/>
        <v>25000000</v>
      </c>
      <c r="H90" s="201"/>
      <c r="I90" s="100"/>
      <c r="J90" s="100"/>
      <c r="K90" s="101"/>
      <c r="L90" s="8"/>
    </row>
    <row r="91" spans="1:12" ht="14.4">
      <c r="A91" s="633" t="s">
        <v>606</v>
      </c>
      <c r="B91" s="634"/>
      <c r="C91" s="635"/>
      <c r="D91" s="203">
        <f>SUM(D75:D90)</f>
        <v>300000000</v>
      </c>
      <c r="E91" s="203">
        <f t="shared" ref="E91:G91" si="5">SUM(E75:E90)</f>
        <v>0</v>
      </c>
      <c r="F91" s="203">
        <f t="shared" si="5"/>
        <v>0</v>
      </c>
      <c r="G91" s="203">
        <f t="shared" si="5"/>
        <v>300000000</v>
      </c>
      <c r="H91" s="633"/>
      <c r="I91" s="634"/>
      <c r="J91" s="634"/>
      <c r="K91" s="635"/>
      <c r="L91" s="8"/>
    </row>
    <row r="92" spans="1:12" ht="7.2" customHeight="1">
      <c r="A92" s="205"/>
      <c r="B92" s="8"/>
      <c r="C92" s="8"/>
      <c r="D92" s="8"/>
      <c r="E92" s="8"/>
      <c r="F92" s="8"/>
      <c r="G92" s="8"/>
      <c r="H92" s="8"/>
      <c r="I92" s="8"/>
      <c r="J92" s="8"/>
      <c r="K92" s="8"/>
      <c r="L92" s="8"/>
    </row>
    <row r="93" spans="1:12" ht="14.4">
      <c r="A93" s="629" t="s">
        <v>606</v>
      </c>
      <c r="B93" s="630"/>
      <c r="C93" s="631"/>
      <c r="D93" s="206">
        <f>D91+D73+D61+D38</f>
        <v>1079000000</v>
      </c>
      <c r="E93" s="206">
        <f>E91+E73+E61+E38</f>
        <v>309034924.22000003</v>
      </c>
      <c r="F93" s="206">
        <f t="shared" ref="F93:G93" si="6">F91+F73+F61+F38</f>
        <v>425627036.58999991</v>
      </c>
      <c r="G93" s="206">
        <f t="shared" si="6"/>
        <v>653372963.41000009</v>
      </c>
      <c r="H93" s="629"/>
      <c r="I93" s="630"/>
      <c r="J93" s="630"/>
      <c r="K93" s="631"/>
      <c r="L93" s="8"/>
    </row>
    <row r="94" spans="1:12" ht="14.4">
      <c r="A94" s="205"/>
      <c r="B94" s="8"/>
      <c r="C94" s="8"/>
      <c r="D94" s="8"/>
      <c r="E94" s="8"/>
      <c r="F94" s="8"/>
      <c r="G94" s="8"/>
      <c r="H94" s="8"/>
      <c r="I94" s="8"/>
      <c r="J94" s="8"/>
      <c r="K94" s="8"/>
      <c r="L94" s="8"/>
    </row>
    <row r="95" spans="1:12" ht="14.4">
      <c r="A95" s="205"/>
      <c r="B95" s="8"/>
      <c r="C95" s="8"/>
      <c r="D95" s="8"/>
      <c r="E95" s="8"/>
      <c r="F95" s="8"/>
      <c r="G95" s="8"/>
      <c r="H95" s="8"/>
      <c r="I95" s="8"/>
      <c r="J95" s="8"/>
      <c r="K95" s="8"/>
      <c r="L95" s="8"/>
    </row>
    <row r="96" spans="1:12" ht="14.4">
      <c r="A96" s="205"/>
      <c r="B96" s="8"/>
      <c r="C96" s="8"/>
      <c r="D96" s="8"/>
      <c r="E96" s="8"/>
      <c r="F96" s="8"/>
      <c r="G96" s="8"/>
      <c r="H96" s="8"/>
      <c r="I96" s="8"/>
      <c r="J96" s="8"/>
      <c r="K96" s="8"/>
      <c r="L96" s="8"/>
    </row>
    <row r="97" spans="1:12" ht="14.4">
      <c r="A97" s="205"/>
      <c r="B97" s="8"/>
      <c r="C97" s="8"/>
      <c r="D97" s="8"/>
      <c r="E97" s="8"/>
      <c r="F97" s="8"/>
      <c r="G97" s="8"/>
      <c r="H97" s="8"/>
      <c r="I97" s="8"/>
      <c r="J97" s="8"/>
      <c r="K97" s="8"/>
      <c r="L97" s="8"/>
    </row>
    <row r="98" spans="1:12" ht="14.4">
      <c r="A98" s="205"/>
      <c r="B98" s="8"/>
      <c r="C98" s="8"/>
      <c r="D98" s="8"/>
      <c r="E98" s="8"/>
      <c r="F98" s="8"/>
      <c r="G98" s="8"/>
      <c r="H98" s="8"/>
      <c r="I98" s="8"/>
      <c r="J98" s="8"/>
      <c r="K98" s="8"/>
      <c r="L98" s="8"/>
    </row>
    <row r="99" spans="1:12" ht="14.4">
      <c r="A99" s="205"/>
      <c r="B99" s="8"/>
      <c r="C99" s="8"/>
      <c r="D99" s="8"/>
      <c r="E99" s="8"/>
      <c r="F99" s="8"/>
      <c r="G99" s="8"/>
      <c r="H99" s="8"/>
      <c r="I99" s="8"/>
      <c r="J99" s="8"/>
      <c r="K99" s="8"/>
      <c r="L99" s="8"/>
    </row>
    <row r="100" spans="1:12" ht="14.4">
      <c r="A100" s="205"/>
      <c r="B100" s="8"/>
      <c r="C100" s="8"/>
      <c r="D100" s="8"/>
      <c r="E100" s="8"/>
      <c r="F100" s="8"/>
      <c r="G100" s="8"/>
      <c r="H100" s="8"/>
      <c r="I100" s="8"/>
      <c r="J100" s="8"/>
      <c r="K100" s="8"/>
      <c r="L100" s="8"/>
    </row>
    <row r="101" spans="1:12" ht="14.4">
      <c r="A101" s="205"/>
      <c r="B101" s="8"/>
      <c r="C101" s="8"/>
      <c r="D101" s="8"/>
      <c r="E101" s="8"/>
      <c r="F101" s="8"/>
      <c r="G101" s="8"/>
      <c r="H101" s="8"/>
      <c r="I101" s="8"/>
      <c r="J101" s="8"/>
      <c r="K101" s="8"/>
      <c r="L101" s="8"/>
    </row>
    <row r="102" spans="1:12" ht="14.4">
      <c r="A102" s="205"/>
      <c r="B102" s="8"/>
      <c r="C102" s="8"/>
      <c r="D102" s="8"/>
      <c r="E102" s="8"/>
      <c r="F102" s="8"/>
      <c r="G102" s="8"/>
      <c r="H102" s="8"/>
      <c r="I102" s="8"/>
      <c r="J102" s="8"/>
      <c r="K102" s="8"/>
      <c r="L102" s="8"/>
    </row>
    <row r="103" spans="1:12" ht="14.4">
      <c r="A103" s="205"/>
      <c r="B103" s="8"/>
      <c r="C103" s="8"/>
      <c r="D103" s="8"/>
      <c r="E103" s="8"/>
      <c r="F103" s="8"/>
      <c r="G103" s="8"/>
      <c r="H103" s="8"/>
      <c r="I103" s="8"/>
      <c r="J103" s="8"/>
      <c r="K103" s="8"/>
      <c r="L103" s="8"/>
    </row>
    <row r="104" spans="1:12" ht="14.4">
      <c r="A104" s="205"/>
      <c r="B104" s="8"/>
      <c r="C104" s="8"/>
      <c r="D104" s="8"/>
      <c r="E104" s="8"/>
      <c r="F104" s="8"/>
      <c r="G104" s="8"/>
      <c r="H104" s="8"/>
      <c r="I104" s="8"/>
      <c r="J104" s="8"/>
      <c r="K104" s="8"/>
      <c r="L104" s="8"/>
    </row>
    <row r="105" spans="1:12" ht="14.4">
      <c r="A105" s="205"/>
      <c r="B105" s="8"/>
      <c r="C105" s="8"/>
      <c r="D105" s="8"/>
      <c r="E105" s="8"/>
      <c r="F105" s="8"/>
      <c r="G105" s="8"/>
      <c r="H105" s="8"/>
      <c r="I105" s="8"/>
      <c r="J105" s="8"/>
      <c r="K105" s="8"/>
      <c r="L105" s="8"/>
    </row>
    <row r="106" spans="1:12" ht="14.4">
      <c r="A106" s="205"/>
      <c r="B106" s="8"/>
      <c r="C106" s="8"/>
      <c r="D106" s="8"/>
      <c r="E106" s="8"/>
      <c r="F106" s="8"/>
      <c r="G106" s="8"/>
      <c r="H106" s="8"/>
      <c r="I106" s="8"/>
      <c r="J106" s="8"/>
      <c r="K106" s="8"/>
      <c r="L106" s="8"/>
    </row>
    <row r="107" spans="1:12" ht="14.4">
      <c r="A107" s="205"/>
      <c r="B107" s="8"/>
      <c r="C107" s="8"/>
      <c r="D107" s="8"/>
      <c r="E107" s="8"/>
      <c r="F107" s="8"/>
      <c r="G107" s="8"/>
      <c r="H107" s="8"/>
      <c r="I107" s="8"/>
      <c r="J107" s="8"/>
      <c r="K107" s="8"/>
      <c r="L107" s="8"/>
    </row>
    <row r="108" spans="1:12" ht="14.4">
      <c r="A108" s="205"/>
      <c r="B108" s="8"/>
      <c r="C108" s="8"/>
      <c r="D108" s="8"/>
      <c r="E108" s="8"/>
      <c r="F108" s="8"/>
      <c r="G108" s="8"/>
      <c r="H108" s="8"/>
      <c r="I108" s="8"/>
      <c r="J108" s="8"/>
      <c r="K108" s="8"/>
      <c r="L108" s="8"/>
    </row>
    <row r="109" spans="1:12" ht="14.4">
      <c r="A109" s="205"/>
      <c r="B109" s="8"/>
      <c r="C109" s="8"/>
      <c r="D109" s="8"/>
      <c r="E109" s="8"/>
      <c r="F109" s="8"/>
      <c r="G109" s="8"/>
      <c r="H109" s="8"/>
      <c r="I109" s="8"/>
      <c r="J109" s="8"/>
      <c r="K109" s="8"/>
      <c r="L109" s="8"/>
    </row>
    <row r="110" spans="1:12" ht="14.4">
      <c r="A110" s="205"/>
      <c r="B110" s="8"/>
      <c r="C110" s="8"/>
      <c r="D110" s="8"/>
      <c r="E110" s="8"/>
      <c r="F110" s="8"/>
      <c r="G110" s="8"/>
      <c r="H110" s="8"/>
      <c r="I110" s="8"/>
      <c r="J110" s="8"/>
      <c r="K110" s="8"/>
      <c r="L110" s="8"/>
    </row>
    <row r="111" spans="1:12" ht="14.4">
      <c r="A111" s="205"/>
      <c r="B111" s="8"/>
      <c r="C111" s="8"/>
      <c r="D111" s="8"/>
      <c r="E111" s="8"/>
      <c r="F111" s="8"/>
      <c r="G111" s="8"/>
      <c r="H111" s="8"/>
      <c r="I111" s="8"/>
      <c r="J111" s="8"/>
      <c r="K111" s="8"/>
      <c r="L111" s="8"/>
    </row>
    <row r="112" spans="1:12" ht="14.4">
      <c r="A112" s="205"/>
      <c r="B112" s="8"/>
      <c r="C112" s="8"/>
      <c r="D112" s="8"/>
      <c r="E112" s="8"/>
      <c r="F112" s="8"/>
      <c r="G112" s="8"/>
      <c r="H112" s="8"/>
      <c r="I112" s="8"/>
      <c r="J112" s="8"/>
      <c r="K112" s="8"/>
      <c r="L112" s="8"/>
    </row>
    <row r="113" spans="1:12" ht="14.4">
      <c r="A113" s="205"/>
      <c r="B113" s="8"/>
      <c r="C113" s="8"/>
      <c r="D113" s="8"/>
      <c r="E113" s="8"/>
      <c r="F113" s="8"/>
      <c r="G113" s="8"/>
      <c r="H113" s="8"/>
      <c r="I113" s="8"/>
      <c r="J113" s="8"/>
      <c r="K113" s="8"/>
      <c r="L113" s="8"/>
    </row>
    <row r="114" spans="1:12" ht="14.4">
      <c r="A114" s="205"/>
      <c r="B114" s="8"/>
      <c r="C114" s="8"/>
      <c r="D114" s="8"/>
      <c r="E114" s="8"/>
      <c r="F114" s="8"/>
      <c r="G114" s="8"/>
      <c r="H114" s="8"/>
      <c r="I114" s="8"/>
      <c r="J114" s="8"/>
      <c r="K114" s="8"/>
      <c r="L114" s="8"/>
    </row>
    <row r="115" spans="1:12" ht="14.4">
      <c r="A115" s="205"/>
      <c r="B115" s="8"/>
      <c r="C115" s="8"/>
      <c r="D115" s="8"/>
      <c r="E115" s="8"/>
      <c r="F115" s="8"/>
      <c r="G115" s="8"/>
      <c r="H115" s="8"/>
      <c r="I115" s="8"/>
      <c r="J115" s="8"/>
      <c r="K115" s="8"/>
      <c r="L115" s="8"/>
    </row>
    <row r="116" spans="1:12" ht="14.4">
      <c r="A116" s="205"/>
      <c r="B116" s="8"/>
      <c r="C116" s="8"/>
      <c r="D116" s="8"/>
      <c r="E116" s="8"/>
      <c r="F116" s="8"/>
      <c r="G116" s="8"/>
      <c r="H116" s="8"/>
      <c r="I116" s="8"/>
      <c r="J116" s="8"/>
      <c r="K116" s="8"/>
      <c r="L116" s="8"/>
    </row>
    <row r="117" spans="1:12" ht="14.4">
      <c r="A117" s="205"/>
      <c r="B117" s="8"/>
      <c r="C117" s="8"/>
      <c r="D117" s="8"/>
      <c r="E117" s="8"/>
      <c r="F117" s="8"/>
      <c r="G117" s="8"/>
      <c r="H117" s="8"/>
      <c r="I117" s="8"/>
      <c r="J117" s="8"/>
      <c r="K117" s="8"/>
      <c r="L117" s="8"/>
    </row>
    <row r="118" spans="1:12" ht="14.4">
      <c r="A118" s="205"/>
      <c r="B118" s="8"/>
      <c r="C118" s="8"/>
      <c r="D118" s="8"/>
      <c r="E118" s="8"/>
      <c r="F118" s="8"/>
      <c r="G118" s="8"/>
      <c r="H118" s="8"/>
      <c r="I118" s="8"/>
      <c r="J118" s="8"/>
      <c r="K118" s="8"/>
      <c r="L118" s="8"/>
    </row>
    <row r="119" spans="1:12" ht="14.4">
      <c r="A119" s="205"/>
      <c r="B119" s="8"/>
      <c r="C119" s="8"/>
      <c r="D119" s="8"/>
      <c r="E119" s="8"/>
      <c r="F119" s="8"/>
      <c r="G119" s="8"/>
      <c r="H119" s="8"/>
      <c r="I119" s="8"/>
      <c r="J119" s="8"/>
      <c r="K119" s="8"/>
      <c r="L119" s="8"/>
    </row>
    <row r="120" spans="1:12" ht="14.4">
      <c r="A120" s="205"/>
      <c r="B120" s="8"/>
      <c r="C120" s="8"/>
      <c r="D120" s="8"/>
      <c r="E120" s="8"/>
      <c r="F120" s="8"/>
      <c r="G120" s="8"/>
      <c r="H120" s="8"/>
      <c r="I120" s="8"/>
      <c r="J120" s="8"/>
      <c r="K120" s="8"/>
      <c r="L120" s="8"/>
    </row>
    <row r="121" spans="1:12" ht="14.4">
      <c r="A121" s="205"/>
      <c r="B121" s="8"/>
      <c r="C121" s="8"/>
      <c r="D121" s="8"/>
      <c r="E121" s="8"/>
      <c r="F121" s="8"/>
      <c r="G121" s="8"/>
      <c r="H121" s="8"/>
      <c r="I121" s="8"/>
      <c r="J121" s="8"/>
      <c r="K121" s="8"/>
      <c r="L121" s="8"/>
    </row>
    <row r="122" spans="1:12" ht="14.4">
      <c r="A122" s="205"/>
      <c r="B122" s="8"/>
      <c r="C122" s="8"/>
      <c r="D122" s="8"/>
      <c r="E122" s="8"/>
      <c r="F122" s="8"/>
      <c r="G122" s="8"/>
      <c r="H122" s="8"/>
      <c r="I122" s="8"/>
      <c r="J122" s="8"/>
      <c r="K122" s="8"/>
      <c r="L122" s="8"/>
    </row>
    <row r="123" spans="1:12" ht="14.4">
      <c r="A123" s="205"/>
      <c r="B123" s="8"/>
      <c r="C123" s="8"/>
      <c r="D123" s="8"/>
      <c r="E123" s="8"/>
      <c r="F123" s="8"/>
      <c r="G123" s="8"/>
      <c r="H123" s="8"/>
      <c r="I123" s="8"/>
      <c r="J123" s="8"/>
      <c r="K123" s="8"/>
      <c r="L123" s="8"/>
    </row>
    <row r="124" spans="1:12" ht="14.4">
      <c r="A124" s="205"/>
      <c r="B124" s="8"/>
      <c r="C124" s="8"/>
      <c r="D124" s="8"/>
      <c r="E124" s="8"/>
      <c r="F124" s="8"/>
      <c r="G124" s="8"/>
      <c r="H124" s="8"/>
      <c r="I124" s="8"/>
      <c r="J124" s="8"/>
      <c r="K124" s="8"/>
      <c r="L124" s="8"/>
    </row>
    <row r="125" spans="1:12" ht="14.4">
      <c r="A125" s="205"/>
      <c r="B125" s="8"/>
      <c r="C125" s="8"/>
      <c r="D125" s="8"/>
      <c r="E125" s="8"/>
      <c r="F125" s="8"/>
      <c r="G125" s="8"/>
      <c r="H125" s="8"/>
      <c r="I125" s="8"/>
      <c r="J125" s="8"/>
      <c r="K125" s="8"/>
      <c r="L125" s="8"/>
    </row>
    <row r="126" spans="1:12" ht="14.4">
      <c r="A126" s="205"/>
      <c r="B126" s="8"/>
      <c r="C126" s="8"/>
      <c r="D126" s="8"/>
      <c r="E126" s="8"/>
      <c r="F126" s="8"/>
      <c r="G126" s="8"/>
      <c r="H126" s="8"/>
      <c r="I126" s="8"/>
      <c r="J126" s="8"/>
      <c r="K126" s="8"/>
      <c r="L126" s="8"/>
    </row>
    <row r="127" spans="1:12" ht="14.4">
      <c r="A127" s="205"/>
      <c r="B127" s="8"/>
      <c r="C127" s="8"/>
      <c r="D127" s="8"/>
      <c r="E127" s="8"/>
      <c r="F127" s="8"/>
      <c r="G127" s="8"/>
      <c r="H127" s="8"/>
      <c r="I127" s="8"/>
      <c r="J127" s="8"/>
      <c r="K127" s="8"/>
      <c r="L127" s="8"/>
    </row>
    <row r="128" spans="1:12" ht="14.4">
      <c r="A128" s="205"/>
      <c r="B128" s="8"/>
      <c r="C128" s="8"/>
      <c r="D128" s="8"/>
      <c r="E128" s="8"/>
      <c r="F128" s="8"/>
      <c r="G128" s="8"/>
      <c r="H128" s="8"/>
      <c r="I128" s="8"/>
      <c r="J128" s="8"/>
      <c r="K128" s="8"/>
      <c r="L128" s="8"/>
    </row>
    <row r="129" spans="1:12" ht="14.4">
      <c r="A129" s="205"/>
      <c r="B129" s="8"/>
      <c r="C129" s="8"/>
      <c r="D129" s="8"/>
      <c r="E129" s="8"/>
      <c r="F129" s="8"/>
      <c r="G129" s="8"/>
      <c r="H129" s="8"/>
      <c r="I129" s="8"/>
      <c r="J129" s="8"/>
      <c r="K129" s="8"/>
      <c r="L129" s="8"/>
    </row>
    <row r="130" spans="1:12" ht="14.4">
      <c r="A130" s="205"/>
      <c r="B130" s="8"/>
      <c r="C130" s="8"/>
      <c r="D130" s="8"/>
      <c r="E130" s="8"/>
      <c r="F130" s="8"/>
      <c r="G130" s="8"/>
      <c r="H130" s="8"/>
      <c r="I130" s="8"/>
      <c r="J130" s="8"/>
      <c r="K130" s="8"/>
      <c r="L130" s="8"/>
    </row>
    <row r="131" spans="1:12" ht="14.4">
      <c r="A131" s="205"/>
      <c r="B131" s="8"/>
      <c r="C131" s="8"/>
      <c r="D131" s="8"/>
      <c r="E131" s="8"/>
      <c r="F131" s="8"/>
      <c r="G131" s="8"/>
      <c r="H131" s="8"/>
      <c r="I131" s="8"/>
      <c r="J131" s="8"/>
      <c r="K131" s="8"/>
      <c r="L131" s="8"/>
    </row>
    <row r="132" spans="1:12" ht="14.4">
      <c r="A132" s="205"/>
      <c r="B132" s="8"/>
      <c r="C132" s="8"/>
      <c r="D132" s="8"/>
      <c r="E132" s="8"/>
      <c r="F132" s="8"/>
      <c r="G132" s="8"/>
      <c r="H132" s="8"/>
      <c r="I132" s="8"/>
      <c r="J132" s="8"/>
      <c r="K132" s="8"/>
      <c r="L132" s="8"/>
    </row>
    <row r="133" spans="1:12" ht="14.4">
      <c r="A133" s="205"/>
      <c r="B133" s="8"/>
      <c r="C133" s="8"/>
      <c r="D133" s="8"/>
      <c r="E133" s="8"/>
      <c r="F133" s="8"/>
      <c r="G133" s="8"/>
      <c r="H133" s="8"/>
      <c r="I133" s="8"/>
      <c r="J133" s="8"/>
      <c r="K133" s="8"/>
      <c r="L133" s="8"/>
    </row>
    <row r="134" spans="1:12" ht="14.4">
      <c r="A134" s="205"/>
      <c r="B134" s="8"/>
      <c r="C134" s="8"/>
      <c r="D134" s="8"/>
      <c r="E134" s="8"/>
      <c r="F134" s="8"/>
      <c r="G134" s="8"/>
      <c r="H134" s="8"/>
      <c r="I134" s="8"/>
      <c r="J134" s="8"/>
      <c r="K134" s="8"/>
      <c r="L134" s="8"/>
    </row>
    <row r="135" spans="1:12" ht="14.4">
      <c r="A135" s="205"/>
      <c r="B135" s="8"/>
      <c r="C135" s="8"/>
      <c r="D135" s="8"/>
      <c r="E135" s="8"/>
      <c r="F135" s="8"/>
      <c r="G135" s="8"/>
      <c r="H135" s="8"/>
      <c r="I135" s="8"/>
      <c r="J135" s="8"/>
      <c r="K135" s="8"/>
      <c r="L135" s="8"/>
    </row>
    <row r="136" spans="1:12" ht="14.4">
      <c r="A136" s="205"/>
      <c r="B136" s="8"/>
      <c r="C136" s="8"/>
      <c r="D136" s="8"/>
      <c r="E136" s="8"/>
      <c r="F136" s="8"/>
      <c r="G136" s="8"/>
      <c r="H136" s="8"/>
      <c r="I136" s="8"/>
      <c r="J136" s="8"/>
      <c r="K136" s="8"/>
      <c r="L136" s="8"/>
    </row>
    <row r="137" spans="1:12" ht="14.4">
      <c r="A137" s="205"/>
      <c r="B137" s="8"/>
      <c r="C137" s="8"/>
      <c r="D137" s="8"/>
      <c r="E137" s="8"/>
      <c r="F137" s="8"/>
      <c r="G137" s="8"/>
      <c r="H137" s="8"/>
      <c r="I137" s="8"/>
      <c r="J137" s="8"/>
      <c r="K137" s="8"/>
      <c r="L137" s="8"/>
    </row>
    <row r="138" spans="1:12" ht="14.4">
      <c r="A138" s="205"/>
      <c r="B138" s="8"/>
      <c r="C138" s="8"/>
      <c r="D138" s="8"/>
      <c r="E138" s="8"/>
      <c r="F138" s="8"/>
      <c r="G138" s="8"/>
      <c r="H138" s="8"/>
      <c r="I138" s="8"/>
      <c r="J138" s="8"/>
      <c r="K138" s="8"/>
      <c r="L138" s="8"/>
    </row>
    <row r="139" spans="1:12" ht="14.4">
      <c r="A139" s="205"/>
      <c r="B139" s="8"/>
      <c r="C139" s="8"/>
      <c r="D139" s="8"/>
      <c r="E139" s="8"/>
      <c r="F139" s="8"/>
      <c r="G139" s="8"/>
      <c r="H139" s="8"/>
      <c r="I139" s="8"/>
      <c r="J139" s="8"/>
      <c r="K139" s="8"/>
      <c r="L139" s="8"/>
    </row>
    <row r="140" spans="1:12" ht="14.4">
      <c r="A140" s="205"/>
      <c r="B140" s="8"/>
      <c r="C140" s="8"/>
      <c r="D140" s="8"/>
      <c r="E140" s="8"/>
      <c r="F140" s="8"/>
      <c r="G140" s="8"/>
      <c r="H140" s="8"/>
      <c r="I140" s="8"/>
      <c r="J140" s="8"/>
      <c r="K140" s="8"/>
      <c r="L140" s="8"/>
    </row>
    <row r="141" spans="1:12" ht="14.4">
      <c r="A141" s="205"/>
      <c r="B141" s="8"/>
      <c r="C141" s="8"/>
      <c r="D141" s="8"/>
      <c r="E141" s="8"/>
      <c r="F141" s="8"/>
      <c r="G141" s="8"/>
      <c r="H141" s="8"/>
      <c r="I141" s="8"/>
      <c r="J141" s="8"/>
      <c r="K141" s="8"/>
      <c r="L141" s="8"/>
    </row>
    <row r="142" spans="1:12" ht="14.4">
      <c r="A142" s="205"/>
      <c r="B142" s="8"/>
      <c r="C142" s="8"/>
      <c r="D142" s="8"/>
      <c r="E142" s="8"/>
      <c r="F142" s="8"/>
      <c r="G142" s="8"/>
      <c r="H142" s="8"/>
      <c r="I142" s="8"/>
      <c r="J142" s="8"/>
      <c r="K142" s="8"/>
      <c r="L142" s="8"/>
    </row>
    <row r="143" spans="1:12" ht="14.4">
      <c r="A143" s="205"/>
      <c r="B143" s="8"/>
      <c r="C143" s="8"/>
      <c r="D143" s="8"/>
      <c r="E143" s="8"/>
      <c r="F143" s="8"/>
      <c r="G143" s="8"/>
      <c r="H143" s="8"/>
      <c r="I143" s="8"/>
      <c r="J143" s="8"/>
      <c r="K143" s="8"/>
      <c r="L143" s="8"/>
    </row>
    <row r="144" spans="1:12" ht="14.4">
      <c r="A144" s="205"/>
      <c r="B144" s="8"/>
      <c r="C144" s="8"/>
      <c r="D144" s="8"/>
      <c r="E144" s="8"/>
      <c r="F144" s="8"/>
      <c r="G144" s="8"/>
      <c r="H144" s="8"/>
      <c r="I144" s="8"/>
      <c r="J144" s="8"/>
      <c r="K144" s="8"/>
      <c r="L144" s="8"/>
    </row>
    <row r="145" spans="1:12" ht="14.4">
      <c r="A145" s="205"/>
      <c r="B145" s="8"/>
      <c r="C145" s="8"/>
      <c r="D145" s="8"/>
      <c r="E145" s="8"/>
      <c r="F145" s="8"/>
      <c r="G145" s="8"/>
      <c r="H145" s="8"/>
      <c r="I145" s="8"/>
      <c r="J145" s="8"/>
      <c r="K145" s="8"/>
      <c r="L145" s="8"/>
    </row>
    <row r="146" spans="1:12" ht="14.4">
      <c r="A146" s="205"/>
      <c r="B146" s="8"/>
      <c r="C146" s="8"/>
      <c r="D146" s="8"/>
      <c r="E146" s="8"/>
      <c r="F146" s="8"/>
      <c r="G146" s="8"/>
      <c r="H146" s="8"/>
      <c r="I146" s="8"/>
      <c r="J146" s="8"/>
      <c r="K146" s="8"/>
      <c r="L146" s="8"/>
    </row>
    <row r="147" spans="1:12" ht="14.4">
      <c r="A147" s="205"/>
      <c r="B147" s="8"/>
      <c r="C147" s="8"/>
      <c r="D147" s="8"/>
      <c r="E147" s="8"/>
      <c r="F147" s="8"/>
      <c r="G147" s="8"/>
      <c r="H147" s="8"/>
      <c r="I147" s="8"/>
      <c r="J147" s="8"/>
      <c r="K147" s="8"/>
      <c r="L147" s="8"/>
    </row>
    <row r="148" spans="1:12" ht="14.4">
      <c r="A148" s="205"/>
      <c r="B148" s="8"/>
      <c r="C148" s="8"/>
      <c r="D148" s="8"/>
      <c r="E148" s="8"/>
      <c r="F148" s="8"/>
      <c r="G148" s="8"/>
      <c r="H148" s="8"/>
      <c r="I148" s="8"/>
      <c r="J148" s="8"/>
      <c r="K148" s="8"/>
      <c r="L148" s="8"/>
    </row>
    <row r="149" spans="1:12" ht="14.4">
      <c r="A149" s="205"/>
      <c r="B149" s="8"/>
      <c r="C149" s="8"/>
      <c r="D149" s="8"/>
      <c r="E149" s="8"/>
      <c r="F149" s="8"/>
      <c r="G149" s="8"/>
      <c r="H149" s="8"/>
      <c r="I149" s="8"/>
      <c r="J149" s="8"/>
      <c r="K149" s="8"/>
      <c r="L149" s="8"/>
    </row>
    <row r="150" spans="1:12" ht="14.4">
      <c r="A150" s="205"/>
      <c r="B150" s="8"/>
      <c r="C150" s="8"/>
      <c r="D150" s="8"/>
      <c r="E150" s="8"/>
      <c r="F150" s="8"/>
      <c r="G150" s="8"/>
      <c r="H150" s="8"/>
      <c r="I150" s="8"/>
      <c r="J150" s="8"/>
      <c r="K150" s="8"/>
      <c r="L150" s="8"/>
    </row>
    <row r="151" spans="1:12" ht="14.4">
      <c r="A151" s="205"/>
      <c r="B151" s="8"/>
      <c r="C151" s="8"/>
      <c r="D151" s="8"/>
      <c r="E151" s="8"/>
      <c r="F151" s="8"/>
      <c r="G151" s="8"/>
      <c r="H151" s="8"/>
      <c r="I151" s="8"/>
      <c r="J151" s="8"/>
      <c r="K151" s="8"/>
      <c r="L151" s="8"/>
    </row>
    <row r="152" spans="1:12" ht="14.4">
      <c r="A152" s="205"/>
      <c r="B152" s="8"/>
      <c r="C152" s="8"/>
      <c r="D152" s="8"/>
      <c r="E152" s="8"/>
      <c r="F152" s="8"/>
      <c r="G152" s="8"/>
      <c r="H152" s="8"/>
      <c r="I152" s="8"/>
      <c r="J152" s="8"/>
      <c r="K152" s="8"/>
      <c r="L152" s="8"/>
    </row>
    <row r="153" spans="1:12" ht="14.4">
      <c r="A153" s="205"/>
      <c r="B153" s="8"/>
      <c r="C153" s="8"/>
      <c r="D153" s="8"/>
      <c r="E153" s="8"/>
      <c r="F153" s="8"/>
      <c r="G153" s="8"/>
      <c r="H153" s="8"/>
      <c r="I153" s="8"/>
      <c r="J153" s="8"/>
      <c r="K153" s="8"/>
      <c r="L153" s="8"/>
    </row>
    <row r="154" spans="1:12" ht="14.4">
      <c r="A154" s="205"/>
      <c r="B154" s="8"/>
      <c r="C154" s="8"/>
      <c r="D154" s="8"/>
      <c r="E154" s="8"/>
      <c r="F154" s="8"/>
      <c r="G154" s="8"/>
      <c r="H154" s="8"/>
      <c r="I154" s="8"/>
      <c r="J154" s="8"/>
      <c r="K154" s="8"/>
      <c r="L154" s="8"/>
    </row>
    <row r="155" spans="1:12" ht="14.4">
      <c r="A155" s="205"/>
      <c r="B155" s="8"/>
      <c r="C155" s="8"/>
      <c r="D155" s="8"/>
      <c r="E155" s="8"/>
      <c r="F155" s="8"/>
      <c r="G155" s="8"/>
      <c r="H155" s="8"/>
      <c r="I155" s="8"/>
      <c r="J155" s="8"/>
      <c r="K155" s="8"/>
      <c r="L155" s="8"/>
    </row>
    <row r="156" spans="1:12" ht="14.4">
      <c r="A156" s="205"/>
      <c r="B156" s="8"/>
      <c r="C156" s="8"/>
      <c r="D156" s="8"/>
      <c r="E156" s="8"/>
      <c r="F156" s="8"/>
      <c r="G156" s="8"/>
      <c r="H156" s="8"/>
      <c r="I156" s="8"/>
      <c r="J156" s="8"/>
      <c r="K156" s="8"/>
      <c r="L156" s="8"/>
    </row>
    <row r="157" spans="1:12" ht="14.4">
      <c r="A157" s="205"/>
      <c r="B157" s="8"/>
      <c r="C157" s="8"/>
      <c r="D157" s="8"/>
      <c r="E157" s="8"/>
      <c r="F157" s="8"/>
      <c r="G157" s="8"/>
      <c r="H157" s="8"/>
      <c r="I157" s="8"/>
      <c r="J157" s="8"/>
      <c r="K157" s="8"/>
      <c r="L157" s="8"/>
    </row>
    <row r="158" spans="1:12" ht="14.4">
      <c r="A158" s="205"/>
      <c r="B158" s="8"/>
      <c r="C158" s="8"/>
      <c r="D158" s="8"/>
      <c r="E158" s="8"/>
      <c r="F158" s="8"/>
      <c r="G158" s="8"/>
      <c r="H158" s="8"/>
      <c r="I158" s="8"/>
      <c r="J158" s="8"/>
      <c r="K158" s="8"/>
      <c r="L158" s="8"/>
    </row>
    <row r="159" spans="1:12" ht="14.4">
      <c r="A159" s="205"/>
      <c r="B159" s="8"/>
      <c r="C159" s="8"/>
      <c r="D159" s="8"/>
      <c r="E159" s="8"/>
      <c r="F159" s="8"/>
      <c r="G159" s="8"/>
      <c r="H159" s="8"/>
      <c r="I159" s="8"/>
      <c r="J159" s="8"/>
      <c r="K159" s="8"/>
      <c r="L159" s="8"/>
    </row>
    <row r="160" spans="1:12" ht="14.4">
      <c r="A160" s="205"/>
      <c r="B160" s="8"/>
      <c r="C160" s="8"/>
      <c r="D160" s="8"/>
      <c r="E160" s="8"/>
      <c r="F160" s="8"/>
      <c r="G160" s="8"/>
      <c r="H160" s="8"/>
      <c r="I160" s="8"/>
      <c r="J160" s="8"/>
      <c r="K160" s="8"/>
      <c r="L160" s="8"/>
    </row>
    <row r="161" spans="1:12" ht="14.4">
      <c r="A161" s="205"/>
      <c r="B161" s="8"/>
      <c r="C161" s="8"/>
      <c r="D161" s="8"/>
      <c r="E161" s="8"/>
      <c r="F161" s="8"/>
      <c r="G161" s="8"/>
      <c r="H161" s="8"/>
      <c r="I161" s="8"/>
      <c r="J161" s="8"/>
      <c r="K161" s="8"/>
      <c r="L161" s="8"/>
    </row>
    <row r="162" spans="1:12" ht="14.4">
      <c r="A162" s="205"/>
      <c r="B162" s="8"/>
      <c r="C162" s="8"/>
      <c r="D162" s="8"/>
      <c r="E162" s="8"/>
      <c r="F162" s="8"/>
      <c r="G162" s="8"/>
      <c r="H162" s="8"/>
      <c r="I162" s="8"/>
      <c r="J162" s="8"/>
      <c r="K162" s="8"/>
      <c r="L162" s="8"/>
    </row>
    <row r="163" spans="1:12" ht="14.4">
      <c r="A163" s="205"/>
      <c r="B163" s="8"/>
      <c r="C163" s="8"/>
      <c r="D163" s="8"/>
      <c r="E163" s="8"/>
      <c r="F163" s="8"/>
      <c r="G163" s="8"/>
      <c r="H163" s="8"/>
      <c r="I163" s="8"/>
      <c r="J163" s="8"/>
      <c r="K163" s="8"/>
      <c r="L163" s="8"/>
    </row>
    <row r="164" spans="1:12" ht="14.4">
      <c r="A164" s="205"/>
      <c r="B164" s="8"/>
      <c r="C164" s="8"/>
      <c r="D164" s="8"/>
      <c r="E164" s="8"/>
      <c r="F164" s="8"/>
      <c r="G164" s="8"/>
      <c r="H164" s="8"/>
      <c r="I164" s="8"/>
      <c r="J164" s="8"/>
      <c r="K164" s="8"/>
      <c r="L164" s="8"/>
    </row>
    <row r="165" spans="1:12" ht="14.4">
      <c r="A165" s="205"/>
      <c r="B165" s="8"/>
      <c r="C165" s="8"/>
      <c r="D165" s="8"/>
      <c r="E165" s="8"/>
      <c r="F165" s="8"/>
      <c r="G165" s="8"/>
      <c r="H165" s="8"/>
      <c r="I165" s="8"/>
      <c r="J165" s="8"/>
      <c r="K165" s="8"/>
      <c r="L165" s="8"/>
    </row>
    <row r="166" spans="1:12" ht="14.4">
      <c r="A166" s="205"/>
      <c r="B166" s="8"/>
      <c r="C166" s="8"/>
      <c r="D166" s="8"/>
      <c r="E166" s="8"/>
      <c r="F166" s="8"/>
      <c r="G166" s="8"/>
      <c r="H166" s="8"/>
      <c r="I166" s="8"/>
      <c r="J166" s="8"/>
      <c r="K166" s="8"/>
      <c r="L166" s="8"/>
    </row>
    <row r="167" spans="1:12" ht="14.4">
      <c r="A167" s="205"/>
      <c r="B167" s="8"/>
      <c r="C167" s="8"/>
      <c r="D167" s="8"/>
      <c r="E167" s="8"/>
      <c r="F167" s="8"/>
      <c r="G167" s="8"/>
      <c r="H167" s="8"/>
      <c r="I167" s="8"/>
      <c r="J167" s="8"/>
      <c r="K167" s="8"/>
      <c r="L167" s="8"/>
    </row>
    <row r="168" spans="1:12" ht="14.4">
      <c r="A168" s="205"/>
      <c r="B168" s="8"/>
      <c r="C168" s="8"/>
      <c r="D168" s="8"/>
      <c r="E168" s="8"/>
      <c r="F168" s="8"/>
      <c r="G168" s="8"/>
      <c r="H168" s="8"/>
      <c r="I168" s="8"/>
      <c r="J168" s="8"/>
      <c r="K168" s="8"/>
      <c r="L168" s="8"/>
    </row>
    <row r="169" spans="1:12" ht="14.4">
      <c r="A169" s="205"/>
      <c r="B169" s="8"/>
      <c r="C169" s="8"/>
      <c r="D169" s="8"/>
      <c r="E169" s="8"/>
      <c r="F169" s="8"/>
      <c r="G169" s="8"/>
      <c r="H169" s="8"/>
      <c r="I169" s="8"/>
      <c r="J169" s="8"/>
      <c r="K169" s="8"/>
      <c r="L169" s="8"/>
    </row>
    <row r="170" spans="1:12" ht="14.4">
      <c r="A170" s="205"/>
      <c r="B170" s="8"/>
      <c r="C170" s="8"/>
      <c r="D170" s="8"/>
      <c r="E170" s="8"/>
      <c r="F170" s="8"/>
      <c r="G170" s="8"/>
      <c r="H170" s="8"/>
      <c r="I170" s="8"/>
      <c r="J170" s="8"/>
      <c r="K170" s="8"/>
      <c r="L170" s="8"/>
    </row>
    <row r="171" spans="1:12" ht="14.4">
      <c r="A171" s="205"/>
      <c r="B171" s="8"/>
      <c r="C171" s="8"/>
      <c r="D171" s="8"/>
      <c r="E171" s="8"/>
      <c r="F171" s="8"/>
      <c r="G171" s="8"/>
      <c r="H171" s="8"/>
      <c r="I171" s="8"/>
      <c r="J171" s="8"/>
      <c r="K171" s="8"/>
      <c r="L171" s="8"/>
    </row>
    <row r="172" spans="1:12" ht="14.4">
      <c r="A172" s="205"/>
      <c r="B172" s="8"/>
      <c r="C172" s="8"/>
      <c r="D172" s="8"/>
      <c r="E172" s="8"/>
      <c r="F172" s="8"/>
      <c r="G172" s="8"/>
      <c r="H172" s="8"/>
      <c r="I172" s="8"/>
      <c r="J172" s="8"/>
      <c r="K172" s="8"/>
      <c r="L172" s="8"/>
    </row>
    <row r="173" spans="1:12" ht="14.4">
      <c r="A173" s="205"/>
      <c r="B173" s="8"/>
      <c r="C173" s="8"/>
      <c r="D173" s="8"/>
      <c r="E173" s="8"/>
      <c r="F173" s="8"/>
      <c r="G173" s="8"/>
      <c r="H173" s="8"/>
      <c r="I173" s="8"/>
      <c r="J173" s="8"/>
      <c r="K173" s="8"/>
      <c r="L173" s="8"/>
    </row>
    <row r="174" spans="1:12" ht="14.4">
      <c r="A174" s="205"/>
      <c r="B174" s="8"/>
      <c r="C174" s="8"/>
      <c r="D174" s="8"/>
      <c r="E174" s="8"/>
      <c r="F174" s="8"/>
      <c r="G174" s="8"/>
      <c r="H174" s="8"/>
      <c r="I174" s="8"/>
      <c r="J174" s="8"/>
      <c r="K174" s="8"/>
      <c r="L174" s="8"/>
    </row>
    <row r="175" spans="1:12" ht="14.4">
      <c r="A175" s="205"/>
      <c r="B175" s="8"/>
      <c r="C175" s="8"/>
      <c r="D175" s="8"/>
      <c r="E175" s="8"/>
      <c r="F175" s="8"/>
      <c r="G175" s="8"/>
      <c r="H175" s="8"/>
      <c r="I175" s="8"/>
      <c r="J175" s="8"/>
      <c r="K175" s="8"/>
      <c r="L175" s="8"/>
    </row>
    <row r="176" spans="1:12" ht="14.4">
      <c r="A176" s="205"/>
      <c r="B176" s="8"/>
      <c r="C176" s="8"/>
      <c r="D176" s="8"/>
      <c r="E176" s="8"/>
      <c r="F176" s="8"/>
      <c r="G176" s="8"/>
      <c r="H176" s="8"/>
      <c r="I176" s="8"/>
      <c r="J176" s="8"/>
      <c r="K176" s="8"/>
      <c r="L176" s="8"/>
    </row>
    <row r="177" spans="1:12" ht="14.4">
      <c r="A177" s="205"/>
      <c r="B177" s="8"/>
      <c r="C177" s="8"/>
      <c r="D177" s="8"/>
      <c r="E177" s="8"/>
      <c r="F177" s="8"/>
      <c r="G177" s="8"/>
      <c r="H177" s="8"/>
      <c r="I177" s="8"/>
      <c r="J177" s="8"/>
      <c r="K177" s="8"/>
      <c r="L177" s="8"/>
    </row>
    <row r="178" spans="1:12" ht="14.4">
      <c r="A178" s="205"/>
      <c r="B178" s="8"/>
      <c r="C178" s="8"/>
      <c r="D178" s="8"/>
      <c r="E178" s="8"/>
      <c r="F178" s="8"/>
      <c r="G178" s="8"/>
      <c r="H178" s="8"/>
      <c r="I178" s="8"/>
      <c r="J178" s="8"/>
      <c r="K178" s="8"/>
      <c r="L178" s="8"/>
    </row>
    <row r="179" spans="1:12" ht="14.4">
      <c r="A179" s="205"/>
      <c r="B179" s="8"/>
      <c r="C179" s="8"/>
      <c r="D179" s="8"/>
      <c r="E179" s="8"/>
      <c r="F179" s="8"/>
      <c r="G179" s="8"/>
      <c r="H179" s="8"/>
      <c r="I179" s="8"/>
      <c r="J179" s="8"/>
      <c r="K179" s="8"/>
      <c r="L179" s="8"/>
    </row>
    <row r="180" spans="1:12" ht="14.4">
      <c r="A180" s="205"/>
      <c r="B180" s="8"/>
      <c r="C180" s="8"/>
      <c r="D180" s="8"/>
      <c r="E180" s="8"/>
      <c r="F180" s="8"/>
      <c r="G180" s="8"/>
      <c r="H180" s="8"/>
      <c r="I180" s="8"/>
      <c r="J180" s="8"/>
      <c r="K180" s="8"/>
      <c r="L180" s="8"/>
    </row>
    <row r="181" spans="1:12" ht="14.4">
      <c r="A181" s="205"/>
      <c r="B181" s="8"/>
      <c r="C181" s="8"/>
      <c r="D181" s="8"/>
      <c r="E181" s="8"/>
      <c r="F181" s="8"/>
      <c r="G181" s="8"/>
      <c r="H181" s="8"/>
      <c r="I181" s="8"/>
      <c r="J181" s="8"/>
      <c r="K181" s="8"/>
      <c r="L181" s="8"/>
    </row>
    <row r="182" spans="1:12" ht="14.4">
      <c r="A182" s="205"/>
      <c r="B182" s="8"/>
      <c r="C182" s="8"/>
      <c r="D182" s="8"/>
      <c r="E182" s="8"/>
      <c r="F182" s="8"/>
      <c r="G182" s="8"/>
      <c r="H182" s="8"/>
      <c r="I182" s="8"/>
      <c r="J182" s="8"/>
      <c r="K182" s="8"/>
      <c r="L182" s="8"/>
    </row>
    <row r="183" spans="1:12" ht="14.4">
      <c r="A183" s="205"/>
      <c r="B183" s="8"/>
      <c r="C183" s="8"/>
      <c r="D183" s="8"/>
      <c r="E183" s="8"/>
      <c r="F183" s="8"/>
      <c r="G183" s="8"/>
      <c r="H183" s="8"/>
      <c r="I183" s="8"/>
      <c r="J183" s="8"/>
      <c r="K183" s="8"/>
      <c r="L183" s="8"/>
    </row>
    <row r="184" spans="1:12" ht="14.4">
      <c r="A184" s="205"/>
      <c r="B184" s="8"/>
      <c r="C184" s="8"/>
      <c r="D184" s="8"/>
      <c r="E184" s="8"/>
      <c r="F184" s="8"/>
      <c r="G184" s="8"/>
      <c r="H184" s="8"/>
      <c r="I184" s="8"/>
      <c r="J184" s="8"/>
      <c r="K184" s="8"/>
      <c r="L184" s="8"/>
    </row>
    <row r="185" spans="1:12" ht="14.4">
      <c r="A185" s="205"/>
      <c r="B185" s="8"/>
      <c r="C185" s="8"/>
      <c r="D185" s="8"/>
      <c r="E185" s="8"/>
      <c r="F185" s="8"/>
      <c r="G185" s="8"/>
      <c r="H185" s="8"/>
      <c r="I185" s="8"/>
      <c r="J185" s="8"/>
      <c r="K185" s="8"/>
      <c r="L185" s="8"/>
    </row>
    <row r="186" spans="1:12" ht="14.4">
      <c r="A186" s="205"/>
      <c r="B186" s="8"/>
      <c r="C186" s="8"/>
      <c r="D186" s="8"/>
      <c r="E186" s="8"/>
      <c r="F186" s="8"/>
      <c r="G186" s="8"/>
      <c r="H186" s="8"/>
      <c r="I186" s="8"/>
      <c r="J186" s="8"/>
      <c r="K186" s="8"/>
      <c r="L186" s="8"/>
    </row>
    <row r="187" spans="1:12" ht="14.4">
      <c r="A187" s="205"/>
      <c r="B187" s="8"/>
      <c r="C187" s="8"/>
      <c r="D187" s="8"/>
      <c r="E187" s="8"/>
      <c r="F187" s="8"/>
      <c r="G187" s="8"/>
      <c r="H187" s="8"/>
      <c r="I187" s="8"/>
      <c r="J187" s="8"/>
      <c r="K187" s="8"/>
      <c r="L187" s="8"/>
    </row>
    <row r="188" spans="1:12" ht="14.4">
      <c r="A188" s="205"/>
      <c r="B188" s="8"/>
      <c r="C188" s="8"/>
      <c r="D188" s="8"/>
      <c r="E188" s="8"/>
      <c r="F188" s="8"/>
      <c r="G188" s="8"/>
      <c r="H188" s="8"/>
      <c r="I188" s="8"/>
      <c r="J188" s="8"/>
      <c r="K188" s="8"/>
      <c r="L188" s="8"/>
    </row>
    <row r="189" spans="1:12" ht="14.4">
      <c r="A189" s="205"/>
      <c r="B189" s="8"/>
      <c r="C189" s="8"/>
      <c r="D189" s="8"/>
      <c r="E189" s="8"/>
      <c r="F189" s="8"/>
      <c r="G189" s="8"/>
      <c r="H189" s="8"/>
      <c r="I189" s="8"/>
      <c r="J189" s="8"/>
      <c r="K189" s="8"/>
      <c r="L189" s="8"/>
    </row>
    <row r="190" spans="1:12" ht="14.4">
      <c r="A190" s="205"/>
      <c r="B190" s="8"/>
      <c r="C190" s="8"/>
      <c r="D190" s="8"/>
      <c r="E190" s="8"/>
      <c r="F190" s="8"/>
      <c r="G190" s="8"/>
      <c r="H190" s="8"/>
      <c r="I190" s="8"/>
      <c r="J190" s="8"/>
      <c r="K190" s="8"/>
      <c r="L190" s="8"/>
    </row>
    <row r="191" spans="1:12" ht="14.4">
      <c r="A191" s="205"/>
      <c r="B191" s="8"/>
      <c r="C191" s="8"/>
      <c r="D191" s="8"/>
      <c r="E191" s="8"/>
      <c r="F191" s="8"/>
      <c r="G191" s="8"/>
      <c r="H191" s="8"/>
      <c r="I191" s="8"/>
      <c r="J191" s="8"/>
      <c r="K191" s="8"/>
      <c r="L191" s="8"/>
    </row>
    <row r="192" spans="1:12" ht="14.4">
      <c r="A192" s="205"/>
      <c r="B192" s="8"/>
      <c r="C192" s="8"/>
      <c r="D192" s="8"/>
      <c r="E192" s="8"/>
      <c r="F192" s="8"/>
      <c r="G192" s="8"/>
      <c r="H192" s="8"/>
      <c r="I192" s="8"/>
      <c r="J192" s="8"/>
      <c r="K192" s="8"/>
      <c r="L192" s="8"/>
    </row>
    <row r="193" spans="1:12" ht="14.4">
      <c r="A193" s="205"/>
      <c r="B193" s="8"/>
      <c r="C193" s="8"/>
      <c r="D193" s="8"/>
      <c r="E193" s="8"/>
      <c r="F193" s="8"/>
      <c r="G193" s="8"/>
      <c r="H193" s="8"/>
      <c r="I193" s="8"/>
      <c r="J193" s="8"/>
      <c r="K193" s="8"/>
      <c r="L193" s="8"/>
    </row>
    <row r="194" spans="1:12" ht="14.4">
      <c r="A194" s="205"/>
      <c r="B194" s="8"/>
      <c r="C194" s="8"/>
      <c r="D194" s="8"/>
      <c r="E194" s="8"/>
      <c r="F194" s="8"/>
      <c r="G194" s="8"/>
      <c r="H194" s="8"/>
      <c r="I194" s="8"/>
      <c r="J194" s="8"/>
      <c r="K194" s="8"/>
      <c r="L194" s="8"/>
    </row>
    <row r="195" spans="1:12" ht="14.4">
      <c r="A195" s="205"/>
      <c r="B195" s="8"/>
      <c r="C195" s="8"/>
      <c r="D195" s="8"/>
      <c r="E195" s="8"/>
      <c r="F195" s="8"/>
      <c r="G195" s="8"/>
      <c r="H195" s="8"/>
      <c r="I195" s="8"/>
      <c r="J195" s="8"/>
      <c r="K195" s="8"/>
      <c r="L195" s="8"/>
    </row>
    <row r="196" spans="1:12" ht="14.4">
      <c r="A196" s="205"/>
      <c r="B196" s="8"/>
      <c r="C196" s="8"/>
      <c r="D196" s="8"/>
      <c r="E196" s="8"/>
      <c r="F196" s="8"/>
      <c r="G196" s="8"/>
      <c r="H196" s="8"/>
      <c r="I196" s="8"/>
      <c r="J196" s="8"/>
      <c r="K196" s="8"/>
      <c r="L196" s="8"/>
    </row>
    <row r="197" spans="1:12" ht="14.4">
      <c r="A197" s="205"/>
      <c r="B197" s="8"/>
      <c r="C197" s="8"/>
      <c r="D197" s="8"/>
      <c r="E197" s="8"/>
      <c r="F197" s="8"/>
      <c r="G197" s="8"/>
      <c r="H197" s="8"/>
      <c r="I197" s="8"/>
      <c r="J197" s="8"/>
      <c r="K197" s="8"/>
      <c r="L197" s="8"/>
    </row>
    <row r="198" spans="1:12" ht="14.4">
      <c r="A198" s="205"/>
      <c r="B198" s="8"/>
      <c r="C198" s="8"/>
      <c r="D198" s="8"/>
      <c r="E198" s="8"/>
      <c r="F198" s="8"/>
      <c r="G198" s="8"/>
      <c r="H198" s="8"/>
      <c r="I198" s="8"/>
      <c r="J198" s="8"/>
      <c r="K198" s="8"/>
      <c r="L198" s="8"/>
    </row>
    <row r="199" spans="1:12" ht="14.4">
      <c r="A199" s="205"/>
      <c r="B199" s="8"/>
      <c r="C199" s="8"/>
      <c r="D199" s="8"/>
      <c r="E199" s="8"/>
      <c r="F199" s="8"/>
      <c r="G199" s="8"/>
      <c r="H199" s="8"/>
      <c r="I199" s="8"/>
      <c r="J199" s="8"/>
      <c r="K199" s="8"/>
      <c r="L199" s="8"/>
    </row>
    <row r="200" spans="1:12" ht="14.4">
      <c r="A200" s="205"/>
      <c r="B200" s="8"/>
      <c r="C200" s="8"/>
      <c r="D200" s="8"/>
      <c r="E200" s="8"/>
      <c r="F200" s="8"/>
      <c r="G200" s="8"/>
      <c r="H200" s="8"/>
      <c r="I200" s="8"/>
      <c r="J200" s="8"/>
      <c r="K200" s="8"/>
      <c r="L200" s="8"/>
    </row>
    <row r="201" spans="1:12" ht="14.4">
      <c r="A201" s="205"/>
      <c r="B201" s="8"/>
      <c r="C201" s="8"/>
      <c r="D201" s="8"/>
      <c r="E201" s="8"/>
      <c r="F201" s="8"/>
      <c r="G201" s="8"/>
      <c r="H201" s="8"/>
      <c r="I201" s="8"/>
      <c r="J201" s="8"/>
      <c r="K201" s="8"/>
      <c r="L201" s="8"/>
    </row>
    <row r="202" spans="1:12" ht="14.4">
      <c r="A202" s="205"/>
      <c r="B202" s="8"/>
      <c r="C202" s="8"/>
      <c r="D202" s="8"/>
      <c r="E202" s="8"/>
      <c r="F202" s="8"/>
      <c r="G202" s="8"/>
      <c r="H202" s="8"/>
      <c r="I202" s="8"/>
      <c r="J202" s="8"/>
      <c r="K202" s="8"/>
      <c r="L202" s="8"/>
    </row>
    <row r="203" spans="1:12" ht="14.4">
      <c r="A203" s="205"/>
      <c r="B203" s="8"/>
      <c r="C203" s="8"/>
      <c r="D203" s="8"/>
      <c r="E203" s="8"/>
      <c r="F203" s="8"/>
      <c r="G203" s="8"/>
      <c r="H203" s="8"/>
      <c r="I203" s="8"/>
      <c r="J203" s="8"/>
      <c r="K203" s="8"/>
      <c r="L203" s="8"/>
    </row>
    <row r="204" spans="1:12" ht="14.4">
      <c r="A204" s="205"/>
      <c r="B204" s="8"/>
      <c r="C204" s="8"/>
      <c r="D204" s="8"/>
      <c r="E204" s="8"/>
      <c r="F204" s="8"/>
      <c r="G204" s="8"/>
      <c r="H204" s="8"/>
      <c r="I204" s="8"/>
      <c r="J204" s="8"/>
      <c r="K204" s="8"/>
      <c r="L204" s="8"/>
    </row>
    <row r="205" spans="1:12" ht="14.4">
      <c r="A205" s="205"/>
      <c r="B205" s="8"/>
      <c r="C205" s="8"/>
      <c r="D205" s="8"/>
      <c r="E205" s="8"/>
      <c r="F205" s="8"/>
      <c r="G205" s="8"/>
      <c r="H205" s="8"/>
      <c r="I205" s="8"/>
      <c r="J205" s="8"/>
      <c r="K205" s="8"/>
      <c r="L205" s="8"/>
    </row>
    <row r="206" spans="1:12" ht="14.4">
      <c r="A206" s="205"/>
      <c r="B206" s="8"/>
      <c r="C206" s="8"/>
      <c r="D206" s="8"/>
      <c r="E206" s="8"/>
      <c r="F206" s="8"/>
      <c r="G206" s="8"/>
      <c r="H206" s="8"/>
      <c r="I206" s="8"/>
      <c r="J206" s="8"/>
      <c r="K206" s="8"/>
      <c r="L206" s="8"/>
    </row>
    <row r="207" spans="1:12" ht="14.4">
      <c r="A207" s="205"/>
      <c r="B207" s="8"/>
      <c r="C207" s="8"/>
      <c r="D207" s="8"/>
      <c r="E207" s="8"/>
      <c r="F207" s="8"/>
      <c r="G207" s="8"/>
      <c r="H207" s="8"/>
      <c r="I207" s="8"/>
      <c r="J207" s="8"/>
      <c r="K207" s="8"/>
      <c r="L207" s="8"/>
    </row>
    <row r="208" spans="1:12" ht="14.4">
      <c r="A208" s="205"/>
      <c r="B208" s="8"/>
      <c r="C208" s="8"/>
      <c r="D208" s="8"/>
      <c r="E208" s="8"/>
      <c r="F208" s="8"/>
      <c r="G208" s="8"/>
      <c r="H208" s="8"/>
      <c r="I208" s="8"/>
      <c r="J208" s="8"/>
      <c r="K208" s="8"/>
      <c r="L208" s="8"/>
    </row>
    <row r="209" spans="1:12" ht="14.4">
      <c r="A209" s="205"/>
      <c r="B209" s="8"/>
      <c r="C209" s="8"/>
      <c r="D209" s="8"/>
      <c r="E209" s="8"/>
      <c r="F209" s="8"/>
      <c r="G209" s="8"/>
      <c r="H209" s="8"/>
      <c r="I209" s="8"/>
      <c r="J209" s="8"/>
      <c r="K209" s="8"/>
      <c r="L209" s="8"/>
    </row>
    <row r="210" spans="1:12" ht="14.4">
      <c r="A210" s="205"/>
      <c r="B210" s="8"/>
      <c r="C210" s="8"/>
      <c r="D210" s="8"/>
      <c r="E210" s="8"/>
      <c r="F210" s="8"/>
      <c r="G210" s="8"/>
      <c r="H210" s="8"/>
      <c r="I210" s="8"/>
      <c r="J210" s="8"/>
      <c r="K210" s="8"/>
      <c r="L210" s="8"/>
    </row>
    <row r="211" spans="1:12" ht="14.4">
      <c r="A211" s="205"/>
      <c r="B211" s="8"/>
      <c r="C211" s="8"/>
      <c r="D211" s="8"/>
      <c r="E211" s="8"/>
      <c r="F211" s="8"/>
      <c r="G211" s="8"/>
      <c r="H211" s="8"/>
      <c r="I211" s="8"/>
      <c r="J211" s="8"/>
      <c r="K211" s="8"/>
      <c r="L211" s="8"/>
    </row>
    <row r="212" spans="1:12" ht="14.4">
      <c r="A212" s="205"/>
      <c r="B212" s="8"/>
      <c r="C212" s="8"/>
      <c r="D212" s="8"/>
      <c r="E212" s="8"/>
      <c r="F212" s="8"/>
      <c r="G212" s="8"/>
      <c r="H212" s="8"/>
      <c r="I212" s="8"/>
      <c r="J212" s="8"/>
      <c r="K212" s="8"/>
      <c r="L212" s="8"/>
    </row>
    <row r="213" spans="1:12" ht="14.4">
      <c r="A213" s="205"/>
      <c r="B213" s="8"/>
      <c r="C213" s="8"/>
      <c r="D213" s="8"/>
      <c r="E213" s="8"/>
      <c r="F213" s="8"/>
      <c r="G213" s="8"/>
      <c r="H213" s="8"/>
      <c r="I213" s="8"/>
      <c r="J213" s="8"/>
      <c r="K213" s="8"/>
      <c r="L213" s="8"/>
    </row>
    <row r="214" spans="1:12" ht="14.4">
      <c r="A214" s="205"/>
      <c r="B214" s="8"/>
      <c r="C214" s="8"/>
      <c r="D214" s="8"/>
      <c r="E214" s="8"/>
      <c r="F214" s="8"/>
      <c r="G214" s="8"/>
      <c r="H214" s="8"/>
      <c r="I214" s="8"/>
      <c r="J214" s="8"/>
      <c r="K214" s="8"/>
      <c r="L214" s="8"/>
    </row>
    <row r="215" spans="1:12" ht="14.4">
      <c r="A215" s="205"/>
      <c r="B215" s="8"/>
      <c r="C215" s="8"/>
      <c r="D215" s="8"/>
      <c r="E215" s="8"/>
      <c r="F215" s="8"/>
      <c r="G215" s="8"/>
      <c r="H215" s="8"/>
      <c r="I215" s="8"/>
      <c r="J215" s="8"/>
      <c r="K215" s="8"/>
      <c r="L215" s="8"/>
    </row>
    <row r="216" spans="1:12" ht="14.4">
      <c r="A216" s="205"/>
      <c r="B216" s="8"/>
      <c r="C216" s="8"/>
      <c r="D216" s="8"/>
      <c r="E216" s="8"/>
      <c r="F216" s="8"/>
      <c r="G216" s="8"/>
      <c r="H216" s="8"/>
      <c r="I216" s="8"/>
      <c r="J216" s="8"/>
      <c r="K216" s="8"/>
      <c r="L216" s="8"/>
    </row>
    <row r="217" spans="1:12" ht="14.4">
      <c r="A217" s="205"/>
      <c r="B217" s="8"/>
      <c r="C217" s="8"/>
      <c r="D217" s="8"/>
      <c r="E217" s="8"/>
      <c r="F217" s="8"/>
      <c r="G217" s="8"/>
      <c r="H217" s="8"/>
      <c r="I217" s="8"/>
      <c r="J217" s="8"/>
      <c r="K217" s="8"/>
      <c r="L217" s="8"/>
    </row>
    <row r="218" spans="1:12" ht="14.4">
      <c r="A218" s="205"/>
      <c r="B218" s="8"/>
      <c r="C218" s="8"/>
      <c r="D218" s="8"/>
      <c r="E218" s="8"/>
      <c r="F218" s="8"/>
      <c r="G218" s="8"/>
      <c r="H218" s="8"/>
      <c r="I218" s="8"/>
      <c r="J218" s="8"/>
      <c r="K218" s="8"/>
      <c r="L218" s="8"/>
    </row>
    <row r="219" spans="1:12" ht="14.4">
      <c r="A219" s="205"/>
      <c r="B219" s="8"/>
      <c r="C219" s="8"/>
      <c r="D219" s="8"/>
      <c r="E219" s="8"/>
      <c r="F219" s="8"/>
      <c r="G219" s="8"/>
      <c r="H219" s="8"/>
      <c r="I219" s="8"/>
      <c r="J219" s="8"/>
      <c r="K219" s="8"/>
      <c r="L219" s="8"/>
    </row>
    <row r="220" spans="1:12" ht="14.4">
      <c r="A220" s="205"/>
      <c r="B220" s="8"/>
      <c r="C220" s="8"/>
      <c r="D220" s="8"/>
      <c r="E220" s="8"/>
      <c r="F220" s="8"/>
      <c r="G220" s="8"/>
      <c r="H220" s="8"/>
      <c r="I220" s="8"/>
      <c r="J220" s="8"/>
      <c r="K220" s="8"/>
      <c r="L220" s="8"/>
    </row>
    <row r="221" spans="1:12" ht="14.4">
      <c r="A221" s="205"/>
      <c r="B221" s="8"/>
      <c r="C221" s="8"/>
      <c r="D221" s="8"/>
      <c r="E221" s="8"/>
      <c r="F221" s="8"/>
      <c r="G221" s="8"/>
      <c r="H221" s="8"/>
      <c r="I221" s="8"/>
      <c r="J221" s="8"/>
      <c r="K221" s="8"/>
      <c r="L221" s="8"/>
    </row>
    <row r="222" spans="1:12" ht="14.4">
      <c r="A222" s="205"/>
      <c r="B222" s="8"/>
      <c r="C222" s="8"/>
      <c r="D222" s="8"/>
      <c r="E222" s="8"/>
      <c r="F222" s="8"/>
      <c r="G222" s="8"/>
      <c r="H222" s="8"/>
      <c r="I222" s="8"/>
      <c r="J222" s="8"/>
      <c r="K222" s="8"/>
      <c r="L222" s="8"/>
    </row>
    <row r="223" spans="1:12" ht="14.4">
      <c r="A223" s="205"/>
      <c r="B223" s="8"/>
      <c r="C223" s="8"/>
      <c r="D223" s="8"/>
      <c r="E223" s="8"/>
      <c r="F223" s="8"/>
      <c r="G223" s="8"/>
      <c r="H223" s="8"/>
      <c r="I223" s="8"/>
      <c r="J223" s="8"/>
      <c r="K223" s="8"/>
      <c r="L223" s="8"/>
    </row>
    <row r="224" spans="1:12" ht="14.4">
      <c r="A224" s="205"/>
      <c r="B224" s="8"/>
      <c r="C224" s="8"/>
      <c r="D224" s="8"/>
      <c r="E224" s="8"/>
      <c r="F224" s="8"/>
      <c r="G224" s="8"/>
      <c r="H224" s="8"/>
      <c r="I224" s="8"/>
      <c r="J224" s="8"/>
      <c r="K224" s="8"/>
      <c r="L224" s="8"/>
    </row>
    <row r="225" spans="1:12" ht="14.4">
      <c r="A225" s="205"/>
      <c r="B225" s="8"/>
      <c r="C225" s="8"/>
      <c r="D225" s="8"/>
      <c r="E225" s="8"/>
      <c r="F225" s="8"/>
      <c r="G225" s="8"/>
      <c r="H225" s="8"/>
      <c r="I225" s="8"/>
      <c r="J225" s="8"/>
      <c r="K225" s="8"/>
      <c r="L225" s="8"/>
    </row>
    <row r="226" spans="1:12" ht="14.4">
      <c r="A226" s="205"/>
      <c r="B226" s="8"/>
      <c r="C226" s="8"/>
      <c r="D226" s="8"/>
      <c r="E226" s="8"/>
      <c r="F226" s="8"/>
      <c r="G226" s="8"/>
      <c r="H226" s="8"/>
      <c r="I226" s="8"/>
      <c r="J226" s="8"/>
      <c r="K226" s="8"/>
      <c r="L226" s="8"/>
    </row>
    <row r="227" spans="1:12" ht="14.4">
      <c r="A227" s="205"/>
      <c r="B227" s="8"/>
      <c r="C227" s="8"/>
      <c r="D227" s="8"/>
      <c r="E227" s="8"/>
      <c r="F227" s="8"/>
      <c r="G227" s="8"/>
      <c r="H227" s="8"/>
      <c r="I227" s="8"/>
      <c r="J227" s="8"/>
      <c r="K227" s="8"/>
      <c r="L227" s="8"/>
    </row>
    <row r="228" spans="1:12" ht="14.4">
      <c r="A228" s="205"/>
      <c r="B228" s="8"/>
      <c r="C228" s="8"/>
      <c r="D228" s="8"/>
      <c r="E228" s="8"/>
      <c r="F228" s="8"/>
      <c r="G228" s="8"/>
      <c r="H228" s="8"/>
      <c r="I228" s="8"/>
      <c r="J228" s="8"/>
      <c r="K228" s="8"/>
      <c r="L228" s="8"/>
    </row>
    <row r="229" spans="1:12" ht="14.4">
      <c r="A229" s="205"/>
      <c r="B229" s="8"/>
      <c r="C229" s="8"/>
      <c r="D229" s="8"/>
      <c r="E229" s="8"/>
      <c r="F229" s="8"/>
      <c r="G229" s="8"/>
      <c r="H229" s="8"/>
      <c r="I229" s="8"/>
      <c r="J229" s="8"/>
      <c r="K229" s="8"/>
      <c r="L229" s="8"/>
    </row>
    <row r="230" spans="1:12" ht="14.4">
      <c r="A230" s="205"/>
      <c r="B230" s="8"/>
      <c r="C230" s="8"/>
      <c r="D230" s="8"/>
      <c r="E230" s="8"/>
      <c r="F230" s="8"/>
      <c r="G230" s="8"/>
      <c r="H230" s="8"/>
      <c r="I230" s="8"/>
      <c r="J230" s="8"/>
      <c r="K230" s="8"/>
      <c r="L230" s="8"/>
    </row>
    <row r="231" spans="1:12" ht="14.4">
      <c r="A231" s="205"/>
      <c r="B231" s="8"/>
      <c r="C231" s="8"/>
      <c r="D231" s="8"/>
      <c r="E231" s="8"/>
      <c r="F231" s="8"/>
      <c r="G231" s="8"/>
      <c r="H231" s="8"/>
      <c r="I231" s="8"/>
      <c r="J231" s="8"/>
      <c r="K231" s="8"/>
      <c r="L231" s="8"/>
    </row>
    <row r="232" spans="1:12" ht="14.4">
      <c r="A232" s="205"/>
      <c r="B232" s="8"/>
      <c r="C232" s="8"/>
      <c r="D232" s="8"/>
      <c r="E232" s="8"/>
      <c r="F232" s="8"/>
      <c r="G232" s="8"/>
      <c r="H232" s="8"/>
      <c r="I232" s="8"/>
      <c r="J232" s="8"/>
      <c r="K232" s="8"/>
      <c r="L232" s="8"/>
    </row>
    <row r="233" spans="1:12" ht="14.4">
      <c r="A233" s="205"/>
      <c r="B233" s="8"/>
      <c r="C233" s="8"/>
      <c r="D233" s="8"/>
      <c r="E233" s="8"/>
      <c r="F233" s="8"/>
      <c r="G233" s="8"/>
      <c r="H233" s="8"/>
      <c r="I233" s="8"/>
      <c r="J233" s="8"/>
      <c r="K233" s="8"/>
      <c r="L233" s="8"/>
    </row>
    <row r="234" spans="1:12" ht="14.4">
      <c r="A234" s="205"/>
      <c r="B234" s="8"/>
      <c r="C234" s="8"/>
      <c r="D234" s="8"/>
      <c r="E234" s="8"/>
      <c r="F234" s="8"/>
      <c r="G234" s="8"/>
      <c r="H234" s="8"/>
      <c r="I234" s="8"/>
      <c r="J234" s="8"/>
      <c r="K234" s="8"/>
      <c r="L234" s="8"/>
    </row>
    <row r="235" spans="1:12" ht="14.4">
      <c r="A235" s="205"/>
      <c r="B235" s="8"/>
      <c r="C235" s="8"/>
      <c r="D235" s="8"/>
      <c r="E235" s="8"/>
      <c r="F235" s="8"/>
      <c r="G235" s="8"/>
      <c r="H235" s="8"/>
      <c r="I235" s="8"/>
      <c r="J235" s="8"/>
      <c r="K235" s="8"/>
      <c r="L235" s="8"/>
    </row>
    <row r="236" spans="1:12" ht="14.4">
      <c r="A236" s="205"/>
      <c r="B236" s="8"/>
      <c r="C236" s="8"/>
      <c r="D236" s="8"/>
      <c r="E236" s="8"/>
      <c r="F236" s="8"/>
      <c r="G236" s="8"/>
      <c r="H236" s="8"/>
      <c r="I236" s="8"/>
      <c r="J236" s="8"/>
      <c r="K236" s="8"/>
      <c r="L236" s="8"/>
    </row>
    <row r="237" spans="1:12" ht="14.4">
      <c r="A237" s="205"/>
      <c r="B237" s="8"/>
      <c r="C237" s="8"/>
      <c r="D237" s="8"/>
      <c r="E237" s="8"/>
      <c r="F237" s="8"/>
      <c r="G237" s="8"/>
      <c r="H237" s="8"/>
      <c r="I237" s="8"/>
      <c r="J237" s="8"/>
      <c r="K237" s="8"/>
      <c r="L237" s="8"/>
    </row>
    <row r="238" spans="1:12" ht="14.4">
      <c r="A238" s="205"/>
      <c r="B238" s="8"/>
      <c r="C238" s="8"/>
      <c r="D238" s="8"/>
      <c r="E238" s="8"/>
      <c r="F238" s="8"/>
      <c r="G238" s="8"/>
      <c r="H238" s="8"/>
      <c r="I238" s="8"/>
      <c r="J238" s="8"/>
      <c r="K238" s="8"/>
      <c r="L238" s="8"/>
    </row>
    <row r="239" spans="1:12" ht="14.4">
      <c r="A239" s="205"/>
      <c r="B239" s="8"/>
      <c r="C239" s="8"/>
      <c r="D239" s="8"/>
      <c r="E239" s="8"/>
      <c r="F239" s="8"/>
      <c r="G239" s="8"/>
      <c r="H239" s="8"/>
      <c r="I239" s="8"/>
      <c r="J239" s="8"/>
      <c r="K239" s="8"/>
      <c r="L239" s="8"/>
    </row>
    <row r="240" spans="1:12" ht="14.4">
      <c r="A240" s="205"/>
      <c r="B240" s="8"/>
      <c r="C240" s="8"/>
      <c r="D240" s="8"/>
      <c r="E240" s="8"/>
      <c r="F240" s="8"/>
      <c r="G240" s="8"/>
      <c r="H240" s="8"/>
      <c r="I240" s="8"/>
      <c r="J240" s="8"/>
      <c r="K240" s="8"/>
      <c r="L240" s="8"/>
    </row>
    <row r="241" spans="1:12" ht="14.4">
      <c r="A241" s="205"/>
      <c r="B241" s="8"/>
      <c r="C241" s="8"/>
      <c r="D241" s="8"/>
      <c r="E241" s="8"/>
      <c r="F241" s="8"/>
      <c r="G241" s="8"/>
      <c r="H241" s="8"/>
      <c r="I241" s="8"/>
      <c r="J241" s="8"/>
      <c r="K241" s="8"/>
      <c r="L241" s="8"/>
    </row>
    <row r="242" spans="1:12" ht="14.4">
      <c r="A242" s="205"/>
      <c r="B242" s="8"/>
      <c r="C242" s="8"/>
      <c r="D242" s="8"/>
      <c r="E242" s="8"/>
      <c r="F242" s="8"/>
      <c r="G242" s="8"/>
      <c r="H242" s="8"/>
      <c r="I242" s="8"/>
      <c r="J242" s="8"/>
      <c r="K242" s="8"/>
      <c r="L242" s="8"/>
    </row>
    <row r="243" spans="1:12" ht="14.4">
      <c r="A243" s="205"/>
      <c r="B243" s="8"/>
      <c r="C243" s="8"/>
      <c r="D243" s="8"/>
      <c r="E243" s="8"/>
      <c r="F243" s="8"/>
      <c r="G243" s="8"/>
      <c r="H243" s="8"/>
      <c r="I243" s="8"/>
      <c r="J243" s="8"/>
      <c r="K243" s="8"/>
      <c r="L243" s="8"/>
    </row>
    <row r="244" spans="1:12" ht="14.4">
      <c r="A244" s="205"/>
      <c r="B244" s="8"/>
      <c r="C244" s="8"/>
      <c r="D244" s="8"/>
      <c r="E244" s="8"/>
      <c r="F244" s="8"/>
      <c r="G244" s="8"/>
      <c r="H244" s="8"/>
      <c r="I244" s="8"/>
      <c r="J244" s="8"/>
      <c r="K244" s="8"/>
      <c r="L244" s="8"/>
    </row>
    <row r="245" spans="1:12" ht="14.4">
      <c r="A245" s="205"/>
      <c r="B245" s="8"/>
      <c r="C245" s="8"/>
      <c r="D245" s="8"/>
      <c r="E245" s="8"/>
      <c r="F245" s="8"/>
      <c r="G245" s="8"/>
      <c r="H245" s="8"/>
      <c r="I245" s="8"/>
      <c r="J245" s="8"/>
      <c r="K245" s="8"/>
      <c r="L245" s="8"/>
    </row>
    <row r="246" spans="1:12" ht="14.4">
      <c r="A246" s="205"/>
      <c r="B246" s="8"/>
      <c r="C246" s="8"/>
      <c r="D246" s="8"/>
      <c r="E246" s="8"/>
      <c r="F246" s="8"/>
      <c r="G246" s="8"/>
      <c r="H246" s="8"/>
      <c r="I246" s="8"/>
      <c r="J246" s="8"/>
      <c r="K246" s="8"/>
      <c r="L246" s="8"/>
    </row>
    <row r="247" spans="1:12" ht="14.4">
      <c r="A247" s="205"/>
      <c r="B247" s="8"/>
      <c r="C247" s="8"/>
      <c r="D247" s="8"/>
      <c r="E247" s="8"/>
      <c r="F247" s="8"/>
      <c r="G247" s="8"/>
      <c r="H247" s="8"/>
      <c r="I247" s="8"/>
      <c r="J247" s="8"/>
      <c r="K247" s="8"/>
      <c r="L247" s="8"/>
    </row>
    <row r="248" spans="1:12" ht="14.4">
      <c r="A248" s="205"/>
      <c r="B248" s="8"/>
      <c r="C248" s="8"/>
      <c r="D248" s="8"/>
      <c r="E248" s="8"/>
      <c r="F248" s="8"/>
      <c r="G248" s="8"/>
      <c r="H248" s="8"/>
      <c r="I248" s="8"/>
      <c r="J248" s="8"/>
      <c r="K248" s="8"/>
      <c r="L248" s="8"/>
    </row>
    <row r="249" spans="1:12" ht="14.4">
      <c r="A249" s="205"/>
      <c r="B249" s="8"/>
      <c r="C249" s="8"/>
      <c r="D249" s="8"/>
      <c r="E249" s="8"/>
      <c r="F249" s="8"/>
      <c r="G249" s="8"/>
      <c r="H249" s="8"/>
      <c r="I249" s="8"/>
      <c r="J249" s="8"/>
      <c r="K249" s="8"/>
      <c r="L249" s="8"/>
    </row>
    <row r="250" spans="1:12" ht="14.4">
      <c r="A250" s="205"/>
      <c r="B250" s="8"/>
      <c r="C250" s="8"/>
      <c r="D250" s="8"/>
      <c r="E250" s="8"/>
      <c r="F250" s="8"/>
      <c r="G250" s="8"/>
      <c r="H250" s="8"/>
      <c r="I250" s="8"/>
      <c r="J250" s="8"/>
      <c r="K250" s="8"/>
      <c r="L250" s="8"/>
    </row>
    <row r="251" spans="1:12" ht="14.4">
      <c r="A251" s="205"/>
      <c r="B251" s="8"/>
      <c r="C251" s="8"/>
      <c r="D251" s="8"/>
      <c r="E251" s="8"/>
      <c r="F251" s="8"/>
      <c r="G251" s="8"/>
      <c r="H251" s="8"/>
      <c r="I251" s="8"/>
      <c r="J251" s="8"/>
      <c r="K251" s="8"/>
      <c r="L251" s="8"/>
    </row>
    <row r="252" spans="1:12" ht="14.4">
      <c r="A252" s="205"/>
      <c r="B252" s="8"/>
      <c r="C252" s="8"/>
      <c r="D252" s="8"/>
      <c r="E252" s="8"/>
      <c r="F252" s="8"/>
      <c r="G252" s="8"/>
      <c r="H252" s="8"/>
      <c r="I252" s="8"/>
      <c r="J252" s="8"/>
      <c r="K252" s="8"/>
      <c r="L252" s="8"/>
    </row>
    <row r="253" spans="1:12" ht="14.4">
      <c r="A253" s="205"/>
      <c r="B253" s="8"/>
      <c r="C253" s="8"/>
      <c r="D253" s="8"/>
      <c r="E253" s="8"/>
      <c r="F253" s="8"/>
      <c r="G253" s="8"/>
      <c r="H253" s="8"/>
      <c r="I253" s="8"/>
      <c r="J253" s="8"/>
      <c r="K253" s="8"/>
      <c r="L253" s="8"/>
    </row>
    <row r="254" spans="1:12" ht="14.4">
      <c r="A254" s="205"/>
      <c r="B254" s="8"/>
      <c r="C254" s="8"/>
      <c r="D254" s="8"/>
      <c r="E254" s="8"/>
      <c r="F254" s="8"/>
      <c r="G254" s="8"/>
      <c r="H254" s="8"/>
      <c r="I254" s="8"/>
      <c r="J254" s="8"/>
      <c r="K254" s="8"/>
      <c r="L254" s="8"/>
    </row>
    <row r="255" spans="1:12" ht="14.4">
      <c r="A255" s="205"/>
      <c r="B255" s="8"/>
      <c r="C255" s="8"/>
      <c r="D255" s="8"/>
      <c r="E255" s="8"/>
      <c r="F255" s="8"/>
      <c r="G255" s="8"/>
      <c r="H255" s="8"/>
      <c r="I255" s="8"/>
      <c r="J255" s="8"/>
      <c r="K255" s="8"/>
      <c r="L255" s="8"/>
    </row>
    <row r="256" spans="1:12" ht="14.4">
      <c r="A256" s="205"/>
      <c r="B256" s="8"/>
      <c r="C256" s="8"/>
      <c r="D256" s="8"/>
      <c r="E256" s="8"/>
      <c r="F256" s="8"/>
      <c r="G256" s="8"/>
      <c r="H256" s="8"/>
      <c r="I256" s="8"/>
      <c r="J256" s="8"/>
      <c r="K256" s="8"/>
      <c r="L256" s="8"/>
    </row>
    <row r="257" spans="1:12" ht="14.4">
      <c r="A257" s="205"/>
      <c r="B257" s="8"/>
      <c r="C257" s="8"/>
      <c r="D257" s="8"/>
      <c r="E257" s="8"/>
      <c r="F257" s="8"/>
      <c r="G257" s="8"/>
      <c r="H257" s="8"/>
      <c r="I257" s="8"/>
      <c r="J257" s="8"/>
      <c r="K257" s="8"/>
      <c r="L257" s="8"/>
    </row>
    <row r="258" spans="1:12" ht="14.4">
      <c r="A258" s="205"/>
      <c r="B258" s="8"/>
      <c r="C258" s="8"/>
      <c r="D258" s="8"/>
      <c r="E258" s="8"/>
      <c r="F258" s="8"/>
      <c r="G258" s="8"/>
      <c r="H258" s="8"/>
      <c r="I258" s="8"/>
      <c r="J258" s="8"/>
      <c r="K258" s="8"/>
      <c r="L258" s="8"/>
    </row>
    <row r="259" spans="1:12" ht="14.4">
      <c r="A259" s="205"/>
      <c r="B259" s="8"/>
      <c r="C259" s="8"/>
      <c r="D259" s="8"/>
      <c r="E259" s="8"/>
      <c r="F259" s="8"/>
      <c r="G259" s="8"/>
      <c r="H259" s="8"/>
      <c r="I259" s="8"/>
      <c r="J259" s="8"/>
      <c r="K259" s="8"/>
      <c r="L259" s="8"/>
    </row>
    <row r="260" spans="1:12" ht="14.4">
      <c r="A260" s="205"/>
      <c r="B260" s="8"/>
      <c r="C260" s="8"/>
      <c r="D260" s="8"/>
      <c r="E260" s="8"/>
      <c r="F260" s="8"/>
      <c r="G260" s="8"/>
      <c r="H260" s="8"/>
      <c r="I260" s="8"/>
      <c r="J260" s="8"/>
      <c r="K260" s="8"/>
      <c r="L260" s="8"/>
    </row>
    <row r="261" spans="1:12" ht="14.4">
      <c r="A261" s="205"/>
      <c r="B261" s="8"/>
      <c r="C261" s="8"/>
      <c r="D261" s="8"/>
      <c r="E261" s="8"/>
      <c r="F261" s="8"/>
      <c r="G261" s="8"/>
      <c r="H261" s="8"/>
      <c r="I261" s="8"/>
      <c r="J261" s="8"/>
      <c r="K261" s="8"/>
      <c r="L261" s="8"/>
    </row>
    <row r="262" spans="1:12" ht="14.4">
      <c r="A262" s="205"/>
      <c r="B262" s="8"/>
      <c r="C262" s="8"/>
      <c r="D262" s="8"/>
      <c r="E262" s="8"/>
      <c r="F262" s="8"/>
      <c r="G262" s="8"/>
      <c r="H262" s="8"/>
      <c r="I262" s="8"/>
      <c r="J262" s="8"/>
      <c r="K262" s="8"/>
      <c r="L262" s="8"/>
    </row>
    <row r="263" spans="1:12" ht="14.4">
      <c r="A263" s="205"/>
      <c r="B263" s="8"/>
      <c r="C263" s="8"/>
      <c r="D263" s="8"/>
      <c r="E263" s="8"/>
      <c r="F263" s="8"/>
      <c r="G263" s="8"/>
      <c r="H263" s="8"/>
      <c r="I263" s="8"/>
      <c r="J263" s="8"/>
      <c r="K263" s="8"/>
      <c r="L263" s="8"/>
    </row>
    <row r="264" spans="1:12" ht="14.4">
      <c r="A264" s="205"/>
      <c r="B264" s="8"/>
      <c r="C264" s="8"/>
      <c r="D264" s="8"/>
      <c r="E264" s="8"/>
      <c r="F264" s="8"/>
      <c r="G264" s="8"/>
      <c r="H264" s="8"/>
      <c r="I264" s="8"/>
      <c r="J264" s="8"/>
      <c r="K264" s="8"/>
      <c r="L264" s="8"/>
    </row>
    <row r="265" spans="1:12" ht="14.4">
      <c r="A265" s="205"/>
      <c r="B265" s="8"/>
      <c r="C265" s="8"/>
      <c r="D265" s="8"/>
      <c r="E265" s="8"/>
      <c r="F265" s="8"/>
      <c r="G265" s="8"/>
      <c r="H265" s="8"/>
      <c r="I265" s="8"/>
      <c r="J265" s="8"/>
      <c r="K265" s="8"/>
      <c r="L265" s="8"/>
    </row>
    <row r="266" spans="1:12" ht="14.4">
      <c r="A266" s="205"/>
      <c r="B266" s="8"/>
      <c r="C266" s="8"/>
      <c r="D266" s="8"/>
      <c r="E266" s="8"/>
      <c r="F266" s="8"/>
      <c r="G266" s="8"/>
      <c r="H266" s="8"/>
      <c r="I266" s="8"/>
      <c r="J266" s="8"/>
      <c r="K266" s="8"/>
      <c r="L266" s="8"/>
    </row>
    <row r="267" spans="1:12" ht="14.4">
      <c r="A267" s="205"/>
      <c r="B267" s="8"/>
      <c r="C267" s="8"/>
      <c r="D267" s="8"/>
      <c r="E267" s="8"/>
      <c r="F267" s="8"/>
      <c r="G267" s="8"/>
      <c r="H267" s="8"/>
      <c r="I267" s="8"/>
      <c r="J267" s="8"/>
      <c r="K267" s="8"/>
      <c r="L267" s="8"/>
    </row>
    <row r="268" spans="1:12" ht="14.4">
      <c r="A268" s="205"/>
      <c r="B268" s="8"/>
      <c r="C268" s="8"/>
      <c r="D268" s="8"/>
      <c r="E268" s="8"/>
      <c r="F268" s="8"/>
      <c r="G268" s="8"/>
      <c r="H268" s="8"/>
      <c r="I268" s="8"/>
      <c r="J268" s="8"/>
      <c r="K268" s="8"/>
      <c r="L268" s="8"/>
    </row>
    <row r="269" spans="1:12" ht="14.4">
      <c r="A269" s="205"/>
      <c r="B269" s="8"/>
      <c r="C269" s="8"/>
      <c r="D269" s="8"/>
      <c r="E269" s="8"/>
      <c r="F269" s="8"/>
      <c r="G269" s="8"/>
      <c r="H269" s="8"/>
      <c r="I269" s="8"/>
      <c r="J269" s="8"/>
      <c r="K269" s="8"/>
      <c r="L269" s="8"/>
    </row>
    <row r="270" spans="1:12" ht="14.4">
      <c r="A270" s="205"/>
      <c r="B270" s="8"/>
      <c r="C270" s="8"/>
      <c r="D270" s="8"/>
      <c r="E270" s="8"/>
      <c r="F270" s="8"/>
      <c r="G270" s="8"/>
      <c r="H270" s="8"/>
      <c r="I270" s="8"/>
      <c r="J270" s="8"/>
      <c r="K270" s="8"/>
      <c r="L270" s="8"/>
    </row>
    <row r="271" spans="1:12" ht="14.4">
      <c r="A271" s="205"/>
      <c r="B271" s="8"/>
      <c r="C271" s="8"/>
      <c r="D271" s="8"/>
      <c r="E271" s="8"/>
      <c r="F271" s="8"/>
      <c r="G271" s="8"/>
      <c r="H271" s="8"/>
      <c r="I271" s="8"/>
      <c r="J271" s="8"/>
      <c r="K271" s="8"/>
      <c r="L271" s="8"/>
    </row>
    <row r="272" spans="1:12" ht="14.4">
      <c r="A272" s="205"/>
      <c r="B272" s="8"/>
      <c r="C272" s="8"/>
      <c r="D272" s="8"/>
      <c r="E272" s="8"/>
      <c r="F272" s="8"/>
      <c r="G272" s="8"/>
      <c r="H272" s="8"/>
      <c r="I272" s="8"/>
      <c r="J272" s="8"/>
      <c r="K272" s="8"/>
      <c r="L272" s="8"/>
    </row>
    <row r="273" spans="1:12" ht="14.4">
      <c r="A273" s="205"/>
      <c r="B273" s="8"/>
      <c r="C273" s="8"/>
      <c r="D273" s="8"/>
      <c r="E273" s="8"/>
      <c r="F273" s="8"/>
      <c r="G273" s="8"/>
      <c r="H273" s="8"/>
      <c r="I273" s="8"/>
      <c r="J273" s="8"/>
      <c r="K273" s="8"/>
      <c r="L273" s="8"/>
    </row>
    <row r="274" spans="1:12" ht="14.4">
      <c r="A274" s="205"/>
      <c r="B274" s="8"/>
      <c r="C274" s="8"/>
      <c r="D274" s="8"/>
      <c r="E274" s="8"/>
      <c r="F274" s="8"/>
      <c r="G274" s="8"/>
      <c r="H274" s="8"/>
      <c r="I274" s="8"/>
      <c r="J274" s="8"/>
      <c r="K274" s="8"/>
      <c r="L274" s="8"/>
    </row>
    <row r="275" spans="1:12" ht="14.4">
      <c r="A275" s="205"/>
      <c r="B275" s="8"/>
      <c r="C275" s="8"/>
      <c r="D275" s="8"/>
      <c r="E275" s="8"/>
      <c r="F275" s="8"/>
      <c r="G275" s="8"/>
      <c r="H275" s="8"/>
      <c r="I275" s="8"/>
      <c r="J275" s="8"/>
      <c r="K275" s="8"/>
      <c r="L275" s="8"/>
    </row>
    <row r="276" spans="1:12" ht="14.4">
      <c r="A276" s="205"/>
      <c r="B276" s="8"/>
      <c r="C276" s="8"/>
      <c r="D276" s="8"/>
      <c r="E276" s="8"/>
      <c r="F276" s="8"/>
      <c r="G276" s="8"/>
      <c r="H276" s="8"/>
      <c r="I276" s="8"/>
      <c r="J276" s="8"/>
      <c r="K276" s="8"/>
      <c r="L276" s="8"/>
    </row>
    <row r="277" spans="1:12" ht="14.4">
      <c r="A277" s="205"/>
      <c r="B277" s="8"/>
      <c r="C277" s="8"/>
      <c r="D277" s="8"/>
      <c r="E277" s="8"/>
      <c r="F277" s="8"/>
      <c r="G277" s="8"/>
      <c r="H277" s="8"/>
      <c r="I277" s="8"/>
      <c r="J277" s="8"/>
      <c r="K277" s="8"/>
      <c r="L277" s="8"/>
    </row>
    <row r="278" spans="1:12" ht="14.4">
      <c r="A278" s="205"/>
      <c r="B278" s="8"/>
      <c r="C278" s="8"/>
      <c r="D278" s="8"/>
      <c r="E278" s="8"/>
      <c r="F278" s="8"/>
      <c r="G278" s="8"/>
      <c r="H278" s="8"/>
      <c r="I278" s="8"/>
      <c r="J278" s="8"/>
      <c r="K278" s="8"/>
      <c r="L278" s="8"/>
    </row>
    <row r="279" spans="1:12" ht="14.4">
      <c r="A279" s="205"/>
      <c r="B279" s="8"/>
      <c r="C279" s="8"/>
      <c r="D279" s="8"/>
      <c r="E279" s="8"/>
      <c r="F279" s="8"/>
      <c r="G279" s="8"/>
      <c r="H279" s="8"/>
      <c r="I279" s="8"/>
      <c r="J279" s="8"/>
      <c r="K279" s="8"/>
      <c r="L279" s="8"/>
    </row>
    <row r="280" spans="1:12" ht="14.4">
      <c r="A280" s="205"/>
      <c r="B280" s="8"/>
      <c r="C280" s="8"/>
      <c r="D280" s="8"/>
      <c r="E280" s="8"/>
      <c r="F280" s="8"/>
      <c r="G280" s="8"/>
      <c r="H280" s="8"/>
      <c r="I280" s="8"/>
      <c r="J280" s="8"/>
      <c r="K280" s="8"/>
      <c r="L280" s="8"/>
    </row>
    <row r="281" spans="1:12" ht="14.4">
      <c r="A281" s="205"/>
      <c r="B281" s="8"/>
      <c r="C281" s="8"/>
      <c r="D281" s="8"/>
      <c r="E281" s="8"/>
      <c r="F281" s="8"/>
      <c r="G281" s="8"/>
      <c r="H281" s="8"/>
      <c r="I281" s="8"/>
      <c r="J281" s="8"/>
      <c r="K281" s="8"/>
      <c r="L281" s="8"/>
    </row>
    <row r="282" spans="1:12" ht="14.4">
      <c r="A282" s="205"/>
      <c r="B282" s="8"/>
      <c r="C282" s="8"/>
      <c r="D282" s="8"/>
      <c r="E282" s="8"/>
      <c r="F282" s="8"/>
      <c r="G282" s="8"/>
      <c r="H282" s="8"/>
      <c r="I282" s="8"/>
      <c r="J282" s="8"/>
      <c r="K282" s="8"/>
      <c r="L282" s="8"/>
    </row>
    <row r="283" spans="1:12" ht="14.4">
      <c r="A283" s="205"/>
      <c r="B283" s="8"/>
      <c r="C283" s="8"/>
      <c r="D283" s="8"/>
      <c r="E283" s="8"/>
      <c r="F283" s="8"/>
      <c r="G283" s="8"/>
      <c r="H283" s="8"/>
      <c r="I283" s="8"/>
      <c r="J283" s="8"/>
      <c r="K283" s="8"/>
      <c r="L283" s="8"/>
    </row>
    <row r="284" spans="1:12" ht="14.4">
      <c r="A284" s="205"/>
      <c r="B284" s="8"/>
      <c r="C284" s="8"/>
      <c r="D284" s="8"/>
      <c r="E284" s="8"/>
      <c r="F284" s="8"/>
      <c r="G284" s="8"/>
      <c r="H284" s="8"/>
      <c r="I284" s="8"/>
      <c r="J284" s="8"/>
      <c r="K284" s="8"/>
      <c r="L284" s="8"/>
    </row>
    <row r="285" spans="1:12" ht="14.4">
      <c r="A285" s="205"/>
      <c r="B285" s="8"/>
      <c r="C285" s="8"/>
      <c r="D285" s="8"/>
      <c r="E285" s="8"/>
      <c r="F285" s="8"/>
      <c r="G285" s="8"/>
      <c r="H285" s="8"/>
      <c r="I285" s="8"/>
      <c r="J285" s="8"/>
      <c r="K285" s="8"/>
      <c r="L285" s="8"/>
    </row>
    <row r="286" spans="1:12" ht="14.4">
      <c r="A286" s="205"/>
      <c r="B286" s="8"/>
      <c r="C286" s="8"/>
      <c r="D286" s="8"/>
      <c r="E286" s="8"/>
      <c r="F286" s="8"/>
      <c r="G286" s="8"/>
      <c r="H286" s="8"/>
      <c r="I286" s="8"/>
      <c r="J286" s="8"/>
      <c r="K286" s="8"/>
      <c r="L286" s="8"/>
    </row>
    <row r="287" spans="1:12" ht="14.4">
      <c r="A287" s="205"/>
      <c r="B287" s="8"/>
      <c r="C287" s="8"/>
      <c r="D287" s="8"/>
      <c r="E287" s="8"/>
      <c r="F287" s="8"/>
      <c r="G287" s="8"/>
      <c r="H287" s="8"/>
      <c r="I287" s="8"/>
      <c r="J287" s="8"/>
      <c r="K287" s="8"/>
      <c r="L287" s="8"/>
    </row>
    <row r="288" spans="1:12" ht="14.4">
      <c r="A288" s="205"/>
      <c r="B288" s="8"/>
      <c r="C288" s="8"/>
      <c r="D288" s="8"/>
      <c r="E288" s="8"/>
      <c r="F288" s="8"/>
      <c r="G288" s="8"/>
      <c r="H288" s="8"/>
      <c r="I288" s="8"/>
      <c r="J288" s="8"/>
      <c r="K288" s="8"/>
      <c r="L288" s="8"/>
    </row>
    <row r="289" spans="1:12" ht="14.4">
      <c r="A289" s="205"/>
      <c r="B289" s="8"/>
      <c r="C289" s="8"/>
      <c r="D289" s="8"/>
      <c r="E289" s="8"/>
      <c r="F289" s="8"/>
      <c r="G289" s="8"/>
      <c r="H289" s="8"/>
      <c r="I289" s="8"/>
      <c r="J289" s="8"/>
      <c r="K289" s="8"/>
      <c r="L289" s="8"/>
    </row>
    <row r="290" spans="1:12" ht="14.4">
      <c r="A290" s="205"/>
      <c r="B290" s="8"/>
      <c r="C290" s="8"/>
      <c r="D290" s="8"/>
      <c r="E290" s="8"/>
      <c r="F290" s="8"/>
      <c r="G290" s="8"/>
      <c r="H290" s="8"/>
      <c r="I290" s="8"/>
      <c r="J290" s="8"/>
      <c r="K290" s="8"/>
      <c r="L290" s="8"/>
    </row>
    <row r="291" spans="1:12" ht="14.4">
      <c r="A291" s="205"/>
      <c r="B291" s="8"/>
      <c r="C291" s="8"/>
      <c r="D291" s="8"/>
      <c r="E291" s="8"/>
      <c r="F291" s="8"/>
      <c r="G291" s="8"/>
      <c r="H291" s="8"/>
      <c r="I291" s="8"/>
      <c r="J291" s="8"/>
      <c r="K291" s="8"/>
      <c r="L291" s="8"/>
    </row>
    <row r="292" spans="1:12" ht="14.4">
      <c r="A292" s="205"/>
      <c r="B292" s="8"/>
      <c r="C292" s="8"/>
      <c r="D292" s="8"/>
      <c r="E292" s="8"/>
      <c r="F292" s="8"/>
      <c r="G292" s="8"/>
      <c r="H292" s="8"/>
      <c r="I292" s="8"/>
      <c r="J292" s="8"/>
      <c r="K292" s="8"/>
      <c r="L292" s="8"/>
    </row>
    <row r="293" spans="1:12" ht="14.4">
      <c r="A293" s="205"/>
      <c r="B293" s="8"/>
      <c r="C293" s="8"/>
      <c r="D293" s="8"/>
      <c r="E293" s="8"/>
      <c r="F293" s="8"/>
      <c r="G293" s="8"/>
      <c r="H293" s="8"/>
      <c r="I293" s="8"/>
      <c r="J293" s="8"/>
      <c r="K293" s="8"/>
      <c r="L293" s="8"/>
    </row>
    <row r="294" spans="1:12" ht="14.4">
      <c r="A294" s="205"/>
      <c r="B294" s="8"/>
      <c r="C294" s="8"/>
      <c r="D294" s="8"/>
      <c r="E294" s="8"/>
      <c r="F294" s="8"/>
      <c r="G294" s="8"/>
      <c r="H294" s="8"/>
      <c r="I294" s="8"/>
      <c r="J294" s="8"/>
      <c r="K294" s="8"/>
      <c r="L294" s="8"/>
    </row>
    <row r="295" spans="1:12" ht="14.4">
      <c r="A295" s="205"/>
      <c r="B295" s="8"/>
      <c r="C295" s="8"/>
      <c r="D295" s="8"/>
      <c r="E295" s="8"/>
      <c r="F295" s="8"/>
      <c r="G295" s="8"/>
      <c r="H295" s="8"/>
      <c r="I295" s="8"/>
      <c r="J295" s="8"/>
      <c r="K295" s="8"/>
      <c r="L295" s="8"/>
    </row>
    <row r="296" spans="1:12" ht="14.4">
      <c r="A296" s="205"/>
      <c r="B296" s="8"/>
      <c r="C296" s="8"/>
      <c r="D296" s="8"/>
      <c r="E296" s="8"/>
      <c r="F296" s="8"/>
      <c r="G296" s="8"/>
      <c r="H296" s="8"/>
      <c r="I296" s="8"/>
      <c r="J296" s="8"/>
      <c r="K296" s="8"/>
      <c r="L296" s="8"/>
    </row>
    <row r="297" spans="1:12" ht="14.4">
      <c r="A297" s="205"/>
      <c r="B297" s="8"/>
      <c r="C297" s="8"/>
      <c r="D297" s="8"/>
      <c r="E297" s="8"/>
      <c r="F297" s="8"/>
      <c r="G297" s="8"/>
      <c r="H297" s="8"/>
      <c r="I297" s="8"/>
      <c r="J297" s="8"/>
      <c r="K297" s="8"/>
      <c r="L297" s="8"/>
    </row>
    <row r="298" spans="1:12" ht="14.4">
      <c r="A298" s="205"/>
      <c r="B298" s="8"/>
      <c r="C298" s="8"/>
      <c r="D298" s="8"/>
      <c r="E298" s="8"/>
      <c r="F298" s="8"/>
      <c r="G298" s="8"/>
      <c r="H298" s="8"/>
      <c r="I298" s="8"/>
      <c r="J298" s="8"/>
      <c r="K298" s="8"/>
      <c r="L298" s="8"/>
    </row>
    <row r="299" spans="1:12" ht="14.4">
      <c r="A299" s="205"/>
      <c r="B299" s="8"/>
      <c r="C299" s="8"/>
      <c r="D299" s="8"/>
      <c r="E299" s="8"/>
      <c r="F299" s="8"/>
      <c r="G299" s="8"/>
      <c r="H299" s="8"/>
      <c r="I299" s="8"/>
      <c r="J299" s="8"/>
      <c r="K299" s="8"/>
      <c r="L299" s="8"/>
    </row>
    <row r="300" spans="1:12" ht="14.4">
      <c r="A300" s="205"/>
      <c r="B300" s="8"/>
      <c r="C300" s="8"/>
      <c r="D300" s="8"/>
      <c r="E300" s="8"/>
      <c r="F300" s="8"/>
      <c r="G300" s="8"/>
      <c r="H300" s="8"/>
      <c r="I300" s="8"/>
      <c r="J300" s="8"/>
      <c r="K300" s="8"/>
      <c r="L300" s="8"/>
    </row>
    <row r="301" spans="1:12" ht="14.4">
      <c r="A301" s="205"/>
      <c r="B301" s="8"/>
      <c r="C301" s="8"/>
      <c r="D301" s="8"/>
      <c r="E301" s="8"/>
      <c r="F301" s="8"/>
      <c r="G301" s="8"/>
      <c r="H301" s="8"/>
      <c r="I301" s="8"/>
      <c r="J301" s="8"/>
      <c r="K301" s="8"/>
      <c r="L301" s="8"/>
    </row>
    <row r="302" spans="1:12" ht="14.4">
      <c r="A302" s="205"/>
      <c r="B302" s="8"/>
      <c r="C302" s="8"/>
      <c r="D302" s="8"/>
      <c r="E302" s="8"/>
      <c r="F302" s="8"/>
      <c r="G302" s="8"/>
      <c r="H302" s="8"/>
      <c r="I302" s="8"/>
      <c r="J302" s="8"/>
      <c r="K302" s="8"/>
      <c r="L302" s="8"/>
    </row>
    <row r="303" spans="1:12" ht="14.4">
      <c r="A303" s="205"/>
      <c r="B303" s="8"/>
      <c r="C303" s="8"/>
      <c r="D303" s="8"/>
      <c r="E303" s="8"/>
      <c r="F303" s="8"/>
      <c r="G303" s="8"/>
      <c r="H303" s="8"/>
      <c r="I303" s="8"/>
      <c r="J303" s="8"/>
      <c r="K303" s="8"/>
      <c r="L303" s="8"/>
    </row>
    <row r="304" spans="1:12" ht="14.4">
      <c r="A304" s="205"/>
      <c r="B304" s="8"/>
      <c r="C304" s="8"/>
      <c r="D304" s="8"/>
      <c r="E304" s="8"/>
      <c r="F304" s="8"/>
      <c r="G304" s="8"/>
      <c r="H304" s="8"/>
      <c r="I304" s="8"/>
      <c r="J304" s="8"/>
      <c r="K304" s="8"/>
      <c r="L304" s="8"/>
    </row>
    <row r="305" spans="1:12" ht="14.4">
      <c r="A305" s="205"/>
      <c r="B305" s="8"/>
      <c r="C305" s="8"/>
      <c r="D305" s="8"/>
      <c r="E305" s="8"/>
      <c r="F305" s="8"/>
      <c r="G305" s="8"/>
      <c r="H305" s="8"/>
      <c r="I305" s="8"/>
      <c r="J305" s="8"/>
      <c r="K305" s="8"/>
      <c r="L305" s="8"/>
    </row>
    <row r="306" spans="1:12" ht="14.4">
      <c r="A306" s="205"/>
      <c r="B306" s="8"/>
      <c r="C306" s="8"/>
      <c r="D306" s="8"/>
      <c r="E306" s="8"/>
      <c r="F306" s="8"/>
      <c r="G306" s="8"/>
      <c r="H306" s="8"/>
      <c r="I306" s="8"/>
      <c r="J306" s="8"/>
      <c r="K306" s="8"/>
      <c r="L306" s="8"/>
    </row>
    <row r="307" spans="1:12" ht="14.4">
      <c r="A307" s="205"/>
      <c r="B307" s="8"/>
      <c r="C307" s="8"/>
      <c r="D307" s="8"/>
      <c r="E307" s="8"/>
      <c r="F307" s="8"/>
      <c r="G307" s="8"/>
      <c r="H307" s="8"/>
      <c r="I307" s="8"/>
      <c r="J307" s="8"/>
      <c r="K307" s="8"/>
      <c r="L307" s="8"/>
    </row>
    <row r="308" spans="1:12" ht="14.4">
      <c r="A308" s="205"/>
      <c r="B308" s="8"/>
      <c r="C308" s="8"/>
      <c r="D308" s="8"/>
      <c r="E308" s="8"/>
      <c r="F308" s="8"/>
      <c r="G308" s="8"/>
      <c r="H308" s="8"/>
      <c r="I308" s="8"/>
      <c r="J308" s="8"/>
      <c r="K308" s="8"/>
      <c r="L308" s="8"/>
    </row>
    <row r="309" spans="1:12" ht="14.4">
      <c r="A309" s="205"/>
      <c r="B309" s="8"/>
      <c r="C309" s="8"/>
      <c r="D309" s="8"/>
      <c r="E309" s="8"/>
      <c r="F309" s="8"/>
      <c r="G309" s="8"/>
      <c r="H309" s="8"/>
      <c r="I309" s="8"/>
      <c r="J309" s="8"/>
      <c r="K309" s="8"/>
      <c r="L309" s="8"/>
    </row>
    <row r="310" spans="1:12" ht="14.4">
      <c r="A310" s="205"/>
      <c r="B310" s="8"/>
      <c r="C310" s="8"/>
      <c r="D310" s="8"/>
      <c r="E310" s="8"/>
      <c r="F310" s="8"/>
      <c r="G310" s="8"/>
      <c r="H310" s="8"/>
      <c r="I310" s="8"/>
      <c r="J310" s="8"/>
      <c r="K310" s="8"/>
      <c r="L310" s="8"/>
    </row>
    <row r="311" spans="1:12" ht="14.4">
      <c r="A311" s="205"/>
      <c r="B311" s="8"/>
      <c r="C311" s="8"/>
      <c r="D311" s="8"/>
      <c r="E311" s="8"/>
      <c r="F311" s="8"/>
      <c r="G311" s="8"/>
      <c r="H311" s="8"/>
      <c r="I311" s="8"/>
      <c r="J311" s="8"/>
      <c r="K311" s="8"/>
      <c r="L311" s="8"/>
    </row>
    <row r="312" spans="1:12" ht="14.4">
      <c r="A312" s="205"/>
      <c r="B312" s="8"/>
      <c r="C312" s="8"/>
      <c r="D312" s="8"/>
      <c r="E312" s="8"/>
      <c r="F312" s="8"/>
      <c r="G312" s="8"/>
      <c r="H312" s="8"/>
      <c r="I312" s="8"/>
      <c r="J312" s="8"/>
      <c r="K312" s="8"/>
      <c r="L312" s="8"/>
    </row>
    <row r="313" spans="1:12" ht="14.4">
      <c r="A313" s="205"/>
      <c r="B313" s="8"/>
      <c r="C313" s="8"/>
      <c r="D313" s="8"/>
      <c r="E313" s="8"/>
      <c r="F313" s="8"/>
      <c r="G313" s="8"/>
      <c r="H313" s="8"/>
      <c r="I313" s="8"/>
      <c r="J313" s="8"/>
      <c r="K313" s="8"/>
      <c r="L313" s="8"/>
    </row>
    <row r="314" spans="1:12" ht="14.4">
      <c r="A314" s="205"/>
      <c r="B314" s="8"/>
      <c r="C314" s="8"/>
      <c r="D314" s="8"/>
      <c r="E314" s="8"/>
      <c r="F314" s="8"/>
      <c r="G314" s="8"/>
      <c r="H314" s="8"/>
      <c r="I314" s="8"/>
      <c r="J314" s="8"/>
      <c r="K314" s="8"/>
      <c r="L314" s="8"/>
    </row>
    <row r="315" spans="1:12" ht="14.4">
      <c r="A315" s="205"/>
      <c r="B315" s="8"/>
      <c r="C315" s="8"/>
      <c r="D315" s="8"/>
      <c r="E315" s="8"/>
      <c r="F315" s="8"/>
      <c r="G315" s="8"/>
      <c r="H315" s="8"/>
      <c r="I315" s="8"/>
      <c r="J315" s="8"/>
      <c r="K315" s="8"/>
      <c r="L315" s="8"/>
    </row>
    <row r="316" spans="1:12" ht="14.4">
      <c r="A316" s="205"/>
      <c r="B316" s="8"/>
      <c r="C316" s="8"/>
      <c r="D316" s="8"/>
      <c r="E316" s="8"/>
      <c r="F316" s="8"/>
      <c r="G316" s="8"/>
      <c r="H316" s="8"/>
      <c r="I316" s="8"/>
      <c r="J316" s="8"/>
      <c r="K316" s="8"/>
      <c r="L316" s="8"/>
    </row>
    <row r="317" spans="1:12" ht="14.4">
      <c r="A317" s="205"/>
      <c r="B317" s="8"/>
      <c r="C317" s="8"/>
      <c r="D317" s="8"/>
      <c r="E317" s="8"/>
      <c r="F317" s="8"/>
      <c r="G317" s="8"/>
      <c r="H317" s="8"/>
      <c r="I317" s="8"/>
      <c r="J317" s="8"/>
      <c r="K317" s="8"/>
      <c r="L317" s="8"/>
    </row>
    <row r="318" spans="1:12" ht="14.4">
      <c r="A318" s="205"/>
      <c r="B318" s="8"/>
      <c r="C318" s="8"/>
      <c r="D318" s="8"/>
      <c r="E318" s="8"/>
      <c r="F318" s="8"/>
      <c r="G318" s="8"/>
      <c r="H318" s="8"/>
      <c r="I318" s="8"/>
      <c r="J318" s="8"/>
      <c r="K318" s="8"/>
      <c r="L318" s="8"/>
    </row>
    <row r="319" spans="1:12" ht="14.4">
      <c r="A319" s="205"/>
      <c r="B319" s="8"/>
      <c r="C319" s="8"/>
      <c r="D319" s="8"/>
      <c r="E319" s="8"/>
      <c r="F319" s="8"/>
      <c r="G319" s="8"/>
      <c r="H319" s="8"/>
      <c r="I319" s="8"/>
      <c r="J319" s="8"/>
      <c r="K319" s="8"/>
      <c r="L319" s="8"/>
    </row>
    <row r="320" spans="1:12" ht="14.4">
      <c r="A320" s="205"/>
      <c r="B320" s="8"/>
      <c r="C320" s="8"/>
      <c r="D320" s="8"/>
      <c r="E320" s="8"/>
      <c r="F320" s="8"/>
      <c r="G320" s="8"/>
      <c r="H320" s="8"/>
      <c r="I320" s="8"/>
      <c r="J320" s="8"/>
      <c r="K320" s="8"/>
      <c r="L320" s="8"/>
    </row>
    <row r="321" spans="1:12" ht="14.4">
      <c r="A321" s="205"/>
      <c r="B321" s="8"/>
      <c r="C321" s="8"/>
      <c r="D321" s="8"/>
      <c r="E321" s="8"/>
      <c r="F321" s="8"/>
      <c r="G321" s="8"/>
      <c r="H321" s="8"/>
      <c r="I321" s="8"/>
      <c r="J321" s="8"/>
      <c r="K321" s="8"/>
      <c r="L321" s="8"/>
    </row>
    <row r="322" spans="1:12" ht="14.4">
      <c r="A322" s="205"/>
      <c r="B322" s="8"/>
      <c r="C322" s="8"/>
      <c r="D322" s="8"/>
      <c r="E322" s="8"/>
      <c r="F322" s="8"/>
      <c r="G322" s="8"/>
      <c r="H322" s="8"/>
      <c r="I322" s="8"/>
      <c r="J322" s="8"/>
      <c r="K322" s="8"/>
      <c r="L322" s="8"/>
    </row>
    <row r="323" spans="1:12" ht="14.4">
      <c r="A323" s="205"/>
      <c r="B323" s="8"/>
      <c r="C323" s="8"/>
      <c r="D323" s="8"/>
      <c r="E323" s="8"/>
      <c r="F323" s="8"/>
      <c r="G323" s="8"/>
      <c r="H323" s="8"/>
      <c r="I323" s="8"/>
      <c r="J323" s="8"/>
      <c r="K323" s="8"/>
      <c r="L323" s="8"/>
    </row>
    <row r="324" spans="1:12" ht="14.4">
      <c r="A324" s="205"/>
      <c r="B324" s="8"/>
      <c r="C324" s="8"/>
      <c r="D324" s="8"/>
      <c r="E324" s="8"/>
      <c r="F324" s="8"/>
      <c r="G324" s="8"/>
      <c r="H324" s="8"/>
      <c r="I324" s="8"/>
      <c r="J324" s="8"/>
      <c r="K324" s="8"/>
      <c r="L324" s="8"/>
    </row>
    <row r="325" spans="1:12" ht="14.4">
      <c r="A325" s="205"/>
      <c r="B325" s="8"/>
      <c r="C325" s="8"/>
      <c r="D325" s="8"/>
      <c r="E325" s="8"/>
      <c r="F325" s="8"/>
      <c r="G325" s="8"/>
      <c r="H325" s="8"/>
      <c r="I325" s="8"/>
      <c r="J325" s="8"/>
      <c r="K325" s="8"/>
      <c r="L325" s="8"/>
    </row>
    <row r="326" spans="1:12" ht="14.4">
      <c r="A326" s="205"/>
      <c r="B326" s="8"/>
      <c r="C326" s="8"/>
      <c r="D326" s="8"/>
      <c r="E326" s="8"/>
      <c r="F326" s="8"/>
      <c r="G326" s="8"/>
      <c r="H326" s="8"/>
      <c r="I326" s="8"/>
      <c r="J326" s="8"/>
      <c r="K326" s="8"/>
      <c r="L326" s="8"/>
    </row>
    <row r="327" spans="1:12" ht="14.4">
      <c r="A327" s="205"/>
      <c r="B327" s="8"/>
      <c r="C327" s="8"/>
      <c r="D327" s="8"/>
      <c r="E327" s="8"/>
      <c r="F327" s="8"/>
      <c r="G327" s="8"/>
      <c r="H327" s="8"/>
      <c r="I327" s="8"/>
      <c r="J327" s="8"/>
      <c r="K327" s="8"/>
      <c r="L327" s="8"/>
    </row>
    <row r="328" spans="1:12" ht="14.4">
      <c r="A328" s="205"/>
      <c r="B328" s="8"/>
      <c r="C328" s="8"/>
      <c r="D328" s="8"/>
      <c r="E328" s="8"/>
      <c r="F328" s="8"/>
      <c r="G328" s="8"/>
      <c r="H328" s="8"/>
      <c r="I328" s="8"/>
      <c r="J328" s="8"/>
      <c r="K328" s="8"/>
      <c r="L328" s="8"/>
    </row>
    <row r="329" spans="1:12" ht="14.4">
      <c r="A329" s="205"/>
      <c r="B329" s="8"/>
      <c r="C329" s="8"/>
      <c r="D329" s="8"/>
      <c r="E329" s="8"/>
      <c r="F329" s="8"/>
      <c r="G329" s="8"/>
      <c r="H329" s="8"/>
      <c r="I329" s="8"/>
      <c r="J329" s="8"/>
      <c r="K329" s="8"/>
      <c r="L329" s="8"/>
    </row>
    <row r="330" spans="1:12" ht="14.4">
      <c r="A330" s="205"/>
      <c r="B330" s="8"/>
      <c r="C330" s="8"/>
      <c r="D330" s="8"/>
      <c r="E330" s="8"/>
      <c r="F330" s="8"/>
      <c r="G330" s="8"/>
      <c r="H330" s="8"/>
      <c r="I330" s="8"/>
      <c r="J330" s="8"/>
      <c r="K330" s="8"/>
      <c r="L330" s="8"/>
    </row>
    <row r="331" spans="1:12" ht="14.4">
      <c r="A331" s="205"/>
      <c r="B331" s="8"/>
      <c r="C331" s="8"/>
      <c r="D331" s="8"/>
      <c r="E331" s="8"/>
      <c r="F331" s="8"/>
      <c r="G331" s="8"/>
      <c r="H331" s="8"/>
      <c r="I331" s="8"/>
      <c r="J331" s="8"/>
      <c r="K331" s="8"/>
      <c r="L331" s="8"/>
    </row>
    <row r="332" spans="1:12" ht="14.4">
      <c r="A332" s="205"/>
      <c r="B332" s="8"/>
      <c r="C332" s="8"/>
      <c r="D332" s="8"/>
      <c r="E332" s="8"/>
      <c r="F332" s="8"/>
      <c r="G332" s="8"/>
      <c r="H332" s="8"/>
      <c r="I332" s="8"/>
      <c r="J332" s="8"/>
      <c r="K332" s="8"/>
      <c r="L332" s="8"/>
    </row>
    <row r="333" spans="1:12" ht="14.4">
      <c r="A333" s="205"/>
      <c r="B333" s="8"/>
      <c r="C333" s="8"/>
      <c r="D333" s="8"/>
      <c r="E333" s="8"/>
      <c r="F333" s="8"/>
      <c r="G333" s="8"/>
      <c r="H333" s="8"/>
      <c r="I333" s="8"/>
      <c r="J333" s="8"/>
      <c r="K333" s="8"/>
      <c r="L333" s="8"/>
    </row>
    <row r="334" spans="1:12" ht="14.4">
      <c r="A334" s="205"/>
      <c r="B334" s="8"/>
      <c r="C334" s="8"/>
      <c r="D334" s="8"/>
      <c r="E334" s="8"/>
      <c r="F334" s="8"/>
      <c r="G334" s="8"/>
      <c r="H334" s="8"/>
      <c r="I334" s="8"/>
      <c r="J334" s="8"/>
      <c r="K334" s="8"/>
      <c r="L334" s="8"/>
    </row>
    <row r="335" spans="1:12" ht="14.4">
      <c r="A335" s="205"/>
      <c r="B335" s="8"/>
      <c r="C335" s="8"/>
      <c r="D335" s="8"/>
      <c r="E335" s="8"/>
      <c r="F335" s="8"/>
      <c r="G335" s="8"/>
      <c r="H335" s="8"/>
      <c r="I335" s="8"/>
      <c r="J335" s="8"/>
      <c r="K335" s="8"/>
      <c r="L335" s="8"/>
    </row>
    <row r="336" spans="1:12" ht="14.4">
      <c r="A336" s="205"/>
      <c r="B336" s="8"/>
      <c r="C336" s="8"/>
      <c r="D336" s="8"/>
      <c r="E336" s="8"/>
      <c r="F336" s="8"/>
      <c r="G336" s="8"/>
      <c r="H336" s="8"/>
      <c r="I336" s="8"/>
      <c r="J336" s="8"/>
      <c r="K336" s="8"/>
      <c r="L336" s="8"/>
    </row>
    <row r="337" spans="1:12" ht="14.4">
      <c r="A337" s="205"/>
      <c r="B337" s="8"/>
      <c r="C337" s="8"/>
      <c r="D337" s="8"/>
      <c r="E337" s="8"/>
      <c r="F337" s="8"/>
      <c r="G337" s="8"/>
      <c r="H337" s="8"/>
      <c r="I337" s="8"/>
      <c r="J337" s="8"/>
      <c r="K337" s="8"/>
      <c r="L337" s="8"/>
    </row>
    <row r="338" spans="1:12" ht="14.4">
      <c r="A338" s="205"/>
      <c r="B338" s="8"/>
      <c r="C338" s="8"/>
      <c r="D338" s="8"/>
      <c r="E338" s="8"/>
      <c r="F338" s="8"/>
      <c r="G338" s="8"/>
      <c r="H338" s="8"/>
      <c r="I338" s="8"/>
      <c r="J338" s="8"/>
      <c r="K338" s="8"/>
      <c r="L338" s="8"/>
    </row>
    <row r="339" spans="1:12" ht="14.4">
      <c r="A339" s="205"/>
      <c r="B339" s="8"/>
      <c r="C339" s="8"/>
      <c r="D339" s="8"/>
      <c r="E339" s="8"/>
      <c r="F339" s="8"/>
      <c r="G339" s="8"/>
      <c r="H339" s="8"/>
      <c r="I339" s="8"/>
      <c r="J339" s="8"/>
      <c r="K339" s="8"/>
      <c r="L339" s="8"/>
    </row>
    <row r="340" spans="1:12" ht="14.4">
      <c r="A340" s="205"/>
      <c r="B340" s="8"/>
      <c r="C340" s="8"/>
      <c r="D340" s="8"/>
      <c r="E340" s="8"/>
      <c r="F340" s="8"/>
      <c r="G340" s="8"/>
      <c r="H340" s="8"/>
      <c r="I340" s="8"/>
      <c r="J340" s="8"/>
      <c r="K340" s="8"/>
      <c r="L340" s="8"/>
    </row>
    <row r="341" spans="1:12" ht="14.4">
      <c r="A341" s="205"/>
      <c r="B341" s="8"/>
      <c r="C341" s="8"/>
      <c r="D341" s="8"/>
      <c r="E341" s="8"/>
      <c r="F341" s="8"/>
      <c r="G341" s="8"/>
      <c r="H341" s="8"/>
      <c r="I341" s="8"/>
      <c r="J341" s="8"/>
      <c r="K341" s="8"/>
      <c r="L341" s="8"/>
    </row>
    <row r="342" spans="1:12" ht="14.4">
      <c r="A342" s="205"/>
      <c r="B342" s="8"/>
      <c r="C342" s="8"/>
      <c r="D342" s="8"/>
      <c r="E342" s="8"/>
      <c r="F342" s="8"/>
      <c r="G342" s="8"/>
      <c r="H342" s="8"/>
      <c r="I342" s="8"/>
      <c r="J342" s="8"/>
      <c r="K342" s="8"/>
      <c r="L342" s="8"/>
    </row>
    <row r="343" spans="1:12" ht="14.4">
      <c r="A343" s="205"/>
      <c r="B343" s="8"/>
      <c r="C343" s="8"/>
      <c r="D343" s="8"/>
      <c r="E343" s="8"/>
      <c r="F343" s="8"/>
      <c r="G343" s="8"/>
      <c r="H343" s="8"/>
      <c r="I343" s="8"/>
      <c r="J343" s="8"/>
      <c r="K343" s="8"/>
      <c r="L343" s="8"/>
    </row>
    <row r="344" spans="1:12" ht="14.4">
      <c r="A344" s="205"/>
      <c r="B344" s="8"/>
      <c r="C344" s="8"/>
      <c r="D344" s="8"/>
      <c r="E344" s="8"/>
      <c r="F344" s="8"/>
      <c r="G344" s="8"/>
      <c r="H344" s="8"/>
      <c r="I344" s="8"/>
      <c r="J344" s="8"/>
      <c r="K344" s="8"/>
      <c r="L344" s="8"/>
    </row>
    <row r="345" spans="1:12" ht="14.4">
      <c r="A345" s="205"/>
      <c r="B345" s="8"/>
      <c r="C345" s="8"/>
      <c r="D345" s="8"/>
      <c r="E345" s="8"/>
      <c r="F345" s="8"/>
      <c r="G345" s="8"/>
      <c r="H345" s="8"/>
      <c r="I345" s="8"/>
      <c r="J345" s="8"/>
      <c r="K345" s="8"/>
      <c r="L345" s="8"/>
    </row>
    <row r="346" spans="1:12" ht="14.4">
      <c r="A346" s="205"/>
      <c r="B346" s="8"/>
      <c r="C346" s="8"/>
      <c r="D346" s="8"/>
      <c r="E346" s="8"/>
      <c r="F346" s="8"/>
      <c r="G346" s="8"/>
      <c r="H346" s="8"/>
      <c r="I346" s="8"/>
      <c r="J346" s="8"/>
      <c r="K346" s="8"/>
      <c r="L346" s="8"/>
    </row>
    <row r="347" spans="1:12" ht="14.4">
      <c r="A347" s="205"/>
      <c r="B347" s="8"/>
      <c r="C347" s="8"/>
      <c r="D347" s="8"/>
      <c r="E347" s="8"/>
      <c r="F347" s="8"/>
      <c r="G347" s="8"/>
      <c r="H347" s="8"/>
      <c r="I347" s="8"/>
      <c r="J347" s="8"/>
      <c r="K347" s="8"/>
      <c r="L347" s="8"/>
    </row>
    <row r="348" spans="1:12" ht="14.4">
      <c r="A348" s="205"/>
      <c r="B348" s="8"/>
      <c r="C348" s="8"/>
      <c r="D348" s="8"/>
      <c r="E348" s="8"/>
      <c r="F348" s="8"/>
      <c r="G348" s="8"/>
      <c r="H348" s="8"/>
      <c r="I348" s="8"/>
      <c r="J348" s="8"/>
      <c r="K348" s="8"/>
      <c r="L348" s="8"/>
    </row>
    <row r="349" spans="1:12" ht="14.4">
      <c r="A349" s="205"/>
      <c r="B349" s="8"/>
      <c r="C349" s="8"/>
      <c r="D349" s="8"/>
      <c r="E349" s="8"/>
      <c r="F349" s="8"/>
      <c r="G349" s="8"/>
      <c r="H349" s="8"/>
      <c r="I349" s="8"/>
      <c r="J349" s="8"/>
      <c r="K349" s="8"/>
      <c r="L349" s="8"/>
    </row>
    <row r="350" spans="1:12" ht="14.4">
      <c r="A350" s="205"/>
      <c r="B350" s="8"/>
      <c r="C350" s="8"/>
      <c r="D350" s="8"/>
      <c r="E350" s="8"/>
      <c r="F350" s="8"/>
      <c r="G350" s="8"/>
      <c r="H350" s="8"/>
      <c r="I350" s="8"/>
      <c r="J350" s="8"/>
      <c r="K350" s="8"/>
      <c r="L350" s="8"/>
    </row>
    <row r="351" spans="1:12" ht="14.4">
      <c r="A351" s="205"/>
      <c r="B351" s="8"/>
      <c r="C351" s="8"/>
      <c r="D351" s="8"/>
      <c r="E351" s="8"/>
      <c r="F351" s="8"/>
      <c r="G351" s="8"/>
      <c r="H351" s="8"/>
      <c r="I351" s="8"/>
      <c r="J351" s="8"/>
      <c r="K351" s="8"/>
      <c r="L351" s="8"/>
    </row>
    <row r="352" spans="1:12" ht="14.4">
      <c r="A352" s="205"/>
      <c r="B352" s="8"/>
      <c r="C352" s="8"/>
      <c r="D352" s="8"/>
      <c r="E352" s="8"/>
      <c r="F352" s="8"/>
      <c r="G352" s="8"/>
      <c r="H352" s="8"/>
      <c r="I352" s="8"/>
      <c r="J352" s="8"/>
      <c r="K352" s="8"/>
      <c r="L352" s="8"/>
    </row>
    <row r="353" spans="1:12" ht="14.4">
      <c r="A353" s="205"/>
      <c r="B353" s="8"/>
      <c r="C353" s="8"/>
      <c r="D353" s="8"/>
      <c r="E353" s="8"/>
      <c r="F353" s="8"/>
      <c r="G353" s="8"/>
      <c r="H353" s="8"/>
      <c r="I353" s="8"/>
      <c r="J353" s="8"/>
      <c r="K353" s="8"/>
      <c r="L353" s="8"/>
    </row>
    <row r="354" spans="1:12" ht="14.4">
      <c r="A354" s="205"/>
      <c r="B354" s="8"/>
      <c r="C354" s="8"/>
      <c r="D354" s="8"/>
      <c r="E354" s="8"/>
      <c r="F354" s="8"/>
      <c r="G354" s="8"/>
      <c r="H354" s="8"/>
      <c r="I354" s="8"/>
      <c r="J354" s="8"/>
      <c r="K354" s="8"/>
      <c r="L354" s="8"/>
    </row>
    <row r="355" spans="1:12" ht="14.4">
      <c r="A355" s="205"/>
      <c r="B355" s="8"/>
      <c r="C355" s="8"/>
      <c r="D355" s="8"/>
      <c r="E355" s="8"/>
      <c r="F355" s="8"/>
      <c r="G355" s="8"/>
      <c r="H355" s="8"/>
      <c r="I355" s="8"/>
      <c r="J355" s="8"/>
      <c r="K355" s="8"/>
      <c r="L355" s="8"/>
    </row>
    <row r="356" spans="1:12" ht="14.4">
      <c r="A356" s="205"/>
      <c r="B356" s="8"/>
      <c r="C356" s="8"/>
      <c r="D356" s="8"/>
      <c r="E356" s="8"/>
      <c r="F356" s="8"/>
      <c r="G356" s="8"/>
      <c r="H356" s="8"/>
      <c r="I356" s="8"/>
      <c r="J356" s="8"/>
      <c r="K356" s="8"/>
      <c r="L356" s="8"/>
    </row>
    <row r="357" spans="1:12" ht="14.4">
      <c r="A357" s="205"/>
      <c r="B357" s="8"/>
      <c r="C357" s="8"/>
      <c r="D357" s="8"/>
      <c r="E357" s="8"/>
      <c r="F357" s="8"/>
      <c r="G357" s="8"/>
      <c r="H357" s="8"/>
      <c r="I357" s="8"/>
      <c r="J357" s="8"/>
      <c r="K357" s="8"/>
      <c r="L357" s="8"/>
    </row>
    <row r="358" spans="1:12" ht="14.4">
      <c r="A358" s="205"/>
      <c r="B358" s="8"/>
      <c r="C358" s="8"/>
      <c r="D358" s="8"/>
      <c r="E358" s="8"/>
      <c r="F358" s="8"/>
      <c r="G358" s="8"/>
      <c r="H358" s="8"/>
      <c r="I358" s="8"/>
      <c r="J358" s="8"/>
      <c r="K358" s="8"/>
      <c r="L358" s="8"/>
    </row>
    <row r="359" spans="1:12" ht="14.4">
      <c r="A359" s="205"/>
      <c r="B359" s="8"/>
      <c r="C359" s="8"/>
      <c r="D359" s="8"/>
      <c r="E359" s="8"/>
      <c r="F359" s="8"/>
      <c r="G359" s="8"/>
      <c r="H359" s="8"/>
      <c r="I359" s="8"/>
      <c r="J359" s="8"/>
      <c r="K359" s="8"/>
      <c r="L359" s="8"/>
    </row>
    <row r="360" spans="1:12" ht="14.4">
      <c r="A360" s="205"/>
      <c r="B360" s="8"/>
      <c r="C360" s="8"/>
      <c r="D360" s="8"/>
      <c r="E360" s="8"/>
      <c r="F360" s="8"/>
      <c r="G360" s="8"/>
      <c r="H360" s="8"/>
      <c r="I360" s="8"/>
      <c r="J360" s="8"/>
      <c r="K360" s="8"/>
      <c r="L360" s="8"/>
    </row>
    <row r="361" spans="1:12" ht="14.4">
      <c r="A361" s="205"/>
      <c r="B361" s="8"/>
      <c r="C361" s="8"/>
      <c r="D361" s="8"/>
      <c r="E361" s="8"/>
      <c r="F361" s="8"/>
      <c r="G361" s="8"/>
      <c r="H361" s="8"/>
      <c r="I361" s="8"/>
      <c r="J361" s="8"/>
      <c r="K361" s="8"/>
      <c r="L361" s="8"/>
    </row>
    <row r="362" spans="1:12" ht="14.4">
      <c r="A362" s="205"/>
      <c r="B362" s="8"/>
      <c r="C362" s="8"/>
      <c r="D362" s="8"/>
      <c r="E362" s="8"/>
      <c r="F362" s="8"/>
      <c r="G362" s="8"/>
      <c r="H362" s="8"/>
      <c r="I362" s="8"/>
      <c r="J362" s="8"/>
      <c r="K362" s="8"/>
      <c r="L362" s="8"/>
    </row>
    <row r="363" spans="1:12" ht="14.4">
      <c r="A363" s="205"/>
      <c r="B363" s="8"/>
      <c r="C363" s="8"/>
      <c r="D363" s="8"/>
      <c r="E363" s="8"/>
      <c r="F363" s="8"/>
      <c r="G363" s="8"/>
      <c r="H363" s="8"/>
      <c r="I363" s="8"/>
      <c r="J363" s="8"/>
      <c r="K363" s="8"/>
      <c r="L363" s="8"/>
    </row>
    <row r="364" spans="1:12" ht="14.4">
      <c r="A364" s="205"/>
      <c r="B364" s="8"/>
      <c r="C364" s="8"/>
      <c r="D364" s="8"/>
      <c r="E364" s="8"/>
      <c r="F364" s="8"/>
      <c r="G364" s="8"/>
      <c r="H364" s="8"/>
      <c r="I364" s="8"/>
      <c r="J364" s="8"/>
      <c r="K364" s="8"/>
      <c r="L364" s="8"/>
    </row>
    <row r="365" spans="1:12" ht="14.4">
      <c r="A365" s="205"/>
      <c r="B365" s="8"/>
      <c r="C365" s="8"/>
      <c r="D365" s="8"/>
      <c r="E365" s="8"/>
      <c r="F365" s="8"/>
      <c r="G365" s="8"/>
      <c r="H365" s="8"/>
      <c r="I365" s="8"/>
      <c r="J365" s="8"/>
      <c r="K365" s="8"/>
      <c r="L365" s="8"/>
    </row>
    <row r="366" spans="1:12" ht="14.4">
      <c r="A366" s="205"/>
      <c r="B366" s="8"/>
      <c r="C366" s="8"/>
      <c r="D366" s="8"/>
      <c r="E366" s="8"/>
      <c r="F366" s="8"/>
      <c r="G366" s="8"/>
      <c r="H366" s="8"/>
      <c r="I366" s="8"/>
      <c r="J366" s="8"/>
      <c r="K366" s="8"/>
      <c r="L366" s="8"/>
    </row>
    <row r="367" spans="1:12" ht="14.4">
      <c r="A367" s="205"/>
      <c r="B367" s="8"/>
      <c r="C367" s="8"/>
      <c r="D367" s="8"/>
      <c r="E367" s="8"/>
      <c r="F367" s="8"/>
      <c r="G367" s="8"/>
      <c r="H367" s="8"/>
      <c r="I367" s="8"/>
      <c r="J367" s="8"/>
      <c r="K367" s="8"/>
      <c r="L367" s="8"/>
    </row>
    <row r="368" spans="1:12" ht="14.4">
      <c r="A368" s="205"/>
      <c r="B368" s="8"/>
      <c r="C368" s="8"/>
      <c r="D368" s="8"/>
      <c r="E368" s="8"/>
      <c r="F368" s="8"/>
      <c r="G368" s="8"/>
      <c r="H368" s="8"/>
      <c r="I368" s="8"/>
      <c r="J368" s="8"/>
      <c r="K368" s="8"/>
      <c r="L368" s="8"/>
    </row>
    <row r="369" spans="1:12" ht="14.4">
      <c r="A369" s="205"/>
      <c r="B369" s="8"/>
      <c r="C369" s="8"/>
      <c r="D369" s="8"/>
      <c r="E369" s="8"/>
      <c r="F369" s="8"/>
      <c r="G369" s="8"/>
      <c r="H369" s="8"/>
      <c r="I369" s="8"/>
      <c r="J369" s="8"/>
      <c r="K369" s="8"/>
      <c r="L369" s="8"/>
    </row>
    <row r="370" spans="1:12" ht="14.4">
      <c r="A370" s="205"/>
      <c r="B370" s="8"/>
      <c r="C370" s="8"/>
      <c r="D370" s="8"/>
      <c r="E370" s="8"/>
      <c r="F370" s="8"/>
      <c r="G370" s="8"/>
      <c r="H370" s="8"/>
      <c r="I370" s="8"/>
      <c r="J370" s="8"/>
      <c r="K370" s="8"/>
      <c r="L370" s="8"/>
    </row>
    <row r="371" spans="1:12" ht="14.4">
      <c r="A371" s="205"/>
      <c r="B371" s="8"/>
      <c r="C371" s="8"/>
      <c r="D371" s="8"/>
      <c r="E371" s="8"/>
      <c r="F371" s="8"/>
      <c r="G371" s="8"/>
      <c r="H371" s="8"/>
      <c r="I371" s="8"/>
      <c r="J371" s="8"/>
      <c r="K371" s="8"/>
      <c r="L371" s="8"/>
    </row>
    <row r="372" spans="1:12" ht="14.4">
      <c r="A372" s="205"/>
      <c r="B372" s="8"/>
      <c r="C372" s="8"/>
      <c r="D372" s="8"/>
      <c r="E372" s="8"/>
      <c r="F372" s="8"/>
      <c r="G372" s="8"/>
      <c r="H372" s="8"/>
      <c r="I372" s="8"/>
      <c r="J372" s="8"/>
      <c r="K372" s="8"/>
      <c r="L372" s="8"/>
    </row>
    <row r="373" spans="1:12" ht="14.4">
      <c r="A373" s="205"/>
      <c r="B373" s="8"/>
      <c r="C373" s="8"/>
      <c r="D373" s="8"/>
      <c r="E373" s="8"/>
      <c r="F373" s="8"/>
      <c r="G373" s="8"/>
      <c r="H373" s="8"/>
      <c r="I373" s="8"/>
      <c r="J373" s="8"/>
      <c r="K373" s="8"/>
      <c r="L373" s="8"/>
    </row>
    <row r="374" spans="1:12" ht="14.4">
      <c r="A374" s="205"/>
      <c r="B374" s="8"/>
      <c r="C374" s="8"/>
      <c r="D374" s="8"/>
      <c r="E374" s="8"/>
      <c r="F374" s="8"/>
      <c r="G374" s="8"/>
      <c r="H374" s="8"/>
      <c r="I374" s="8"/>
      <c r="J374" s="8"/>
      <c r="K374" s="8"/>
      <c r="L374" s="8"/>
    </row>
    <row r="375" spans="1:12" ht="14.4">
      <c r="A375" s="205"/>
      <c r="B375" s="8"/>
      <c r="C375" s="8"/>
      <c r="D375" s="8"/>
      <c r="E375" s="8"/>
      <c r="F375" s="8"/>
      <c r="G375" s="8"/>
      <c r="H375" s="8"/>
      <c r="I375" s="8"/>
      <c r="J375" s="8"/>
      <c r="K375" s="8"/>
      <c r="L375" s="8"/>
    </row>
    <row r="376" spans="1:12" ht="14.4">
      <c r="A376" s="205"/>
      <c r="B376" s="8"/>
      <c r="C376" s="8"/>
      <c r="D376" s="8"/>
      <c r="E376" s="8"/>
      <c r="F376" s="8"/>
      <c r="G376" s="8"/>
      <c r="H376" s="8"/>
      <c r="I376" s="8"/>
      <c r="J376" s="8"/>
      <c r="K376" s="8"/>
      <c r="L376" s="8"/>
    </row>
    <row r="377" spans="1:12" ht="14.4">
      <c r="A377" s="205"/>
      <c r="B377" s="8"/>
      <c r="C377" s="8"/>
      <c r="D377" s="8"/>
      <c r="E377" s="8"/>
      <c r="F377" s="8"/>
      <c r="G377" s="8"/>
      <c r="H377" s="8"/>
      <c r="I377" s="8"/>
      <c r="J377" s="8"/>
      <c r="K377" s="8"/>
      <c r="L377" s="8"/>
    </row>
    <row r="378" spans="1:12" ht="14.4">
      <c r="A378" s="205"/>
      <c r="B378" s="8"/>
      <c r="C378" s="8"/>
      <c r="D378" s="8"/>
      <c r="E378" s="8"/>
      <c r="F378" s="8"/>
      <c r="G378" s="8"/>
      <c r="H378" s="8"/>
      <c r="I378" s="8"/>
      <c r="J378" s="8"/>
      <c r="K378" s="8"/>
      <c r="L378" s="8"/>
    </row>
    <row r="379" spans="1:12" ht="14.4">
      <c r="A379" s="205"/>
      <c r="B379" s="8"/>
      <c r="C379" s="8"/>
      <c r="D379" s="8"/>
      <c r="E379" s="8"/>
      <c r="F379" s="8"/>
      <c r="G379" s="8"/>
      <c r="H379" s="8"/>
      <c r="I379" s="8"/>
      <c r="J379" s="8"/>
      <c r="K379" s="8"/>
      <c r="L379" s="8"/>
    </row>
    <row r="380" spans="1:12" ht="14.4">
      <c r="A380" s="205"/>
      <c r="B380" s="8"/>
      <c r="C380" s="8"/>
      <c r="D380" s="8"/>
      <c r="E380" s="8"/>
      <c r="F380" s="8"/>
      <c r="G380" s="8"/>
      <c r="H380" s="8"/>
      <c r="I380" s="8"/>
      <c r="J380" s="8"/>
      <c r="K380" s="8"/>
      <c r="L380" s="8"/>
    </row>
    <row r="381" spans="1:12" ht="14.4">
      <c r="A381" s="205"/>
      <c r="B381" s="8"/>
      <c r="C381" s="8"/>
      <c r="D381" s="8"/>
      <c r="E381" s="8"/>
      <c r="F381" s="8"/>
      <c r="G381" s="8"/>
      <c r="H381" s="8"/>
      <c r="I381" s="8"/>
      <c r="J381" s="8"/>
      <c r="K381" s="8"/>
      <c r="L381" s="8"/>
    </row>
    <row r="382" spans="1:12" ht="14.4">
      <c r="A382" s="205"/>
      <c r="B382" s="8"/>
      <c r="C382" s="8"/>
      <c r="D382" s="8"/>
      <c r="E382" s="8"/>
      <c r="F382" s="8"/>
      <c r="G382" s="8"/>
      <c r="H382" s="8"/>
      <c r="I382" s="8"/>
      <c r="J382" s="8"/>
      <c r="K382" s="8"/>
      <c r="L382" s="8"/>
    </row>
    <row r="383" spans="1:12" ht="14.4">
      <c r="A383" s="205"/>
      <c r="B383" s="8"/>
      <c r="C383" s="8"/>
      <c r="D383" s="8"/>
      <c r="E383" s="8"/>
      <c r="F383" s="8"/>
      <c r="G383" s="8"/>
      <c r="H383" s="8"/>
      <c r="I383" s="8"/>
      <c r="J383" s="8"/>
      <c r="K383" s="8"/>
      <c r="L383" s="8"/>
    </row>
    <row r="384" spans="1:12" ht="14.4">
      <c r="A384" s="205"/>
      <c r="B384" s="8"/>
      <c r="C384" s="8"/>
      <c r="D384" s="8"/>
      <c r="E384" s="8"/>
      <c r="F384" s="8"/>
      <c r="G384" s="8"/>
      <c r="H384" s="8"/>
      <c r="I384" s="8"/>
      <c r="J384" s="8"/>
      <c r="K384" s="8"/>
      <c r="L384" s="8"/>
    </row>
    <row r="385" spans="1:12" ht="14.4">
      <c r="A385" s="205"/>
      <c r="B385" s="8"/>
      <c r="C385" s="8"/>
      <c r="D385" s="8"/>
      <c r="E385" s="8"/>
      <c r="F385" s="8"/>
      <c r="G385" s="8"/>
      <c r="H385" s="8"/>
      <c r="I385" s="8"/>
      <c r="J385" s="8"/>
      <c r="K385" s="8"/>
      <c r="L385" s="8"/>
    </row>
    <row r="386" spans="1:12" ht="14.4">
      <c r="A386" s="205"/>
      <c r="B386" s="8"/>
      <c r="C386" s="8"/>
      <c r="D386" s="8"/>
      <c r="E386" s="8"/>
      <c r="F386" s="8"/>
      <c r="G386" s="8"/>
      <c r="H386" s="8"/>
      <c r="I386" s="8"/>
      <c r="J386" s="8"/>
      <c r="K386" s="8"/>
      <c r="L386" s="8"/>
    </row>
    <row r="387" spans="1:12" ht="14.4">
      <c r="A387" s="205"/>
      <c r="B387" s="8"/>
      <c r="C387" s="8"/>
      <c r="D387" s="8"/>
      <c r="E387" s="8"/>
      <c r="F387" s="8"/>
      <c r="G387" s="8"/>
      <c r="H387" s="8"/>
      <c r="I387" s="8"/>
      <c r="J387" s="8"/>
      <c r="K387" s="8"/>
      <c r="L387" s="8"/>
    </row>
    <row r="388" spans="1:12" ht="14.4">
      <c r="A388" s="205"/>
      <c r="B388" s="8"/>
      <c r="C388" s="8"/>
      <c r="D388" s="8"/>
      <c r="E388" s="8"/>
      <c r="F388" s="8"/>
      <c r="G388" s="8"/>
      <c r="H388" s="8"/>
      <c r="I388" s="8"/>
      <c r="J388" s="8"/>
      <c r="K388" s="8"/>
      <c r="L388" s="8"/>
    </row>
    <row r="389" spans="1:12" ht="14.4">
      <c r="A389" s="205"/>
      <c r="B389" s="8"/>
      <c r="C389" s="8"/>
      <c r="D389" s="8"/>
      <c r="E389" s="8"/>
      <c r="F389" s="8"/>
      <c r="G389" s="8"/>
      <c r="H389" s="8"/>
      <c r="I389" s="8"/>
      <c r="J389" s="8"/>
      <c r="K389" s="8"/>
      <c r="L389" s="8"/>
    </row>
    <row r="390" spans="1:12" ht="14.4">
      <c r="A390" s="205"/>
      <c r="B390" s="8"/>
      <c r="C390" s="8"/>
      <c r="D390" s="8"/>
      <c r="E390" s="8"/>
      <c r="F390" s="8"/>
      <c r="G390" s="8"/>
      <c r="H390" s="8"/>
      <c r="I390" s="8"/>
      <c r="J390" s="8"/>
      <c r="K390" s="8"/>
      <c r="L390" s="8"/>
    </row>
    <row r="391" spans="1:12" ht="14.4">
      <c r="A391" s="205"/>
      <c r="B391" s="8"/>
      <c r="C391" s="8"/>
      <c r="D391" s="8"/>
      <c r="E391" s="8"/>
      <c r="F391" s="8"/>
      <c r="G391" s="8"/>
      <c r="H391" s="8"/>
      <c r="I391" s="8"/>
      <c r="J391" s="8"/>
      <c r="K391" s="8"/>
      <c r="L391" s="8"/>
    </row>
    <row r="392" spans="1:12" ht="14.4">
      <c r="A392" s="205"/>
      <c r="B392" s="8"/>
      <c r="C392" s="8"/>
      <c r="D392" s="8"/>
      <c r="E392" s="8"/>
      <c r="F392" s="8"/>
      <c r="G392" s="8"/>
      <c r="H392" s="8"/>
      <c r="I392" s="8"/>
      <c r="J392" s="8"/>
      <c r="K392" s="8"/>
      <c r="L392" s="8"/>
    </row>
    <row r="393" spans="1:12" ht="14.4">
      <c r="A393" s="205"/>
      <c r="B393" s="8"/>
      <c r="C393" s="8"/>
      <c r="D393" s="8"/>
      <c r="E393" s="8"/>
      <c r="F393" s="8"/>
      <c r="G393" s="8"/>
      <c r="H393" s="8"/>
      <c r="I393" s="8"/>
      <c r="J393" s="8"/>
      <c r="K393" s="8"/>
      <c r="L393" s="8"/>
    </row>
    <row r="394" spans="1:12" ht="14.4">
      <c r="A394" s="205"/>
      <c r="B394" s="8"/>
      <c r="C394" s="8"/>
      <c r="D394" s="8"/>
      <c r="E394" s="8"/>
      <c r="F394" s="8"/>
      <c r="G394" s="8"/>
      <c r="H394" s="8"/>
      <c r="I394" s="8"/>
      <c r="J394" s="8"/>
      <c r="K394" s="8"/>
      <c r="L394" s="8"/>
    </row>
    <row r="395" spans="1:12" ht="14.4">
      <c r="A395" s="205"/>
      <c r="B395" s="8"/>
      <c r="C395" s="8"/>
      <c r="D395" s="8"/>
      <c r="E395" s="8"/>
      <c r="F395" s="8"/>
      <c r="G395" s="8"/>
      <c r="H395" s="8"/>
      <c r="I395" s="8"/>
      <c r="J395" s="8"/>
      <c r="K395" s="8"/>
      <c r="L395" s="8"/>
    </row>
    <row r="396" spans="1:12" ht="14.4">
      <c r="A396" s="205"/>
      <c r="B396" s="8"/>
      <c r="C396" s="8"/>
      <c r="D396" s="8"/>
      <c r="E396" s="8"/>
      <c r="F396" s="8"/>
      <c r="G396" s="8"/>
      <c r="H396" s="8"/>
      <c r="I396" s="8"/>
      <c r="J396" s="8"/>
      <c r="K396" s="8"/>
      <c r="L396" s="8"/>
    </row>
    <row r="397" spans="1:12" ht="14.4">
      <c r="A397" s="205"/>
      <c r="B397" s="8"/>
      <c r="C397" s="8"/>
      <c r="D397" s="8"/>
      <c r="E397" s="8"/>
      <c r="F397" s="8"/>
      <c r="G397" s="8"/>
      <c r="H397" s="8"/>
      <c r="I397" s="8"/>
      <c r="J397" s="8"/>
      <c r="K397" s="8"/>
      <c r="L397" s="8"/>
    </row>
    <row r="398" spans="1:12" ht="14.4">
      <c r="A398" s="205"/>
      <c r="B398" s="8"/>
      <c r="C398" s="8"/>
      <c r="D398" s="8"/>
      <c r="E398" s="8"/>
      <c r="F398" s="8"/>
      <c r="G398" s="8"/>
      <c r="H398" s="8"/>
      <c r="I398" s="8"/>
      <c r="J398" s="8"/>
      <c r="K398" s="8"/>
      <c r="L398" s="8"/>
    </row>
    <row r="399" spans="1:12" ht="14.4">
      <c r="A399" s="205"/>
      <c r="B399" s="8"/>
      <c r="C399" s="8"/>
      <c r="D399" s="8"/>
      <c r="E399" s="8"/>
      <c r="F399" s="8"/>
      <c r="G399" s="8"/>
      <c r="H399" s="8"/>
      <c r="I399" s="8"/>
      <c r="J399" s="8"/>
      <c r="K399" s="8"/>
      <c r="L399" s="8"/>
    </row>
    <row r="400" spans="1:12" ht="14.4">
      <c r="A400" s="205"/>
      <c r="B400" s="8"/>
      <c r="C400" s="8"/>
      <c r="D400" s="8"/>
      <c r="E400" s="8"/>
      <c r="F400" s="8"/>
      <c r="G400" s="8"/>
      <c r="H400" s="8"/>
      <c r="I400" s="8"/>
      <c r="J400" s="8"/>
      <c r="K400" s="8"/>
      <c r="L400" s="8"/>
    </row>
    <row r="401" spans="1:12" ht="14.4">
      <c r="A401" s="205"/>
      <c r="B401" s="8"/>
      <c r="C401" s="8"/>
      <c r="D401" s="8"/>
      <c r="E401" s="8"/>
      <c r="F401" s="8"/>
      <c r="G401" s="8"/>
      <c r="H401" s="8"/>
      <c r="I401" s="8"/>
      <c r="J401" s="8"/>
      <c r="K401" s="8"/>
      <c r="L401" s="8"/>
    </row>
    <row r="402" spans="1:12" ht="14.4">
      <c r="A402" s="205"/>
      <c r="B402" s="8"/>
      <c r="C402" s="8"/>
      <c r="D402" s="8"/>
      <c r="E402" s="8"/>
      <c r="F402" s="8"/>
      <c r="G402" s="8"/>
      <c r="H402" s="8"/>
      <c r="I402" s="8"/>
      <c r="J402" s="8"/>
      <c r="K402" s="8"/>
      <c r="L402" s="8"/>
    </row>
    <row r="403" spans="1:12" ht="14.4">
      <c r="A403" s="205"/>
      <c r="B403" s="8"/>
      <c r="C403" s="8"/>
      <c r="D403" s="8"/>
      <c r="E403" s="8"/>
      <c r="F403" s="8"/>
      <c r="G403" s="8"/>
      <c r="H403" s="8"/>
      <c r="I403" s="8"/>
      <c r="J403" s="8"/>
      <c r="K403" s="8"/>
      <c r="L403" s="8"/>
    </row>
    <row r="404" spans="1:12" ht="14.4">
      <c r="A404" s="205"/>
      <c r="B404" s="8"/>
      <c r="C404" s="8"/>
      <c r="D404" s="8"/>
      <c r="E404" s="8"/>
      <c r="F404" s="8"/>
      <c r="G404" s="8"/>
      <c r="H404" s="8"/>
      <c r="I404" s="8"/>
      <c r="J404" s="8"/>
      <c r="K404" s="8"/>
      <c r="L404" s="8"/>
    </row>
    <row r="405" spans="1:12" ht="14.4">
      <c r="A405" s="205"/>
      <c r="B405" s="8"/>
      <c r="C405" s="8"/>
      <c r="D405" s="8"/>
      <c r="E405" s="8"/>
      <c r="F405" s="8"/>
      <c r="G405" s="8"/>
      <c r="H405" s="8"/>
      <c r="I405" s="8"/>
      <c r="J405" s="8"/>
      <c r="K405" s="8"/>
      <c r="L405" s="8"/>
    </row>
    <row r="406" spans="1:12" ht="14.4">
      <c r="A406" s="205"/>
      <c r="B406" s="8"/>
      <c r="C406" s="8"/>
      <c r="D406" s="8"/>
      <c r="E406" s="8"/>
      <c r="F406" s="8"/>
      <c r="G406" s="8"/>
      <c r="H406" s="8"/>
      <c r="I406" s="8"/>
      <c r="J406" s="8"/>
      <c r="K406" s="8"/>
      <c r="L406" s="8"/>
    </row>
    <row r="407" spans="1:12" ht="14.4">
      <c r="A407" s="205"/>
      <c r="B407" s="8"/>
      <c r="C407" s="8"/>
      <c r="D407" s="8"/>
      <c r="E407" s="8"/>
      <c r="F407" s="8"/>
      <c r="G407" s="8"/>
      <c r="H407" s="8"/>
      <c r="I407" s="8"/>
      <c r="J407" s="8"/>
      <c r="K407" s="8"/>
      <c r="L407" s="8"/>
    </row>
    <row r="408" spans="1:12" ht="14.4">
      <c r="A408" s="205"/>
      <c r="B408" s="8"/>
      <c r="C408" s="8"/>
      <c r="D408" s="8"/>
      <c r="E408" s="8"/>
      <c r="F408" s="8"/>
      <c r="G408" s="8"/>
      <c r="H408" s="8"/>
      <c r="I408" s="8"/>
      <c r="J408" s="8"/>
      <c r="K408" s="8"/>
      <c r="L408" s="8"/>
    </row>
    <row r="409" spans="1:12" ht="14.4">
      <c r="A409" s="205"/>
      <c r="B409" s="8"/>
      <c r="C409" s="8"/>
      <c r="D409" s="8"/>
      <c r="E409" s="8"/>
      <c r="F409" s="8"/>
      <c r="G409" s="8"/>
      <c r="H409" s="8"/>
      <c r="I409" s="8"/>
      <c r="J409" s="8"/>
      <c r="K409" s="8"/>
      <c r="L409" s="8"/>
    </row>
    <row r="410" spans="1:12" ht="14.4">
      <c r="A410" s="205"/>
      <c r="B410" s="8"/>
      <c r="C410" s="8"/>
      <c r="D410" s="8"/>
      <c r="E410" s="8"/>
      <c r="F410" s="8"/>
      <c r="G410" s="8"/>
      <c r="H410" s="8"/>
      <c r="I410" s="8"/>
      <c r="J410" s="8"/>
      <c r="K410" s="8"/>
      <c r="L410" s="8"/>
    </row>
    <row r="411" spans="1:12" ht="14.4">
      <c r="A411" s="205"/>
      <c r="B411" s="8"/>
      <c r="C411" s="8"/>
      <c r="D411" s="8"/>
      <c r="E411" s="8"/>
      <c r="F411" s="8"/>
      <c r="G411" s="8"/>
      <c r="H411" s="8"/>
      <c r="I411" s="8"/>
      <c r="J411" s="8"/>
      <c r="K411" s="8"/>
      <c r="L411" s="8"/>
    </row>
    <row r="412" spans="1:12" ht="14.4">
      <c r="A412" s="205"/>
      <c r="B412" s="8"/>
      <c r="C412" s="8"/>
      <c r="D412" s="8"/>
      <c r="E412" s="8"/>
      <c r="F412" s="8"/>
      <c r="G412" s="8"/>
      <c r="H412" s="8"/>
      <c r="I412" s="8"/>
      <c r="J412" s="8"/>
      <c r="K412" s="8"/>
      <c r="L412" s="8"/>
    </row>
    <row r="413" spans="1:12" ht="14.4">
      <c r="A413" s="205"/>
      <c r="B413" s="8"/>
      <c r="C413" s="8"/>
      <c r="D413" s="8"/>
      <c r="E413" s="8"/>
      <c r="F413" s="8"/>
      <c r="G413" s="8"/>
      <c r="H413" s="8"/>
      <c r="I413" s="8"/>
      <c r="J413" s="8"/>
      <c r="K413" s="8"/>
      <c r="L413" s="8"/>
    </row>
    <row r="414" spans="1:12" ht="14.4">
      <c r="A414" s="205"/>
      <c r="B414" s="8"/>
      <c r="C414" s="8"/>
      <c r="D414" s="8"/>
      <c r="E414" s="8"/>
      <c r="F414" s="8"/>
      <c r="G414" s="8"/>
      <c r="H414" s="8"/>
      <c r="I414" s="8"/>
      <c r="J414" s="8"/>
      <c r="K414" s="8"/>
      <c r="L414" s="8"/>
    </row>
    <row r="415" spans="1:12" ht="14.4">
      <c r="A415" s="205"/>
      <c r="B415" s="8"/>
      <c r="C415" s="8"/>
      <c r="D415" s="8"/>
      <c r="E415" s="8"/>
      <c r="F415" s="8"/>
      <c r="G415" s="8"/>
      <c r="H415" s="8"/>
      <c r="I415" s="8"/>
      <c r="J415" s="8"/>
      <c r="K415" s="8"/>
      <c r="L415" s="8"/>
    </row>
    <row r="416" spans="1:12" ht="14.4">
      <c r="A416" s="205"/>
      <c r="B416" s="8"/>
      <c r="C416" s="8"/>
      <c r="D416" s="8"/>
      <c r="E416" s="8"/>
      <c r="F416" s="8"/>
      <c r="G416" s="8"/>
      <c r="H416" s="8"/>
      <c r="I416" s="8"/>
      <c r="J416" s="8"/>
      <c r="K416" s="8"/>
      <c r="L416" s="8"/>
    </row>
    <row r="417" spans="1:12" ht="14.4">
      <c r="A417" s="205"/>
      <c r="B417" s="8"/>
      <c r="C417" s="8"/>
      <c r="D417" s="8"/>
      <c r="E417" s="8"/>
      <c r="F417" s="8"/>
      <c r="G417" s="8"/>
      <c r="H417" s="8"/>
      <c r="I417" s="8"/>
      <c r="J417" s="8"/>
      <c r="K417" s="8"/>
      <c r="L417" s="8"/>
    </row>
    <row r="418" spans="1:12" ht="14.4">
      <c r="A418" s="205"/>
      <c r="B418" s="8"/>
      <c r="C418" s="8"/>
      <c r="D418" s="8"/>
      <c r="E418" s="8"/>
      <c r="F418" s="8"/>
      <c r="G418" s="8"/>
      <c r="H418" s="8"/>
      <c r="I418" s="8"/>
      <c r="J418" s="8"/>
      <c r="K418" s="8"/>
      <c r="L418" s="8"/>
    </row>
    <row r="419" spans="1:12" ht="14.4">
      <c r="A419" s="205"/>
      <c r="B419" s="8"/>
      <c r="C419" s="8"/>
      <c r="D419" s="8"/>
      <c r="E419" s="8"/>
      <c r="F419" s="8"/>
      <c r="G419" s="8"/>
      <c r="H419" s="8"/>
      <c r="I419" s="8"/>
      <c r="J419" s="8"/>
      <c r="K419" s="8"/>
      <c r="L419" s="8"/>
    </row>
    <row r="420" spans="1:12" ht="14.4">
      <c r="A420" s="205"/>
      <c r="B420" s="8"/>
      <c r="C420" s="8"/>
      <c r="D420" s="8"/>
      <c r="E420" s="8"/>
      <c r="F420" s="8"/>
      <c r="G420" s="8"/>
      <c r="H420" s="8"/>
      <c r="I420" s="8"/>
      <c r="J420" s="8"/>
      <c r="K420" s="8"/>
      <c r="L420" s="8"/>
    </row>
    <row r="421" spans="1:12" ht="14.4">
      <c r="A421" s="205"/>
      <c r="B421" s="8"/>
      <c r="C421" s="8"/>
      <c r="D421" s="8"/>
      <c r="E421" s="8"/>
      <c r="F421" s="8"/>
      <c r="G421" s="8"/>
      <c r="H421" s="8"/>
      <c r="I421" s="8"/>
      <c r="J421" s="8"/>
      <c r="K421" s="8"/>
      <c r="L421" s="8"/>
    </row>
    <row r="422" spans="1:12" ht="14.4">
      <c r="A422" s="205"/>
      <c r="B422" s="8"/>
      <c r="C422" s="8"/>
      <c r="D422" s="8"/>
      <c r="E422" s="8"/>
      <c r="F422" s="8"/>
      <c r="G422" s="8"/>
      <c r="H422" s="8"/>
      <c r="I422" s="8"/>
      <c r="J422" s="8"/>
      <c r="K422" s="8"/>
      <c r="L422" s="8"/>
    </row>
    <row r="423" spans="1:12" ht="14.4">
      <c r="A423" s="205"/>
      <c r="B423" s="8"/>
      <c r="C423" s="8"/>
      <c r="D423" s="8"/>
      <c r="E423" s="8"/>
      <c r="F423" s="8"/>
      <c r="G423" s="8"/>
      <c r="H423" s="8"/>
      <c r="I423" s="8"/>
      <c r="J423" s="8"/>
      <c r="K423" s="8"/>
      <c r="L423" s="8"/>
    </row>
    <row r="424" spans="1:12" ht="14.4">
      <c r="A424" s="205"/>
      <c r="B424" s="8"/>
      <c r="C424" s="8"/>
      <c r="D424" s="8"/>
      <c r="E424" s="8"/>
      <c r="F424" s="8"/>
      <c r="G424" s="8"/>
      <c r="H424" s="8"/>
      <c r="I424" s="8"/>
      <c r="J424" s="8"/>
      <c r="K424" s="8"/>
      <c r="L424" s="8"/>
    </row>
    <row r="425" spans="1:12" ht="14.4">
      <c r="A425" s="205"/>
      <c r="B425" s="8"/>
      <c r="C425" s="8"/>
      <c r="D425" s="8"/>
      <c r="E425" s="8"/>
      <c r="F425" s="8"/>
      <c r="G425" s="8"/>
      <c r="H425" s="8"/>
      <c r="I425" s="8"/>
      <c r="J425" s="8"/>
      <c r="K425" s="8"/>
      <c r="L425" s="8"/>
    </row>
    <row r="426" spans="1:12" ht="14.4">
      <c r="A426" s="205"/>
      <c r="B426" s="8"/>
      <c r="C426" s="8"/>
      <c r="D426" s="8"/>
      <c r="E426" s="8"/>
      <c r="F426" s="8"/>
      <c r="G426" s="8"/>
      <c r="H426" s="8"/>
      <c r="I426" s="8"/>
      <c r="J426" s="8"/>
      <c r="K426" s="8"/>
      <c r="L426" s="8"/>
    </row>
    <row r="427" spans="1:12" ht="14.4">
      <c r="A427" s="205"/>
      <c r="B427" s="8"/>
      <c r="C427" s="8"/>
      <c r="D427" s="8"/>
      <c r="E427" s="8"/>
      <c r="F427" s="8"/>
      <c r="G427" s="8"/>
      <c r="H427" s="8"/>
      <c r="I427" s="8"/>
      <c r="J427" s="8"/>
      <c r="K427" s="8"/>
      <c r="L427" s="8"/>
    </row>
    <row r="428" spans="1:12" ht="14.4">
      <c r="A428" s="205"/>
      <c r="B428" s="8"/>
      <c r="C428" s="8"/>
      <c r="D428" s="8"/>
      <c r="E428" s="8"/>
      <c r="F428" s="8"/>
      <c r="G428" s="8"/>
      <c r="H428" s="8"/>
      <c r="I428" s="8"/>
      <c r="J428" s="8"/>
      <c r="K428" s="8"/>
      <c r="L428" s="8"/>
    </row>
    <row r="429" spans="1:12" ht="14.4">
      <c r="A429" s="205"/>
      <c r="B429" s="8"/>
      <c r="C429" s="8"/>
      <c r="D429" s="8"/>
      <c r="E429" s="8"/>
      <c r="F429" s="8"/>
      <c r="G429" s="8"/>
      <c r="H429" s="8"/>
      <c r="I429" s="8"/>
      <c r="J429" s="8"/>
      <c r="K429" s="8"/>
      <c r="L429" s="8"/>
    </row>
    <row r="430" spans="1:12" ht="14.4">
      <c r="A430" s="205"/>
      <c r="B430" s="8"/>
      <c r="C430" s="8"/>
      <c r="D430" s="8"/>
      <c r="E430" s="8"/>
      <c r="F430" s="8"/>
      <c r="G430" s="8"/>
      <c r="H430" s="8"/>
      <c r="I430" s="8"/>
      <c r="J430" s="8"/>
      <c r="K430" s="8"/>
      <c r="L430" s="8"/>
    </row>
    <row r="431" spans="1:12" ht="14.4">
      <c r="A431" s="205"/>
      <c r="B431" s="8"/>
      <c r="C431" s="8"/>
      <c r="D431" s="8"/>
      <c r="E431" s="8"/>
      <c r="F431" s="8"/>
      <c r="G431" s="8"/>
      <c r="H431" s="8"/>
      <c r="I431" s="8"/>
      <c r="J431" s="8"/>
      <c r="K431" s="8"/>
      <c r="L431" s="8"/>
    </row>
    <row r="432" spans="1:12" ht="14.4">
      <c r="A432" s="205"/>
      <c r="B432" s="8"/>
      <c r="C432" s="8"/>
      <c r="D432" s="8"/>
      <c r="E432" s="8"/>
      <c r="F432" s="8"/>
      <c r="G432" s="8"/>
      <c r="H432" s="8"/>
      <c r="I432" s="8"/>
      <c r="J432" s="8"/>
      <c r="K432" s="8"/>
      <c r="L432" s="8"/>
    </row>
    <row r="433" spans="1:12" ht="14.4">
      <c r="A433" s="205"/>
      <c r="B433" s="8"/>
      <c r="C433" s="8"/>
      <c r="D433" s="8"/>
      <c r="E433" s="8"/>
      <c r="F433" s="8"/>
      <c r="G433" s="8"/>
      <c r="H433" s="8"/>
      <c r="I433" s="8"/>
      <c r="J433" s="8"/>
      <c r="K433" s="8"/>
      <c r="L433" s="8"/>
    </row>
    <row r="434" spans="1:12" ht="14.4">
      <c r="A434" s="205"/>
      <c r="B434" s="8"/>
      <c r="C434" s="8"/>
      <c r="D434" s="8"/>
      <c r="E434" s="8"/>
      <c r="F434" s="8"/>
      <c r="G434" s="8"/>
      <c r="H434" s="8"/>
      <c r="I434" s="8"/>
      <c r="J434" s="8"/>
      <c r="K434" s="8"/>
      <c r="L434" s="8"/>
    </row>
    <row r="435" spans="1:12" ht="14.4">
      <c r="A435" s="205"/>
      <c r="B435" s="8"/>
      <c r="C435" s="8"/>
      <c r="D435" s="8"/>
      <c r="E435" s="8"/>
      <c r="F435" s="8"/>
      <c r="G435" s="8"/>
      <c r="H435" s="8"/>
      <c r="I435" s="8"/>
      <c r="J435" s="8"/>
      <c r="K435" s="8"/>
      <c r="L435" s="8"/>
    </row>
    <row r="436" spans="1:12" ht="14.4">
      <c r="A436" s="205"/>
      <c r="B436" s="8"/>
      <c r="C436" s="8"/>
      <c r="D436" s="8"/>
      <c r="E436" s="8"/>
      <c r="F436" s="8"/>
      <c r="G436" s="8"/>
      <c r="H436" s="8"/>
      <c r="I436" s="8"/>
      <c r="J436" s="8"/>
      <c r="K436" s="8"/>
      <c r="L436" s="8"/>
    </row>
    <row r="437" spans="1:12" ht="14.4">
      <c r="A437" s="205"/>
      <c r="B437" s="8"/>
      <c r="C437" s="8"/>
      <c r="D437" s="8"/>
      <c r="E437" s="8"/>
      <c r="F437" s="8"/>
      <c r="G437" s="8"/>
      <c r="H437" s="8"/>
      <c r="I437" s="8"/>
      <c r="J437" s="8"/>
      <c r="K437" s="8"/>
      <c r="L437" s="8"/>
    </row>
    <row r="438" spans="1:12" ht="14.4">
      <c r="A438" s="205"/>
      <c r="B438" s="8"/>
      <c r="C438" s="8"/>
      <c r="D438" s="8"/>
      <c r="E438" s="8"/>
      <c r="F438" s="8"/>
      <c r="G438" s="8"/>
      <c r="H438" s="8"/>
      <c r="I438" s="8"/>
      <c r="J438" s="8"/>
      <c r="K438" s="8"/>
      <c r="L438" s="8"/>
    </row>
    <row r="439" spans="1:12" ht="14.4">
      <c r="A439" s="205"/>
      <c r="B439" s="8"/>
      <c r="C439" s="8"/>
      <c r="D439" s="8"/>
      <c r="E439" s="8"/>
      <c r="F439" s="8"/>
      <c r="G439" s="8"/>
      <c r="H439" s="8"/>
      <c r="I439" s="8"/>
      <c r="J439" s="8"/>
      <c r="K439" s="8"/>
      <c r="L439" s="8"/>
    </row>
    <row r="440" spans="1:12" ht="14.4">
      <c r="A440" s="205"/>
      <c r="B440" s="8"/>
      <c r="C440" s="8"/>
      <c r="D440" s="8"/>
      <c r="E440" s="8"/>
      <c r="F440" s="8"/>
      <c r="G440" s="8"/>
      <c r="H440" s="8"/>
      <c r="I440" s="8"/>
      <c r="J440" s="8"/>
      <c r="K440" s="8"/>
      <c r="L440" s="8"/>
    </row>
    <row r="441" spans="1:12" ht="14.4">
      <c r="A441" s="205"/>
      <c r="B441" s="8"/>
      <c r="C441" s="8"/>
      <c r="D441" s="8"/>
      <c r="E441" s="8"/>
      <c r="F441" s="8"/>
      <c r="G441" s="8"/>
      <c r="H441" s="8"/>
      <c r="I441" s="8"/>
      <c r="J441" s="8"/>
      <c r="K441" s="8"/>
      <c r="L441" s="8"/>
    </row>
    <row r="442" spans="1:12" ht="14.4">
      <c r="A442" s="205"/>
      <c r="B442" s="8"/>
      <c r="C442" s="8"/>
      <c r="D442" s="8"/>
      <c r="E442" s="8"/>
      <c r="F442" s="8"/>
      <c r="G442" s="8"/>
      <c r="H442" s="8"/>
      <c r="I442" s="8"/>
      <c r="J442" s="8"/>
      <c r="K442" s="8"/>
      <c r="L442" s="8"/>
    </row>
    <row r="443" spans="1:12" ht="14.4">
      <c r="A443" s="205"/>
      <c r="B443" s="8"/>
      <c r="C443" s="8"/>
      <c r="D443" s="8"/>
      <c r="E443" s="8"/>
      <c r="F443" s="8"/>
      <c r="G443" s="8"/>
      <c r="H443" s="8"/>
      <c r="I443" s="8"/>
      <c r="J443" s="8"/>
      <c r="K443" s="8"/>
      <c r="L443" s="8"/>
    </row>
    <row r="444" spans="1:12" ht="14.4">
      <c r="A444" s="205"/>
      <c r="B444" s="8"/>
      <c r="C444" s="8"/>
      <c r="D444" s="8"/>
      <c r="E444" s="8"/>
      <c r="F444" s="8"/>
      <c r="G444" s="8"/>
      <c r="H444" s="8"/>
      <c r="I444" s="8"/>
      <c r="J444" s="8"/>
      <c r="K444" s="8"/>
      <c r="L444" s="8"/>
    </row>
    <row r="445" spans="1:12" ht="14.4">
      <c r="A445" s="205"/>
      <c r="B445" s="8"/>
      <c r="C445" s="8"/>
      <c r="D445" s="8"/>
      <c r="E445" s="8"/>
      <c r="F445" s="8"/>
      <c r="G445" s="8"/>
      <c r="H445" s="8"/>
      <c r="I445" s="8"/>
      <c r="J445" s="8"/>
      <c r="K445" s="8"/>
      <c r="L445" s="8"/>
    </row>
    <row r="446" spans="1:12" ht="14.4">
      <c r="A446" s="205"/>
      <c r="B446" s="8"/>
      <c r="C446" s="8"/>
      <c r="D446" s="8"/>
      <c r="E446" s="8"/>
      <c r="F446" s="8"/>
      <c r="G446" s="8"/>
      <c r="H446" s="8"/>
      <c r="I446" s="8"/>
      <c r="J446" s="8"/>
      <c r="K446" s="8"/>
      <c r="L446" s="8"/>
    </row>
    <row r="447" spans="1:12" ht="14.4">
      <c r="A447" s="205"/>
      <c r="B447" s="8"/>
      <c r="C447" s="8"/>
      <c r="D447" s="8"/>
      <c r="E447" s="8"/>
      <c r="F447" s="8"/>
      <c r="G447" s="8"/>
      <c r="H447" s="8"/>
      <c r="I447" s="8"/>
      <c r="J447" s="8"/>
      <c r="K447" s="8"/>
      <c r="L447" s="8"/>
    </row>
    <row r="448" spans="1:12" ht="14.4">
      <c r="A448" s="205"/>
      <c r="B448" s="8"/>
      <c r="C448" s="8"/>
      <c r="D448" s="8"/>
      <c r="E448" s="8"/>
      <c r="F448" s="8"/>
      <c r="G448" s="8"/>
      <c r="H448" s="8"/>
      <c r="I448" s="8"/>
      <c r="J448" s="8"/>
      <c r="K448" s="8"/>
      <c r="L448" s="8"/>
    </row>
    <row r="449" spans="1:12" ht="14.4">
      <c r="A449" s="205"/>
      <c r="B449" s="8"/>
      <c r="C449" s="8"/>
      <c r="D449" s="8"/>
      <c r="E449" s="8"/>
      <c r="F449" s="8"/>
      <c r="G449" s="8"/>
      <c r="H449" s="8"/>
      <c r="I449" s="8"/>
      <c r="J449" s="8"/>
      <c r="K449" s="8"/>
      <c r="L449" s="8"/>
    </row>
    <row r="450" spans="1:12" ht="14.4">
      <c r="A450" s="205"/>
      <c r="B450" s="8"/>
      <c r="C450" s="8"/>
      <c r="D450" s="8"/>
      <c r="E450" s="8"/>
      <c r="F450" s="8"/>
      <c r="G450" s="8"/>
      <c r="H450" s="8"/>
      <c r="I450" s="8"/>
      <c r="J450" s="8"/>
      <c r="K450" s="8"/>
      <c r="L450" s="8"/>
    </row>
    <row r="451" spans="1:12" ht="14.4">
      <c r="A451" s="205"/>
      <c r="B451" s="8"/>
      <c r="C451" s="8"/>
      <c r="D451" s="8"/>
      <c r="E451" s="8"/>
      <c r="F451" s="8"/>
      <c r="G451" s="8"/>
      <c r="H451" s="8"/>
      <c r="I451" s="8"/>
      <c r="J451" s="8"/>
      <c r="K451" s="8"/>
      <c r="L451" s="8"/>
    </row>
    <row r="452" spans="1:12" ht="14.4">
      <c r="A452" s="205"/>
      <c r="B452" s="8"/>
      <c r="C452" s="8"/>
      <c r="D452" s="8"/>
      <c r="E452" s="8"/>
      <c r="F452" s="8"/>
      <c r="G452" s="8"/>
      <c r="H452" s="8"/>
      <c r="I452" s="8"/>
      <c r="J452" s="8"/>
      <c r="K452" s="8"/>
      <c r="L452" s="8"/>
    </row>
    <row r="453" spans="1:12" ht="14.4">
      <c r="A453" s="205"/>
      <c r="B453" s="8"/>
      <c r="C453" s="8"/>
      <c r="D453" s="8"/>
      <c r="E453" s="8"/>
      <c r="F453" s="8"/>
      <c r="G453" s="8"/>
      <c r="H453" s="8"/>
      <c r="I453" s="8"/>
      <c r="J453" s="8"/>
      <c r="K453" s="8"/>
      <c r="L453" s="8"/>
    </row>
    <row r="454" spans="1:12" ht="14.4">
      <c r="A454" s="205"/>
      <c r="B454" s="8"/>
      <c r="C454" s="8"/>
      <c r="D454" s="8"/>
      <c r="E454" s="8"/>
      <c r="F454" s="8"/>
      <c r="G454" s="8"/>
      <c r="H454" s="8"/>
      <c r="I454" s="8"/>
      <c r="J454" s="8"/>
      <c r="K454" s="8"/>
      <c r="L454" s="8"/>
    </row>
    <row r="455" spans="1:12" ht="14.4">
      <c r="A455" s="205"/>
      <c r="B455" s="8"/>
      <c r="C455" s="8"/>
      <c r="D455" s="8"/>
      <c r="E455" s="8"/>
      <c r="F455" s="8"/>
      <c r="G455" s="8"/>
      <c r="H455" s="8"/>
      <c r="I455" s="8"/>
      <c r="J455" s="8"/>
      <c r="K455" s="8"/>
      <c r="L455" s="8"/>
    </row>
    <row r="456" spans="1:12" ht="14.4">
      <c r="A456" s="205"/>
      <c r="B456" s="8"/>
      <c r="C456" s="8"/>
      <c r="D456" s="8"/>
      <c r="E456" s="8"/>
      <c r="F456" s="8"/>
      <c r="G456" s="8"/>
      <c r="H456" s="8"/>
      <c r="I456" s="8"/>
      <c r="J456" s="8"/>
      <c r="K456" s="8"/>
      <c r="L456" s="8"/>
    </row>
    <row r="457" spans="1:12" ht="14.4">
      <c r="A457" s="205"/>
      <c r="B457" s="8"/>
      <c r="C457" s="8"/>
      <c r="D457" s="8"/>
      <c r="E457" s="8"/>
      <c r="F457" s="8"/>
      <c r="G457" s="8"/>
      <c r="H457" s="8"/>
      <c r="I457" s="8"/>
      <c r="J457" s="8"/>
      <c r="K457" s="8"/>
      <c r="L457" s="8"/>
    </row>
    <row r="458" spans="1:12" ht="14.4">
      <c r="A458" s="205"/>
      <c r="B458" s="8"/>
      <c r="C458" s="8"/>
      <c r="D458" s="8"/>
      <c r="E458" s="8"/>
      <c r="F458" s="8"/>
      <c r="G458" s="8"/>
      <c r="H458" s="8"/>
      <c r="I458" s="8"/>
      <c r="J458" s="8"/>
      <c r="K458" s="8"/>
      <c r="L458" s="8"/>
    </row>
    <row r="459" spans="1:12" ht="14.4">
      <c r="A459" s="205"/>
      <c r="B459" s="8"/>
      <c r="C459" s="8"/>
      <c r="D459" s="8"/>
      <c r="E459" s="8"/>
      <c r="F459" s="8"/>
      <c r="G459" s="8"/>
      <c r="H459" s="8"/>
      <c r="I459" s="8"/>
      <c r="J459" s="8"/>
      <c r="K459" s="8"/>
      <c r="L459" s="8"/>
    </row>
    <row r="460" spans="1:12" ht="14.4">
      <c r="A460" s="205"/>
      <c r="B460" s="8"/>
      <c r="C460" s="8"/>
      <c r="D460" s="8"/>
      <c r="E460" s="8"/>
      <c r="F460" s="8"/>
      <c r="G460" s="8"/>
      <c r="H460" s="8"/>
      <c r="I460" s="8"/>
      <c r="J460" s="8"/>
      <c r="K460" s="8"/>
      <c r="L460" s="8"/>
    </row>
    <row r="461" spans="1:12" ht="14.4">
      <c r="A461" s="205"/>
      <c r="B461" s="8"/>
      <c r="C461" s="8"/>
      <c r="D461" s="8"/>
      <c r="E461" s="8"/>
      <c r="F461" s="8"/>
      <c r="G461" s="8"/>
      <c r="H461" s="8"/>
      <c r="I461" s="8"/>
      <c r="J461" s="8"/>
      <c r="K461" s="8"/>
      <c r="L461" s="8"/>
    </row>
    <row r="462" spans="1:12" ht="14.4">
      <c r="A462" s="205"/>
      <c r="B462" s="8"/>
      <c r="C462" s="8"/>
      <c r="D462" s="8"/>
      <c r="E462" s="8"/>
      <c r="F462" s="8"/>
      <c r="G462" s="8"/>
      <c r="H462" s="8"/>
      <c r="I462" s="8"/>
      <c r="J462" s="8"/>
      <c r="K462" s="8"/>
      <c r="L462" s="8"/>
    </row>
    <row r="463" spans="1:12" ht="14.4">
      <c r="A463" s="205"/>
      <c r="B463" s="8"/>
      <c r="C463" s="8"/>
      <c r="D463" s="8"/>
      <c r="E463" s="8"/>
      <c r="F463" s="8"/>
      <c r="G463" s="8"/>
      <c r="H463" s="8"/>
      <c r="I463" s="8"/>
      <c r="J463" s="8"/>
      <c r="K463" s="8"/>
      <c r="L463" s="8"/>
    </row>
    <row r="464" spans="1:12" ht="14.4">
      <c r="A464" s="205"/>
      <c r="B464" s="8"/>
      <c r="C464" s="8"/>
      <c r="D464" s="8"/>
      <c r="E464" s="8"/>
      <c r="F464" s="8"/>
      <c r="G464" s="8"/>
      <c r="H464" s="8"/>
      <c r="I464" s="8"/>
      <c r="J464" s="8"/>
      <c r="K464" s="8"/>
      <c r="L464" s="8"/>
    </row>
    <row r="465" spans="1:12" ht="14.4">
      <c r="A465" s="205"/>
      <c r="B465" s="8"/>
      <c r="C465" s="8"/>
      <c r="D465" s="8"/>
      <c r="E465" s="8"/>
      <c r="F465" s="8"/>
      <c r="G465" s="8"/>
      <c r="H465" s="8"/>
      <c r="I465" s="8"/>
      <c r="J465" s="8"/>
      <c r="K465" s="8"/>
      <c r="L465" s="8"/>
    </row>
    <row r="466" spans="1:12" ht="14.4">
      <c r="A466" s="205"/>
      <c r="B466" s="8"/>
      <c r="C466" s="8"/>
      <c r="D466" s="8"/>
      <c r="E466" s="8"/>
      <c r="F466" s="8"/>
      <c r="G466" s="8"/>
      <c r="H466" s="8"/>
      <c r="I466" s="8"/>
      <c r="J466" s="8"/>
      <c r="K466" s="8"/>
      <c r="L466" s="8"/>
    </row>
    <row r="467" spans="1:12" ht="14.4">
      <c r="A467" s="205"/>
      <c r="B467" s="8"/>
      <c r="C467" s="8"/>
      <c r="D467" s="8"/>
      <c r="E467" s="8"/>
      <c r="F467" s="8"/>
      <c r="G467" s="8"/>
      <c r="H467" s="8"/>
      <c r="I467" s="8"/>
      <c r="J467" s="8"/>
      <c r="K467" s="8"/>
      <c r="L467" s="8"/>
    </row>
    <row r="468" spans="1:12" ht="14.4">
      <c r="A468" s="205"/>
      <c r="B468" s="8"/>
      <c r="C468" s="8"/>
      <c r="D468" s="8"/>
      <c r="E468" s="8"/>
      <c r="F468" s="8"/>
      <c r="G468" s="8"/>
      <c r="H468" s="8"/>
      <c r="I468" s="8"/>
      <c r="J468" s="8"/>
      <c r="K468" s="8"/>
      <c r="L468" s="8"/>
    </row>
    <row r="469" spans="1:12" ht="14.4">
      <c r="A469" s="205"/>
      <c r="B469" s="8"/>
      <c r="C469" s="8"/>
      <c r="D469" s="8"/>
      <c r="E469" s="8"/>
      <c r="F469" s="8"/>
      <c r="G469" s="8"/>
      <c r="H469" s="8"/>
      <c r="I469" s="8"/>
      <c r="J469" s="8"/>
      <c r="K469" s="8"/>
      <c r="L469" s="8"/>
    </row>
    <row r="470" spans="1:12" ht="14.4">
      <c r="A470" s="205"/>
      <c r="B470" s="8"/>
      <c r="C470" s="8"/>
      <c r="D470" s="8"/>
      <c r="E470" s="8"/>
      <c r="F470" s="8"/>
      <c r="G470" s="8"/>
      <c r="H470" s="8"/>
      <c r="I470" s="8"/>
      <c r="J470" s="8"/>
      <c r="K470" s="8"/>
      <c r="L470" s="8"/>
    </row>
    <row r="471" spans="1:12" ht="14.4">
      <c r="A471" s="205"/>
      <c r="B471" s="8"/>
      <c r="C471" s="8"/>
      <c r="D471" s="8"/>
      <c r="E471" s="8"/>
      <c r="F471" s="8"/>
      <c r="G471" s="8"/>
      <c r="H471" s="8"/>
      <c r="I471" s="8"/>
      <c r="J471" s="8"/>
      <c r="K471" s="8"/>
      <c r="L471" s="8"/>
    </row>
    <row r="472" spans="1:12" ht="14.4">
      <c r="A472" s="205"/>
      <c r="B472" s="8"/>
      <c r="C472" s="8"/>
      <c r="D472" s="8"/>
      <c r="E472" s="8"/>
      <c r="F472" s="8"/>
      <c r="G472" s="8"/>
      <c r="H472" s="8"/>
      <c r="I472" s="8"/>
      <c r="J472" s="8"/>
      <c r="K472" s="8"/>
      <c r="L472" s="8"/>
    </row>
    <row r="473" spans="1:12" ht="14.4">
      <c r="A473" s="205"/>
      <c r="B473" s="8"/>
      <c r="C473" s="8"/>
      <c r="D473" s="8"/>
      <c r="E473" s="8"/>
      <c r="F473" s="8"/>
      <c r="G473" s="8"/>
      <c r="H473" s="8"/>
      <c r="I473" s="8"/>
      <c r="J473" s="8"/>
      <c r="K473" s="8"/>
      <c r="L473" s="8"/>
    </row>
    <row r="474" spans="1:12" ht="14.4">
      <c r="A474" s="205"/>
      <c r="B474" s="8"/>
      <c r="C474" s="8"/>
      <c r="D474" s="8"/>
      <c r="E474" s="8"/>
      <c r="F474" s="8"/>
      <c r="G474" s="8"/>
      <c r="H474" s="8"/>
      <c r="I474" s="8"/>
      <c r="J474" s="8"/>
      <c r="K474" s="8"/>
      <c r="L474" s="8"/>
    </row>
    <row r="475" spans="1:12" ht="14.4">
      <c r="A475" s="205"/>
      <c r="B475" s="8"/>
      <c r="C475" s="8"/>
      <c r="D475" s="8"/>
      <c r="E475" s="8"/>
      <c r="F475" s="8"/>
      <c r="G475" s="8"/>
      <c r="H475" s="8"/>
      <c r="I475" s="8"/>
      <c r="J475" s="8"/>
      <c r="K475" s="8"/>
      <c r="L475" s="8"/>
    </row>
    <row r="476" spans="1:12" ht="14.4">
      <c r="A476" s="205"/>
      <c r="B476" s="8"/>
      <c r="C476" s="8"/>
      <c r="D476" s="8"/>
      <c r="E476" s="8"/>
      <c r="F476" s="8"/>
      <c r="G476" s="8"/>
      <c r="H476" s="8"/>
      <c r="I476" s="8"/>
      <c r="J476" s="8"/>
      <c r="K476" s="8"/>
      <c r="L476" s="8"/>
    </row>
    <row r="477" spans="1:12" ht="14.4">
      <c r="A477" s="205"/>
      <c r="B477" s="8"/>
      <c r="C477" s="8"/>
      <c r="D477" s="8"/>
      <c r="E477" s="8"/>
      <c r="F477" s="8"/>
      <c r="G477" s="8"/>
      <c r="H477" s="8"/>
      <c r="I477" s="8"/>
      <c r="J477" s="8"/>
      <c r="K477" s="8"/>
      <c r="L477" s="8"/>
    </row>
    <row r="478" spans="1:12" ht="14.4">
      <c r="A478" s="205"/>
      <c r="B478" s="8"/>
      <c r="C478" s="8"/>
      <c r="D478" s="8"/>
      <c r="E478" s="8"/>
      <c r="F478" s="8"/>
      <c r="G478" s="8"/>
      <c r="H478" s="8"/>
      <c r="I478" s="8"/>
      <c r="J478" s="8"/>
      <c r="K478" s="8"/>
      <c r="L478" s="8"/>
    </row>
    <row r="479" spans="1:12" ht="14.4">
      <c r="A479" s="205"/>
      <c r="B479" s="8"/>
      <c r="C479" s="8"/>
      <c r="D479" s="8"/>
      <c r="E479" s="8"/>
      <c r="F479" s="8"/>
      <c r="G479" s="8"/>
      <c r="H479" s="8"/>
      <c r="I479" s="8"/>
      <c r="J479" s="8"/>
      <c r="K479" s="8"/>
      <c r="L479" s="8"/>
    </row>
    <row r="480" spans="1:12" ht="14.4">
      <c r="A480" s="205"/>
      <c r="B480" s="8"/>
      <c r="C480" s="8"/>
      <c r="D480" s="8"/>
      <c r="E480" s="8"/>
      <c r="F480" s="8"/>
      <c r="G480" s="8"/>
      <c r="H480" s="8"/>
      <c r="I480" s="8"/>
      <c r="J480" s="8"/>
      <c r="K480" s="8"/>
      <c r="L480" s="8"/>
    </row>
    <row r="481" spans="1:12" ht="14.4">
      <c r="A481" s="205"/>
      <c r="B481" s="8"/>
      <c r="C481" s="8"/>
      <c r="D481" s="8"/>
      <c r="E481" s="8"/>
      <c r="F481" s="8"/>
      <c r="G481" s="8"/>
      <c r="H481" s="8"/>
      <c r="I481" s="8"/>
      <c r="J481" s="8"/>
      <c r="K481" s="8"/>
      <c r="L481" s="8"/>
    </row>
    <row r="482" spans="1:12" ht="14.4">
      <c r="A482" s="205"/>
      <c r="B482" s="8"/>
      <c r="C482" s="8"/>
      <c r="D482" s="8"/>
      <c r="E482" s="8"/>
      <c r="F482" s="8"/>
      <c r="G482" s="8"/>
      <c r="H482" s="8"/>
      <c r="I482" s="8"/>
      <c r="J482" s="8"/>
      <c r="K482" s="8"/>
      <c r="L482" s="8"/>
    </row>
    <row r="483" spans="1:12" ht="14.4">
      <c r="A483" s="205"/>
      <c r="B483" s="8"/>
      <c r="C483" s="8"/>
      <c r="D483" s="8"/>
      <c r="E483" s="8"/>
      <c r="F483" s="8"/>
      <c r="G483" s="8"/>
      <c r="H483" s="8"/>
      <c r="I483" s="8"/>
      <c r="J483" s="8"/>
      <c r="K483" s="8"/>
      <c r="L483" s="8"/>
    </row>
    <row r="484" spans="1:12" ht="14.4">
      <c r="A484" s="205"/>
      <c r="B484" s="8"/>
      <c r="C484" s="8"/>
      <c r="D484" s="8"/>
      <c r="E484" s="8"/>
      <c r="F484" s="8"/>
      <c r="G484" s="8"/>
      <c r="H484" s="8"/>
      <c r="I484" s="8"/>
      <c r="J484" s="8"/>
      <c r="K484" s="8"/>
      <c r="L484" s="8"/>
    </row>
    <row r="485" spans="1:12" ht="14.4">
      <c r="A485" s="205"/>
      <c r="B485" s="8"/>
      <c r="C485" s="8"/>
      <c r="D485" s="8"/>
      <c r="E485" s="8"/>
      <c r="F485" s="8"/>
      <c r="G485" s="8"/>
      <c r="H485" s="8"/>
      <c r="I485" s="8"/>
      <c r="J485" s="8"/>
      <c r="K485" s="8"/>
      <c r="L485" s="8"/>
    </row>
    <row r="486" spans="1:12" ht="14.4">
      <c r="A486" s="205"/>
      <c r="B486" s="8"/>
      <c r="C486" s="8"/>
      <c r="D486" s="8"/>
      <c r="E486" s="8"/>
      <c r="F486" s="8"/>
      <c r="G486" s="8"/>
      <c r="H486" s="8"/>
      <c r="I486" s="8"/>
      <c r="J486" s="8"/>
      <c r="K486" s="8"/>
      <c r="L486" s="8"/>
    </row>
    <row r="487" spans="1:12" ht="14.4">
      <c r="A487" s="205"/>
      <c r="B487" s="8"/>
      <c r="C487" s="8"/>
      <c r="D487" s="8"/>
      <c r="E487" s="8"/>
      <c r="F487" s="8"/>
      <c r="G487" s="8"/>
      <c r="H487" s="8"/>
      <c r="I487" s="8"/>
      <c r="J487" s="8"/>
      <c r="K487" s="8"/>
      <c r="L487" s="8"/>
    </row>
    <row r="488" spans="1:12" ht="14.4">
      <c r="A488" s="205"/>
      <c r="B488" s="8"/>
      <c r="C488" s="8"/>
      <c r="D488" s="8"/>
      <c r="E488" s="8"/>
      <c r="F488" s="8"/>
      <c r="G488" s="8"/>
      <c r="H488" s="8"/>
      <c r="I488" s="8"/>
      <c r="J488" s="8"/>
      <c r="K488" s="8"/>
      <c r="L488" s="8"/>
    </row>
    <row r="489" spans="1:12" ht="14.4">
      <c r="A489" s="205"/>
      <c r="B489" s="8"/>
      <c r="C489" s="8"/>
      <c r="D489" s="8"/>
      <c r="E489" s="8"/>
      <c r="F489" s="8"/>
      <c r="G489" s="8"/>
      <c r="H489" s="8"/>
      <c r="I489" s="8"/>
      <c r="J489" s="8"/>
      <c r="K489" s="8"/>
      <c r="L489" s="8"/>
    </row>
    <row r="490" spans="1:12" ht="14.4">
      <c r="A490" s="205"/>
      <c r="B490" s="8"/>
      <c r="C490" s="8"/>
      <c r="D490" s="8"/>
      <c r="E490" s="8"/>
      <c r="F490" s="8"/>
      <c r="G490" s="8"/>
      <c r="H490" s="8"/>
      <c r="I490" s="8"/>
      <c r="J490" s="8"/>
      <c r="K490" s="8"/>
      <c r="L490" s="8"/>
    </row>
    <row r="491" spans="1:12" ht="14.4">
      <c r="A491" s="205"/>
      <c r="B491" s="8"/>
      <c r="C491" s="8"/>
      <c r="D491" s="8"/>
      <c r="E491" s="8"/>
      <c r="F491" s="8"/>
      <c r="G491" s="8"/>
      <c r="H491" s="8"/>
      <c r="I491" s="8"/>
      <c r="J491" s="8"/>
      <c r="K491" s="8"/>
      <c r="L491" s="8"/>
    </row>
    <row r="492" spans="1:12" ht="14.4">
      <c r="A492" s="205"/>
      <c r="B492" s="8"/>
      <c r="C492" s="8"/>
      <c r="D492" s="8"/>
      <c r="E492" s="8"/>
      <c r="F492" s="8"/>
      <c r="G492" s="8"/>
      <c r="H492" s="8"/>
      <c r="I492" s="8"/>
      <c r="J492" s="8"/>
      <c r="K492" s="8"/>
      <c r="L492" s="8"/>
    </row>
    <row r="493" spans="1:12" ht="14.4">
      <c r="A493" s="205"/>
      <c r="B493" s="8"/>
      <c r="C493" s="8"/>
      <c r="D493" s="8"/>
      <c r="E493" s="8"/>
      <c r="F493" s="8"/>
      <c r="G493" s="8"/>
      <c r="H493" s="8"/>
      <c r="I493" s="8"/>
      <c r="J493" s="8"/>
      <c r="K493" s="8"/>
      <c r="L493" s="8"/>
    </row>
    <row r="494" spans="1:12" ht="14.4">
      <c r="A494" s="205"/>
      <c r="B494" s="8"/>
      <c r="C494" s="8"/>
      <c r="D494" s="8"/>
      <c r="E494" s="8"/>
      <c r="F494" s="8"/>
      <c r="G494" s="8"/>
      <c r="H494" s="8"/>
      <c r="I494" s="8"/>
      <c r="J494" s="8"/>
      <c r="K494" s="8"/>
      <c r="L494" s="8"/>
    </row>
    <row r="495" spans="1:12" ht="14.4">
      <c r="A495" s="205"/>
      <c r="B495" s="8"/>
      <c r="C495" s="8"/>
      <c r="D495" s="8"/>
      <c r="E495" s="8"/>
      <c r="F495" s="8"/>
      <c r="G495" s="8"/>
      <c r="H495" s="8"/>
      <c r="I495" s="8"/>
      <c r="J495" s="8"/>
      <c r="K495" s="8"/>
      <c r="L495" s="8"/>
    </row>
    <row r="496" spans="1:12" ht="14.4">
      <c r="A496" s="205"/>
      <c r="B496" s="8"/>
      <c r="C496" s="8"/>
      <c r="D496" s="8"/>
      <c r="E496" s="8"/>
      <c r="F496" s="8"/>
      <c r="G496" s="8"/>
      <c r="H496" s="8"/>
      <c r="I496" s="8"/>
      <c r="J496" s="8"/>
      <c r="K496" s="8"/>
      <c r="L496" s="8"/>
    </row>
    <row r="497" spans="1:12" ht="14.4">
      <c r="A497" s="205"/>
      <c r="B497" s="8"/>
      <c r="C497" s="8"/>
      <c r="D497" s="8"/>
      <c r="E497" s="8"/>
      <c r="F497" s="8"/>
      <c r="G497" s="8"/>
      <c r="H497" s="8"/>
      <c r="I497" s="8"/>
      <c r="J497" s="8"/>
      <c r="K497" s="8"/>
      <c r="L497" s="8"/>
    </row>
    <row r="498" spans="1:12" ht="14.4">
      <c r="A498" s="205"/>
      <c r="B498" s="8"/>
      <c r="C498" s="8"/>
      <c r="D498" s="8"/>
      <c r="E498" s="8"/>
      <c r="F498" s="8"/>
      <c r="G498" s="8"/>
      <c r="H498" s="8"/>
      <c r="I498" s="8"/>
      <c r="J498" s="8"/>
      <c r="K498" s="8"/>
      <c r="L498" s="8"/>
    </row>
    <row r="499" spans="1:12" ht="14.4">
      <c r="A499" s="205"/>
      <c r="B499" s="8"/>
      <c r="C499" s="8"/>
      <c r="D499" s="8"/>
      <c r="E499" s="8"/>
      <c r="F499" s="8"/>
      <c r="G499" s="8"/>
      <c r="H499" s="8"/>
      <c r="I499" s="8"/>
      <c r="J499" s="8"/>
      <c r="K499" s="8"/>
      <c r="L499" s="8"/>
    </row>
    <row r="500" spans="1:12" ht="14.4">
      <c r="A500" s="205"/>
      <c r="B500" s="8"/>
      <c r="C500" s="8"/>
      <c r="D500" s="8"/>
      <c r="E500" s="8"/>
      <c r="F500" s="8"/>
      <c r="G500" s="8"/>
      <c r="H500" s="8"/>
      <c r="I500" s="8"/>
      <c r="J500" s="8"/>
      <c r="K500" s="8"/>
      <c r="L500" s="8"/>
    </row>
    <row r="501" spans="1:12" ht="14.4">
      <c r="A501" s="205"/>
      <c r="B501" s="8"/>
      <c r="C501" s="8"/>
      <c r="D501" s="8"/>
      <c r="E501" s="8"/>
      <c r="F501" s="8"/>
      <c r="G501" s="8"/>
      <c r="H501" s="8"/>
      <c r="I501" s="8"/>
      <c r="J501" s="8"/>
      <c r="K501" s="8"/>
      <c r="L501" s="8"/>
    </row>
    <row r="502" spans="1:12" ht="14.4">
      <c r="A502" s="205"/>
      <c r="B502" s="8"/>
      <c r="C502" s="8"/>
      <c r="D502" s="8"/>
      <c r="E502" s="8"/>
      <c r="F502" s="8"/>
      <c r="G502" s="8"/>
      <c r="H502" s="8"/>
      <c r="I502" s="8"/>
      <c r="J502" s="8"/>
      <c r="K502" s="8"/>
      <c r="L502" s="8"/>
    </row>
    <row r="503" spans="1:12" ht="14.4">
      <c r="A503" s="205"/>
      <c r="B503" s="8"/>
      <c r="C503" s="8"/>
      <c r="D503" s="8"/>
      <c r="E503" s="8"/>
      <c r="F503" s="8"/>
      <c r="G503" s="8"/>
      <c r="H503" s="8"/>
      <c r="I503" s="8"/>
      <c r="J503" s="8"/>
      <c r="K503" s="8"/>
      <c r="L503" s="8"/>
    </row>
    <row r="504" spans="1:12" ht="14.4">
      <c r="A504" s="205"/>
      <c r="B504" s="8"/>
      <c r="C504" s="8"/>
      <c r="D504" s="8"/>
      <c r="E504" s="8"/>
      <c r="F504" s="8"/>
      <c r="G504" s="8"/>
      <c r="H504" s="8"/>
      <c r="I504" s="8"/>
      <c r="J504" s="8"/>
      <c r="K504" s="8"/>
      <c r="L504" s="8"/>
    </row>
    <row r="505" spans="1:12" ht="14.4">
      <c r="A505" s="205"/>
      <c r="B505" s="8"/>
      <c r="C505" s="8"/>
      <c r="D505" s="8"/>
      <c r="E505" s="8"/>
      <c r="F505" s="8"/>
      <c r="G505" s="8"/>
      <c r="H505" s="8"/>
      <c r="I505" s="8"/>
      <c r="J505" s="8"/>
      <c r="K505" s="8"/>
      <c r="L505" s="8"/>
    </row>
    <row r="506" spans="1:12" ht="14.4">
      <c r="A506" s="205"/>
      <c r="B506" s="8"/>
      <c r="C506" s="8"/>
      <c r="D506" s="8"/>
      <c r="E506" s="8"/>
      <c r="F506" s="8"/>
      <c r="G506" s="8"/>
      <c r="H506" s="8"/>
      <c r="I506" s="8"/>
      <c r="J506" s="8"/>
      <c r="K506" s="8"/>
      <c r="L506" s="8"/>
    </row>
    <row r="507" spans="1:12" ht="14.4">
      <c r="A507" s="205"/>
      <c r="B507" s="8"/>
      <c r="C507" s="8"/>
      <c r="D507" s="8"/>
      <c r="E507" s="8"/>
      <c r="F507" s="8"/>
      <c r="G507" s="8"/>
      <c r="H507" s="8"/>
      <c r="I507" s="8"/>
      <c r="J507" s="8"/>
      <c r="K507" s="8"/>
      <c r="L507" s="8"/>
    </row>
    <row r="508" spans="1:12" ht="14.4">
      <c r="A508" s="205"/>
      <c r="B508" s="8"/>
      <c r="C508" s="8"/>
      <c r="D508" s="8"/>
      <c r="E508" s="8"/>
      <c r="F508" s="8"/>
      <c r="G508" s="8"/>
      <c r="H508" s="8"/>
      <c r="I508" s="8"/>
      <c r="J508" s="8"/>
      <c r="K508" s="8"/>
      <c r="L508" s="8"/>
    </row>
    <row r="509" spans="1:12" ht="14.4">
      <c r="A509" s="205"/>
      <c r="B509" s="8"/>
      <c r="C509" s="8"/>
      <c r="D509" s="8"/>
      <c r="E509" s="8"/>
      <c r="F509" s="8"/>
      <c r="G509" s="8"/>
      <c r="H509" s="8"/>
      <c r="I509" s="8"/>
      <c r="J509" s="8"/>
      <c r="K509" s="8"/>
      <c r="L509" s="8"/>
    </row>
    <row r="510" spans="1:12" ht="14.4">
      <c r="A510" s="205"/>
      <c r="B510" s="8"/>
      <c r="C510" s="8"/>
      <c r="D510" s="8"/>
      <c r="E510" s="8"/>
      <c r="F510" s="8"/>
      <c r="G510" s="8"/>
      <c r="H510" s="8"/>
      <c r="I510" s="8"/>
      <c r="J510" s="8"/>
      <c r="K510" s="8"/>
      <c r="L510" s="8"/>
    </row>
    <row r="511" spans="1:12" ht="14.4">
      <c r="A511" s="205"/>
      <c r="B511" s="8"/>
      <c r="C511" s="8"/>
      <c r="D511" s="8"/>
      <c r="E511" s="8"/>
      <c r="F511" s="8"/>
      <c r="G511" s="8"/>
      <c r="H511" s="8"/>
      <c r="I511" s="8"/>
      <c r="J511" s="8"/>
      <c r="K511" s="8"/>
      <c r="L511" s="8"/>
    </row>
    <row r="512" spans="1:12" ht="14.4">
      <c r="A512" s="205"/>
      <c r="B512" s="8"/>
      <c r="C512" s="8"/>
      <c r="D512" s="8"/>
      <c r="E512" s="8"/>
      <c r="F512" s="8"/>
      <c r="G512" s="8"/>
      <c r="H512" s="8"/>
      <c r="I512" s="8"/>
      <c r="J512" s="8"/>
      <c r="K512" s="8"/>
      <c r="L512" s="8"/>
    </row>
    <row r="513" spans="1:12" ht="14.4">
      <c r="A513" s="205"/>
      <c r="B513" s="8"/>
      <c r="C513" s="8"/>
      <c r="D513" s="8"/>
      <c r="E513" s="8"/>
      <c r="F513" s="8"/>
      <c r="G513" s="8"/>
      <c r="H513" s="8"/>
      <c r="I513" s="8"/>
      <c r="J513" s="8"/>
      <c r="K513" s="8"/>
      <c r="L513" s="8"/>
    </row>
    <row r="514" spans="1:12" ht="14.4">
      <c r="A514" s="205"/>
      <c r="B514" s="8"/>
      <c r="C514" s="8"/>
      <c r="D514" s="8"/>
      <c r="E514" s="8"/>
      <c r="F514" s="8"/>
      <c r="G514" s="8"/>
      <c r="H514" s="8"/>
      <c r="I514" s="8"/>
      <c r="J514" s="8"/>
      <c r="K514" s="8"/>
      <c r="L514" s="8"/>
    </row>
    <row r="515" spans="1:12" ht="14.4">
      <c r="A515" s="205"/>
      <c r="B515" s="8"/>
      <c r="C515" s="8"/>
      <c r="D515" s="8"/>
      <c r="E515" s="8"/>
      <c r="F515" s="8"/>
      <c r="G515" s="8"/>
      <c r="H515" s="8"/>
      <c r="I515" s="8"/>
      <c r="J515" s="8"/>
      <c r="K515" s="8"/>
      <c r="L515" s="8"/>
    </row>
    <row r="516" spans="1:12" ht="14.4">
      <c r="A516" s="205"/>
      <c r="B516" s="8"/>
      <c r="C516" s="8"/>
      <c r="D516" s="8"/>
      <c r="E516" s="8"/>
      <c r="F516" s="8"/>
      <c r="G516" s="8"/>
      <c r="H516" s="8"/>
      <c r="I516" s="8"/>
      <c r="J516" s="8"/>
      <c r="K516" s="8"/>
      <c r="L516" s="8"/>
    </row>
    <row r="517" spans="1:12" ht="14.4">
      <c r="A517" s="205"/>
      <c r="B517" s="8"/>
      <c r="C517" s="8"/>
      <c r="D517" s="8"/>
      <c r="E517" s="8"/>
      <c r="F517" s="8"/>
      <c r="G517" s="8"/>
      <c r="H517" s="8"/>
      <c r="I517" s="8"/>
      <c r="J517" s="8"/>
      <c r="K517" s="8"/>
      <c r="L517" s="8"/>
    </row>
    <row r="518" spans="1:12" ht="14.4">
      <c r="A518" s="205"/>
      <c r="B518" s="8"/>
      <c r="C518" s="8"/>
      <c r="D518" s="8"/>
      <c r="E518" s="8"/>
      <c r="F518" s="8"/>
      <c r="G518" s="8"/>
      <c r="H518" s="8"/>
      <c r="I518" s="8"/>
      <c r="J518" s="8"/>
      <c r="K518" s="8"/>
      <c r="L518" s="8"/>
    </row>
    <row r="519" spans="1:12" ht="14.4">
      <c r="A519" s="205"/>
      <c r="B519" s="8"/>
      <c r="C519" s="8"/>
      <c r="D519" s="8"/>
      <c r="E519" s="8"/>
      <c r="F519" s="8"/>
      <c r="G519" s="8"/>
      <c r="H519" s="8"/>
      <c r="I519" s="8"/>
      <c r="J519" s="8"/>
      <c r="K519" s="8"/>
      <c r="L519" s="8"/>
    </row>
    <row r="520" spans="1:12" ht="14.4">
      <c r="A520" s="205"/>
      <c r="B520" s="8"/>
      <c r="C520" s="8"/>
      <c r="D520" s="8"/>
      <c r="E520" s="8"/>
      <c r="F520" s="8"/>
      <c r="G520" s="8"/>
      <c r="H520" s="8"/>
      <c r="I520" s="8"/>
      <c r="J520" s="8"/>
      <c r="K520" s="8"/>
      <c r="L520" s="8"/>
    </row>
    <row r="521" spans="1:12" ht="14.4">
      <c r="A521" s="205"/>
      <c r="B521" s="8"/>
      <c r="C521" s="8"/>
      <c r="D521" s="8"/>
      <c r="E521" s="8"/>
      <c r="F521" s="8"/>
      <c r="G521" s="8"/>
      <c r="H521" s="8"/>
      <c r="I521" s="8"/>
      <c r="J521" s="8"/>
      <c r="K521" s="8"/>
      <c r="L521" s="8"/>
    </row>
    <row r="522" spans="1:12" ht="14.4">
      <c r="A522" s="205"/>
      <c r="B522" s="8"/>
      <c r="C522" s="8"/>
      <c r="D522" s="8"/>
      <c r="E522" s="8"/>
      <c r="F522" s="8"/>
      <c r="G522" s="8"/>
      <c r="H522" s="8"/>
      <c r="I522" s="8"/>
      <c r="J522" s="8"/>
      <c r="K522" s="8"/>
      <c r="L522" s="8"/>
    </row>
    <row r="523" spans="1:12" ht="14.4">
      <c r="A523" s="205"/>
      <c r="B523" s="8"/>
      <c r="C523" s="8"/>
      <c r="D523" s="8"/>
      <c r="E523" s="8"/>
      <c r="F523" s="8"/>
      <c r="G523" s="8"/>
      <c r="H523" s="8"/>
      <c r="I523" s="8"/>
      <c r="J523" s="8"/>
      <c r="K523" s="8"/>
      <c r="L523" s="8"/>
    </row>
    <row r="524" spans="1:12" ht="14.4">
      <c r="A524" s="205"/>
      <c r="B524" s="8"/>
      <c r="C524" s="8"/>
      <c r="D524" s="8"/>
      <c r="E524" s="8"/>
      <c r="F524" s="8"/>
      <c r="G524" s="8"/>
      <c r="H524" s="8"/>
      <c r="I524" s="8"/>
      <c r="J524" s="8"/>
      <c r="K524" s="8"/>
      <c r="L524" s="8"/>
    </row>
    <row r="525" spans="1:12" ht="14.4">
      <c r="A525" s="205"/>
      <c r="B525" s="8"/>
      <c r="C525" s="8"/>
      <c r="D525" s="8"/>
      <c r="E525" s="8"/>
      <c r="F525" s="8"/>
      <c r="G525" s="8"/>
      <c r="H525" s="8"/>
      <c r="I525" s="8"/>
      <c r="J525" s="8"/>
      <c r="K525" s="8"/>
      <c r="L525" s="8"/>
    </row>
    <row r="526" spans="1:12" ht="14.4">
      <c r="A526" s="205"/>
      <c r="B526" s="8"/>
      <c r="C526" s="8"/>
      <c r="D526" s="8"/>
      <c r="E526" s="8"/>
      <c r="F526" s="8"/>
      <c r="G526" s="8"/>
      <c r="H526" s="8"/>
      <c r="I526" s="8"/>
      <c r="J526" s="8"/>
      <c r="K526" s="8"/>
      <c r="L526" s="8"/>
    </row>
    <row r="527" spans="1:12" ht="14.4">
      <c r="A527" s="205"/>
      <c r="B527" s="8"/>
      <c r="C527" s="8"/>
      <c r="D527" s="8"/>
      <c r="E527" s="8"/>
      <c r="F527" s="8"/>
      <c r="G527" s="8"/>
      <c r="H527" s="8"/>
      <c r="I527" s="8"/>
      <c r="J527" s="8"/>
      <c r="K527" s="8"/>
      <c r="L527" s="8"/>
    </row>
    <row r="528" spans="1:12" ht="14.4">
      <c r="A528" s="205"/>
      <c r="B528" s="8"/>
      <c r="C528" s="8"/>
      <c r="D528" s="8"/>
      <c r="E528" s="8"/>
      <c r="F528" s="8"/>
      <c r="G528" s="8"/>
      <c r="H528" s="8"/>
      <c r="I528" s="8"/>
      <c r="J528" s="8"/>
      <c r="K528" s="8"/>
      <c r="L528" s="8"/>
    </row>
    <row r="529" spans="1:12" ht="14.4">
      <c r="A529" s="205"/>
      <c r="B529" s="8"/>
      <c r="C529" s="8"/>
      <c r="D529" s="8"/>
      <c r="E529" s="8"/>
      <c r="F529" s="8"/>
      <c r="G529" s="8"/>
      <c r="H529" s="8"/>
      <c r="I529" s="8"/>
      <c r="J529" s="8"/>
      <c r="K529" s="8"/>
      <c r="L529" s="8"/>
    </row>
    <row r="530" spans="1:12" ht="14.4">
      <c r="A530" s="205"/>
      <c r="B530" s="8"/>
      <c r="C530" s="8"/>
      <c r="D530" s="8"/>
      <c r="E530" s="8"/>
      <c r="F530" s="8"/>
      <c r="G530" s="8"/>
      <c r="H530" s="8"/>
      <c r="I530" s="8"/>
      <c r="J530" s="8"/>
      <c r="K530" s="8"/>
      <c r="L530" s="8"/>
    </row>
    <row r="531" spans="1:12" ht="14.4">
      <c r="A531" s="205"/>
      <c r="B531" s="8"/>
      <c r="C531" s="8"/>
      <c r="D531" s="8"/>
      <c r="E531" s="8"/>
      <c r="F531" s="8"/>
      <c r="G531" s="8"/>
      <c r="H531" s="8"/>
      <c r="I531" s="8"/>
      <c r="J531" s="8"/>
      <c r="K531" s="8"/>
      <c r="L531" s="8"/>
    </row>
    <row r="532" spans="1:12" ht="14.4">
      <c r="A532" s="205"/>
      <c r="B532" s="8"/>
      <c r="C532" s="8"/>
      <c r="D532" s="8"/>
      <c r="E532" s="8"/>
      <c r="F532" s="8"/>
      <c r="G532" s="8"/>
      <c r="H532" s="8"/>
      <c r="I532" s="8"/>
      <c r="J532" s="8"/>
      <c r="K532" s="8"/>
      <c r="L532" s="8"/>
    </row>
    <row r="533" spans="1:12" ht="14.4">
      <c r="A533" s="205"/>
      <c r="B533" s="8"/>
      <c r="C533" s="8"/>
      <c r="D533" s="8"/>
      <c r="E533" s="8"/>
      <c r="F533" s="8"/>
      <c r="G533" s="8"/>
      <c r="H533" s="8"/>
      <c r="I533" s="8"/>
      <c r="J533" s="8"/>
      <c r="K533" s="8"/>
      <c r="L533" s="8"/>
    </row>
    <row r="534" spans="1:12" ht="14.4">
      <c r="A534" s="205"/>
      <c r="B534" s="8"/>
      <c r="C534" s="8"/>
      <c r="D534" s="8"/>
      <c r="E534" s="8"/>
      <c r="F534" s="8"/>
      <c r="G534" s="8"/>
      <c r="H534" s="8"/>
      <c r="I534" s="8"/>
      <c r="J534" s="8"/>
      <c r="K534" s="8"/>
      <c r="L534" s="8"/>
    </row>
    <row r="535" spans="1:12" ht="14.4">
      <c r="A535" s="205"/>
      <c r="B535" s="8"/>
      <c r="C535" s="8"/>
      <c r="D535" s="8"/>
      <c r="E535" s="8"/>
      <c r="F535" s="8"/>
      <c r="G535" s="8"/>
      <c r="H535" s="8"/>
      <c r="I535" s="8"/>
      <c r="J535" s="8"/>
      <c r="K535" s="8"/>
      <c r="L535" s="8"/>
    </row>
    <row r="536" spans="1:12" ht="14.4">
      <c r="A536" s="205"/>
      <c r="B536" s="8"/>
      <c r="C536" s="8"/>
      <c r="D536" s="8"/>
      <c r="E536" s="8"/>
      <c r="F536" s="8"/>
      <c r="G536" s="8"/>
      <c r="H536" s="8"/>
      <c r="I536" s="8"/>
      <c r="J536" s="8"/>
      <c r="K536" s="8"/>
      <c r="L536" s="8"/>
    </row>
    <row r="537" spans="1:12" ht="14.4">
      <c r="A537" s="205"/>
      <c r="B537" s="8"/>
      <c r="C537" s="8"/>
      <c r="D537" s="8"/>
      <c r="E537" s="8"/>
      <c r="F537" s="8"/>
      <c r="G537" s="8"/>
      <c r="H537" s="8"/>
      <c r="I537" s="8"/>
      <c r="J537" s="8"/>
      <c r="K537" s="8"/>
      <c r="L537" s="8"/>
    </row>
    <row r="538" spans="1:12" ht="14.4">
      <c r="A538" s="205"/>
      <c r="B538" s="8"/>
      <c r="C538" s="8"/>
      <c r="D538" s="8"/>
      <c r="E538" s="8"/>
      <c r="F538" s="8"/>
      <c r="G538" s="8"/>
      <c r="H538" s="8"/>
      <c r="I538" s="8"/>
      <c r="J538" s="8"/>
      <c r="K538" s="8"/>
      <c r="L538" s="8"/>
    </row>
    <row r="539" spans="1:12" ht="14.4">
      <c r="A539" s="205"/>
      <c r="B539" s="8"/>
      <c r="C539" s="8"/>
      <c r="D539" s="8"/>
      <c r="E539" s="8"/>
      <c r="F539" s="8"/>
      <c r="G539" s="8"/>
      <c r="H539" s="8"/>
      <c r="I539" s="8"/>
      <c r="J539" s="8"/>
      <c r="K539" s="8"/>
      <c r="L539" s="8"/>
    </row>
    <row r="540" spans="1:12" ht="14.4">
      <c r="A540" s="205"/>
      <c r="B540" s="8"/>
      <c r="C540" s="8"/>
      <c r="D540" s="8"/>
      <c r="E540" s="8"/>
      <c r="F540" s="8"/>
      <c r="G540" s="8"/>
      <c r="H540" s="8"/>
      <c r="I540" s="8"/>
      <c r="J540" s="8"/>
      <c r="K540" s="8"/>
      <c r="L540" s="8"/>
    </row>
    <row r="541" spans="1:12" ht="14.4">
      <c r="A541" s="205"/>
      <c r="B541" s="8"/>
      <c r="C541" s="8"/>
      <c r="D541" s="8"/>
      <c r="E541" s="8"/>
      <c r="F541" s="8"/>
      <c r="G541" s="8"/>
      <c r="H541" s="8"/>
      <c r="I541" s="8"/>
      <c r="J541" s="8"/>
      <c r="K541" s="8"/>
      <c r="L541" s="8"/>
    </row>
    <row r="542" spans="1:12" ht="14.4">
      <c r="A542" s="205"/>
      <c r="B542" s="8"/>
      <c r="C542" s="8"/>
      <c r="D542" s="8"/>
      <c r="E542" s="8"/>
      <c r="F542" s="8"/>
      <c r="G542" s="8"/>
      <c r="H542" s="8"/>
      <c r="I542" s="8"/>
      <c r="J542" s="8"/>
      <c r="K542" s="8"/>
      <c r="L542" s="8"/>
    </row>
    <row r="543" spans="1:12" ht="14.4">
      <c r="A543" s="205"/>
      <c r="B543" s="8"/>
      <c r="C543" s="8"/>
      <c r="D543" s="8"/>
      <c r="E543" s="8"/>
      <c r="F543" s="8"/>
      <c r="G543" s="8"/>
      <c r="H543" s="8"/>
      <c r="I543" s="8"/>
      <c r="J543" s="8"/>
      <c r="K543" s="8"/>
      <c r="L543" s="8"/>
    </row>
    <row r="544" spans="1:12" ht="14.4">
      <c r="A544" s="205"/>
      <c r="B544" s="8"/>
      <c r="C544" s="8"/>
      <c r="D544" s="8"/>
      <c r="E544" s="8"/>
      <c r="F544" s="8"/>
      <c r="G544" s="8"/>
      <c r="H544" s="8"/>
      <c r="I544" s="8"/>
      <c r="J544" s="8"/>
      <c r="K544" s="8"/>
      <c r="L544" s="8"/>
    </row>
    <row r="545" spans="1:12" ht="14.4">
      <c r="A545" s="205"/>
      <c r="B545" s="8"/>
      <c r="C545" s="8"/>
      <c r="D545" s="8"/>
      <c r="E545" s="8"/>
      <c r="F545" s="8"/>
      <c r="G545" s="8"/>
      <c r="H545" s="8"/>
      <c r="I545" s="8"/>
      <c r="J545" s="8"/>
      <c r="K545" s="8"/>
      <c r="L545" s="8"/>
    </row>
    <row r="546" spans="1:12" ht="14.4">
      <c r="A546" s="205"/>
      <c r="B546" s="8"/>
      <c r="C546" s="8"/>
      <c r="D546" s="8"/>
      <c r="E546" s="8"/>
      <c r="F546" s="8"/>
      <c r="G546" s="8"/>
      <c r="H546" s="8"/>
      <c r="I546" s="8"/>
      <c r="J546" s="8"/>
      <c r="K546" s="8"/>
      <c r="L546" s="8"/>
    </row>
    <row r="547" spans="1:12" ht="14.4">
      <c r="A547" s="205"/>
      <c r="B547" s="8"/>
      <c r="C547" s="8"/>
      <c r="D547" s="8"/>
      <c r="E547" s="8"/>
      <c r="F547" s="8"/>
      <c r="G547" s="8"/>
      <c r="H547" s="8"/>
      <c r="I547" s="8"/>
      <c r="J547" s="8"/>
      <c r="K547" s="8"/>
      <c r="L547" s="8"/>
    </row>
    <row r="548" spans="1:12" ht="14.4">
      <c r="A548" s="205"/>
      <c r="B548" s="8"/>
      <c r="C548" s="8"/>
      <c r="D548" s="8"/>
      <c r="E548" s="8"/>
      <c r="F548" s="8"/>
      <c r="G548" s="8"/>
      <c r="H548" s="8"/>
      <c r="I548" s="8"/>
      <c r="J548" s="8"/>
      <c r="K548" s="8"/>
      <c r="L548" s="8"/>
    </row>
    <row r="549" spans="1:12" ht="14.4">
      <c r="A549" s="205"/>
      <c r="B549" s="8"/>
      <c r="C549" s="8"/>
      <c r="D549" s="8"/>
      <c r="E549" s="8"/>
      <c r="F549" s="8"/>
      <c r="G549" s="8"/>
      <c r="H549" s="8"/>
      <c r="I549" s="8"/>
      <c r="J549" s="8"/>
      <c r="K549" s="8"/>
      <c r="L549" s="8"/>
    </row>
    <row r="550" spans="1:12" ht="14.4">
      <c r="A550" s="205"/>
      <c r="B550" s="8"/>
      <c r="C550" s="8"/>
      <c r="D550" s="8"/>
      <c r="E550" s="8"/>
      <c r="F550" s="8"/>
      <c r="G550" s="8"/>
      <c r="H550" s="8"/>
      <c r="I550" s="8"/>
      <c r="J550" s="8"/>
      <c r="K550" s="8"/>
      <c r="L550" s="8"/>
    </row>
    <row r="551" spans="1:12" ht="14.4">
      <c r="A551" s="205"/>
      <c r="B551" s="8"/>
      <c r="C551" s="8"/>
      <c r="D551" s="8"/>
      <c r="E551" s="8"/>
      <c r="F551" s="8"/>
      <c r="G551" s="8"/>
      <c r="H551" s="8"/>
      <c r="I551" s="8"/>
      <c r="J551" s="8"/>
      <c r="K551" s="8"/>
      <c r="L551" s="8"/>
    </row>
    <row r="552" spans="1:12" ht="14.4">
      <c r="A552" s="205"/>
      <c r="B552" s="8"/>
      <c r="C552" s="8"/>
      <c r="D552" s="8"/>
      <c r="E552" s="8"/>
      <c r="F552" s="8"/>
      <c r="G552" s="8"/>
      <c r="H552" s="8"/>
      <c r="I552" s="8"/>
      <c r="J552" s="8"/>
      <c r="K552" s="8"/>
      <c r="L552" s="8"/>
    </row>
    <row r="553" spans="1:12" ht="14.4">
      <c r="A553" s="205"/>
      <c r="B553" s="8"/>
      <c r="C553" s="8"/>
      <c r="D553" s="8"/>
      <c r="E553" s="8"/>
      <c r="F553" s="8"/>
      <c r="G553" s="8"/>
      <c r="H553" s="8"/>
      <c r="I553" s="8"/>
      <c r="J553" s="8"/>
      <c r="K553" s="8"/>
      <c r="L553" s="8"/>
    </row>
    <row r="554" spans="1:12" ht="14.4">
      <c r="A554" s="205"/>
      <c r="B554" s="8"/>
      <c r="C554" s="8"/>
      <c r="D554" s="8"/>
      <c r="E554" s="8"/>
      <c r="F554" s="8"/>
      <c r="G554" s="8"/>
      <c r="H554" s="8"/>
      <c r="I554" s="8"/>
      <c r="J554" s="8"/>
      <c r="K554" s="8"/>
      <c r="L554" s="8"/>
    </row>
    <row r="555" spans="1:12" ht="14.4">
      <c r="A555" s="205"/>
      <c r="B555" s="8"/>
      <c r="C555" s="8"/>
      <c r="D555" s="8"/>
      <c r="E555" s="8"/>
      <c r="F555" s="8"/>
      <c r="G555" s="8"/>
      <c r="H555" s="8"/>
      <c r="I555" s="8"/>
      <c r="J555" s="8"/>
      <c r="K555" s="8"/>
      <c r="L555" s="8"/>
    </row>
    <row r="556" spans="1:12" ht="14.4">
      <c r="A556" s="205"/>
      <c r="B556" s="8"/>
      <c r="C556" s="8"/>
      <c r="D556" s="8"/>
      <c r="E556" s="8"/>
      <c r="F556" s="8"/>
      <c r="G556" s="8"/>
      <c r="H556" s="8"/>
      <c r="I556" s="8"/>
      <c r="J556" s="8"/>
      <c r="K556" s="8"/>
      <c r="L556" s="8"/>
    </row>
    <row r="557" spans="1:12" ht="14.4">
      <c r="A557" s="205"/>
      <c r="B557" s="8"/>
      <c r="C557" s="8"/>
      <c r="D557" s="8"/>
      <c r="E557" s="8"/>
      <c r="F557" s="8"/>
      <c r="G557" s="8"/>
      <c r="H557" s="8"/>
      <c r="I557" s="8"/>
      <c r="J557" s="8"/>
      <c r="K557" s="8"/>
      <c r="L557" s="8"/>
    </row>
    <row r="558" spans="1:12" ht="14.4">
      <c r="A558" s="205"/>
      <c r="B558" s="8"/>
      <c r="C558" s="8"/>
      <c r="D558" s="8"/>
      <c r="E558" s="8"/>
      <c r="F558" s="8"/>
      <c r="G558" s="8"/>
      <c r="H558" s="8"/>
      <c r="I558" s="8"/>
      <c r="J558" s="8"/>
      <c r="K558" s="8"/>
      <c r="L558" s="8"/>
    </row>
    <row r="559" spans="1:12" ht="14.4">
      <c r="A559" s="205"/>
      <c r="B559" s="8"/>
      <c r="C559" s="8"/>
      <c r="D559" s="8"/>
      <c r="E559" s="8"/>
      <c r="F559" s="8"/>
      <c r="G559" s="8"/>
      <c r="H559" s="8"/>
      <c r="I559" s="8"/>
      <c r="J559" s="8"/>
      <c r="K559" s="8"/>
      <c r="L559" s="8"/>
    </row>
    <row r="560" spans="1:12" ht="14.4">
      <c r="A560" s="205"/>
      <c r="B560" s="8"/>
      <c r="C560" s="8"/>
      <c r="D560" s="8"/>
      <c r="E560" s="8"/>
      <c r="F560" s="8"/>
      <c r="G560" s="8"/>
      <c r="H560" s="8"/>
      <c r="I560" s="8"/>
      <c r="J560" s="8"/>
      <c r="K560" s="8"/>
      <c r="L560" s="8"/>
    </row>
    <row r="561" spans="1:12" ht="14.4">
      <c r="A561" s="205"/>
      <c r="B561" s="8"/>
      <c r="C561" s="8"/>
      <c r="D561" s="8"/>
      <c r="E561" s="8"/>
      <c r="F561" s="8"/>
      <c r="G561" s="8"/>
      <c r="H561" s="8"/>
      <c r="I561" s="8"/>
      <c r="J561" s="8"/>
      <c r="K561" s="8"/>
      <c r="L561" s="8"/>
    </row>
    <row r="562" spans="1:12" ht="14.4">
      <c r="A562" s="205"/>
      <c r="B562" s="8"/>
      <c r="C562" s="8"/>
      <c r="D562" s="8"/>
      <c r="E562" s="8"/>
      <c r="F562" s="8"/>
      <c r="G562" s="8"/>
      <c r="H562" s="8"/>
      <c r="I562" s="8"/>
      <c r="J562" s="8"/>
      <c r="K562" s="8"/>
      <c r="L562" s="8"/>
    </row>
    <row r="563" spans="1:12" ht="14.4">
      <c r="A563" s="205"/>
      <c r="B563" s="8"/>
      <c r="C563" s="8"/>
      <c r="D563" s="8"/>
      <c r="E563" s="8"/>
      <c r="F563" s="8"/>
      <c r="G563" s="8"/>
      <c r="H563" s="8"/>
      <c r="I563" s="8"/>
      <c r="J563" s="8"/>
      <c r="K563" s="8"/>
      <c r="L563" s="8"/>
    </row>
    <row r="564" spans="1:12" ht="14.4">
      <c r="A564" s="205"/>
      <c r="B564" s="8"/>
      <c r="C564" s="8"/>
      <c r="D564" s="8"/>
      <c r="E564" s="8"/>
      <c r="F564" s="8"/>
      <c r="G564" s="8"/>
      <c r="H564" s="8"/>
      <c r="I564" s="8"/>
      <c r="J564" s="8"/>
      <c r="K564" s="8"/>
      <c r="L564" s="8"/>
    </row>
    <row r="565" spans="1:12" ht="14.4">
      <c r="A565" s="205"/>
      <c r="B565" s="8"/>
      <c r="C565" s="8"/>
      <c r="D565" s="8"/>
      <c r="E565" s="8"/>
      <c r="F565" s="8"/>
      <c r="G565" s="8"/>
      <c r="H565" s="8"/>
      <c r="I565" s="8"/>
      <c r="J565" s="8"/>
      <c r="K565" s="8"/>
      <c r="L565" s="8"/>
    </row>
    <row r="566" spans="1:12" ht="14.4">
      <c r="A566" s="205"/>
      <c r="B566" s="8"/>
      <c r="C566" s="8"/>
      <c r="D566" s="8"/>
      <c r="E566" s="8"/>
      <c r="F566" s="8"/>
      <c r="G566" s="8"/>
      <c r="H566" s="8"/>
      <c r="I566" s="8"/>
      <c r="J566" s="8"/>
      <c r="K566" s="8"/>
      <c r="L566" s="8"/>
    </row>
    <row r="567" spans="1:12" ht="14.4">
      <c r="A567" s="205"/>
      <c r="B567" s="8"/>
      <c r="C567" s="8"/>
      <c r="D567" s="8"/>
      <c r="E567" s="8"/>
      <c r="F567" s="8"/>
      <c r="G567" s="8"/>
      <c r="H567" s="8"/>
      <c r="I567" s="8"/>
      <c r="J567" s="8"/>
      <c r="K567" s="8"/>
      <c r="L567" s="8"/>
    </row>
    <row r="568" spans="1:12" ht="14.4">
      <c r="A568" s="205"/>
      <c r="B568" s="8"/>
      <c r="C568" s="8"/>
      <c r="D568" s="8"/>
      <c r="E568" s="8"/>
      <c r="F568" s="8"/>
      <c r="G568" s="8"/>
      <c r="H568" s="8"/>
      <c r="I568" s="8"/>
      <c r="J568" s="8"/>
      <c r="K568" s="8"/>
      <c r="L568" s="8"/>
    </row>
    <row r="569" spans="1:12" ht="14.4">
      <c r="A569" s="205"/>
      <c r="B569" s="8"/>
      <c r="C569" s="8"/>
      <c r="D569" s="8"/>
      <c r="E569" s="8"/>
      <c r="F569" s="8"/>
      <c r="G569" s="8"/>
      <c r="H569" s="8"/>
      <c r="I569" s="8"/>
      <c r="J569" s="8"/>
      <c r="K569" s="8"/>
      <c r="L569" s="8"/>
    </row>
    <row r="570" spans="1:12" ht="14.4">
      <c r="A570" s="205"/>
      <c r="B570" s="8"/>
      <c r="C570" s="8"/>
      <c r="D570" s="8"/>
      <c r="E570" s="8"/>
      <c r="F570" s="8"/>
      <c r="G570" s="8"/>
      <c r="H570" s="8"/>
      <c r="I570" s="8"/>
      <c r="J570" s="8"/>
      <c r="K570" s="8"/>
      <c r="L570" s="8"/>
    </row>
    <row r="571" spans="1:12" ht="14.4">
      <c r="A571" s="205"/>
      <c r="B571" s="8"/>
      <c r="C571" s="8"/>
      <c r="D571" s="8"/>
      <c r="E571" s="8"/>
      <c r="F571" s="8"/>
      <c r="G571" s="8"/>
      <c r="H571" s="8"/>
      <c r="I571" s="8"/>
      <c r="J571" s="8"/>
      <c r="K571" s="8"/>
      <c r="L571" s="8"/>
    </row>
    <row r="572" spans="1:12" ht="14.4">
      <c r="A572" s="205"/>
      <c r="B572" s="8"/>
      <c r="C572" s="8"/>
      <c r="D572" s="8"/>
      <c r="E572" s="8"/>
      <c r="F572" s="8"/>
      <c r="G572" s="8"/>
      <c r="H572" s="8"/>
      <c r="I572" s="8"/>
      <c r="J572" s="8"/>
      <c r="K572" s="8"/>
      <c r="L572" s="8"/>
    </row>
    <row r="573" spans="1:12" ht="14.4">
      <c r="A573" s="205"/>
      <c r="B573" s="8"/>
      <c r="C573" s="8"/>
      <c r="D573" s="8"/>
      <c r="E573" s="8"/>
      <c r="F573" s="8"/>
      <c r="G573" s="8"/>
      <c r="H573" s="8"/>
      <c r="I573" s="8"/>
      <c r="J573" s="8"/>
      <c r="K573" s="8"/>
      <c r="L573" s="8"/>
    </row>
    <row r="574" spans="1:12" ht="14.4">
      <c r="A574" s="205"/>
      <c r="B574" s="8"/>
      <c r="C574" s="8"/>
      <c r="D574" s="8"/>
      <c r="E574" s="8"/>
      <c r="F574" s="8"/>
      <c r="G574" s="8"/>
      <c r="H574" s="8"/>
      <c r="I574" s="8"/>
      <c r="J574" s="8"/>
      <c r="K574" s="8"/>
      <c r="L574" s="8"/>
    </row>
    <row r="575" spans="1:12" ht="14.4">
      <c r="A575" s="205"/>
      <c r="B575" s="8"/>
      <c r="C575" s="8"/>
      <c r="D575" s="8"/>
      <c r="E575" s="8"/>
      <c r="F575" s="8"/>
      <c r="G575" s="8"/>
      <c r="H575" s="8"/>
      <c r="I575" s="8"/>
      <c r="J575" s="8"/>
      <c r="K575" s="8"/>
      <c r="L575" s="8"/>
    </row>
    <row r="576" spans="1:12" ht="14.4">
      <c r="A576" s="205"/>
      <c r="B576" s="8"/>
      <c r="C576" s="8"/>
      <c r="D576" s="8"/>
      <c r="E576" s="8"/>
      <c r="F576" s="8"/>
      <c r="G576" s="8"/>
      <c r="H576" s="8"/>
      <c r="I576" s="8"/>
      <c r="J576" s="8"/>
      <c r="K576" s="8"/>
      <c r="L576" s="8"/>
    </row>
    <row r="577" spans="1:12" ht="14.4">
      <c r="A577" s="205"/>
      <c r="B577" s="8"/>
      <c r="C577" s="8"/>
      <c r="D577" s="8"/>
      <c r="E577" s="8"/>
      <c r="F577" s="8"/>
      <c r="G577" s="8"/>
      <c r="H577" s="8"/>
      <c r="I577" s="8"/>
      <c r="J577" s="8"/>
      <c r="K577" s="8"/>
      <c r="L577" s="8"/>
    </row>
    <row r="578" spans="1:12" ht="14.4">
      <c r="A578" s="205"/>
      <c r="B578" s="8"/>
      <c r="C578" s="8"/>
      <c r="D578" s="8"/>
      <c r="E578" s="8"/>
      <c r="F578" s="8"/>
      <c r="G578" s="8"/>
      <c r="H578" s="8"/>
      <c r="I578" s="8"/>
      <c r="J578" s="8"/>
      <c r="K578" s="8"/>
      <c r="L578" s="8"/>
    </row>
    <row r="579" spans="1:12" ht="14.4">
      <c r="A579" s="205"/>
      <c r="B579" s="8"/>
      <c r="C579" s="8"/>
      <c r="D579" s="8"/>
      <c r="E579" s="8"/>
      <c r="F579" s="8"/>
      <c r="G579" s="8"/>
      <c r="H579" s="8"/>
      <c r="I579" s="8"/>
      <c r="J579" s="8"/>
      <c r="K579" s="8"/>
      <c r="L579" s="8"/>
    </row>
    <row r="580" spans="1:12" ht="14.4">
      <c r="A580" s="205"/>
      <c r="B580" s="8"/>
      <c r="C580" s="8"/>
      <c r="D580" s="8"/>
      <c r="E580" s="8"/>
      <c r="F580" s="8"/>
      <c r="G580" s="8"/>
      <c r="H580" s="8"/>
      <c r="I580" s="8"/>
      <c r="J580" s="8"/>
      <c r="K580" s="8"/>
      <c r="L580" s="8"/>
    </row>
    <row r="581" spans="1:12" ht="14.4">
      <c r="A581" s="205"/>
      <c r="B581" s="8"/>
      <c r="C581" s="8"/>
      <c r="D581" s="8"/>
      <c r="E581" s="8"/>
      <c r="F581" s="8"/>
      <c r="G581" s="8"/>
      <c r="H581" s="8"/>
      <c r="I581" s="8"/>
      <c r="J581" s="8"/>
      <c r="K581" s="8"/>
      <c r="L581" s="8"/>
    </row>
    <row r="582" spans="1:12" ht="14.4">
      <c r="A582" s="205"/>
      <c r="B582" s="8"/>
      <c r="C582" s="8"/>
      <c r="D582" s="8"/>
      <c r="E582" s="8"/>
      <c r="F582" s="8"/>
      <c r="G582" s="8"/>
      <c r="H582" s="8"/>
      <c r="I582" s="8"/>
      <c r="J582" s="8"/>
      <c r="K582" s="8"/>
      <c r="L582" s="8"/>
    </row>
    <row r="583" spans="1:12" ht="14.4">
      <c r="A583" s="205"/>
      <c r="B583" s="8"/>
      <c r="C583" s="8"/>
      <c r="D583" s="8"/>
      <c r="E583" s="8"/>
      <c r="F583" s="8"/>
      <c r="G583" s="8"/>
      <c r="H583" s="8"/>
      <c r="I583" s="8"/>
      <c r="J583" s="8"/>
      <c r="K583" s="8"/>
      <c r="L583" s="8"/>
    </row>
    <row r="584" spans="1:12" ht="14.4">
      <c r="A584" s="205"/>
      <c r="B584" s="8"/>
      <c r="C584" s="8"/>
      <c r="D584" s="8"/>
      <c r="E584" s="8"/>
      <c r="F584" s="8"/>
      <c r="G584" s="8"/>
      <c r="H584" s="8"/>
      <c r="I584" s="8"/>
      <c r="J584" s="8"/>
      <c r="K584" s="8"/>
      <c r="L584" s="8"/>
    </row>
    <row r="585" spans="1:12" ht="14.4">
      <c r="A585" s="205"/>
      <c r="B585" s="8"/>
      <c r="C585" s="8"/>
      <c r="D585" s="8"/>
      <c r="E585" s="8"/>
      <c r="F585" s="8"/>
      <c r="G585" s="8"/>
      <c r="H585" s="8"/>
      <c r="I585" s="8"/>
      <c r="J585" s="8"/>
      <c r="K585" s="8"/>
      <c r="L585" s="8"/>
    </row>
    <row r="586" spans="1:12" ht="14.4">
      <c r="A586" s="205"/>
      <c r="B586" s="8"/>
      <c r="C586" s="8"/>
      <c r="D586" s="8"/>
      <c r="E586" s="8"/>
      <c r="F586" s="8"/>
      <c r="G586" s="8"/>
      <c r="H586" s="8"/>
      <c r="I586" s="8"/>
      <c r="J586" s="8"/>
      <c r="K586" s="8"/>
      <c r="L586" s="8"/>
    </row>
    <row r="587" spans="1:12" ht="14.4">
      <c r="A587" s="205"/>
      <c r="B587" s="8"/>
      <c r="C587" s="8"/>
      <c r="D587" s="8"/>
      <c r="E587" s="8"/>
      <c r="F587" s="8"/>
      <c r="G587" s="8"/>
      <c r="H587" s="8"/>
      <c r="I587" s="8"/>
      <c r="J587" s="8"/>
      <c r="K587" s="8"/>
      <c r="L587" s="8"/>
    </row>
    <row r="588" spans="1:12" ht="14.4">
      <c r="A588" s="205"/>
      <c r="B588" s="8"/>
      <c r="C588" s="8"/>
      <c r="D588" s="8"/>
      <c r="E588" s="8"/>
      <c r="F588" s="8"/>
      <c r="G588" s="8"/>
      <c r="H588" s="8"/>
      <c r="I588" s="8"/>
      <c r="J588" s="8"/>
      <c r="K588" s="8"/>
      <c r="L588" s="8"/>
    </row>
    <row r="589" spans="1:12" ht="14.4">
      <c r="A589" s="205"/>
      <c r="B589" s="8"/>
      <c r="C589" s="8"/>
      <c r="D589" s="8"/>
      <c r="E589" s="8"/>
      <c r="F589" s="8"/>
      <c r="G589" s="8"/>
      <c r="H589" s="8"/>
      <c r="I589" s="8"/>
      <c r="J589" s="8"/>
      <c r="K589" s="8"/>
      <c r="L589" s="8"/>
    </row>
    <row r="590" spans="1:12" ht="14.4">
      <c r="A590" s="205"/>
      <c r="B590" s="8"/>
      <c r="C590" s="8"/>
      <c r="D590" s="8"/>
      <c r="E590" s="8"/>
      <c r="F590" s="8"/>
      <c r="G590" s="8"/>
      <c r="H590" s="8"/>
      <c r="I590" s="8"/>
      <c r="J590" s="8"/>
      <c r="K590" s="8"/>
      <c r="L590" s="8"/>
    </row>
    <row r="591" spans="1:12" ht="14.4">
      <c r="A591" s="205"/>
      <c r="B591" s="8"/>
      <c r="C591" s="8"/>
      <c r="D591" s="8"/>
      <c r="E591" s="8"/>
      <c r="F591" s="8"/>
      <c r="G591" s="8"/>
      <c r="H591" s="8"/>
      <c r="I591" s="8"/>
      <c r="J591" s="8"/>
      <c r="K591" s="8"/>
      <c r="L591" s="8"/>
    </row>
    <row r="592" spans="1:12" ht="14.4">
      <c r="A592" s="205"/>
      <c r="B592" s="8"/>
      <c r="C592" s="8"/>
      <c r="D592" s="8"/>
      <c r="E592" s="8"/>
      <c r="F592" s="8"/>
      <c r="G592" s="8"/>
      <c r="H592" s="8"/>
      <c r="I592" s="8"/>
      <c r="J592" s="8"/>
      <c r="K592" s="8"/>
      <c r="L592" s="8"/>
    </row>
    <row r="593" spans="1:12" ht="14.4">
      <c r="A593" s="205"/>
      <c r="B593" s="8"/>
      <c r="C593" s="8"/>
      <c r="D593" s="8"/>
      <c r="E593" s="8"/>
      <c r="F593" s="8"/>
      <c r="G593" s="8"/>
      <c r="H593" s="8"/>
      <c r="I593" s="8"/>
      <c r="J593" s="8"/>
      <c r="K593" s="8"/>
      <c r="L593" s="8"/>
    </row>
    <row r="594" spans="1:12" ht="14.4">
      <c r="A594" s="205"/>
      <c r="B594" s="8"/>
      <c r="C594" s="8"/>
      <c r="D594" s="8"/>
      <c r="E594" s="8"/>
      <c r="F594" s="8"/>
      <c r="G594" s="8"/>
      <c r="H594" s="8"/>
      <c r="I594" s="8"/>
      <c r="J594" s="8"/>
      <c r="K594" s="8"/>
      <c r="L594" s="8"/>
    </row>
    <row r="595" spans="1:12" ht="14.4">
      <c r="A595" s="205"/>
      <c r="B595" s="8"/>
      <c r="C595" s="8"/>
      <c r="D595" s="8"/>
      <c r="E595" s="8"/>
      <c r="F595" s="8"/>
      <c r="G595" s="8"/>
      <c r="H595" s="8"/>
      <c r="I595" s="8"/>
      <c r="J595" s="8"/>
      <c r="K595" s="8"/>
      <c r="L595" s="8"/>
    </row>
    <row r="596" spans="1:12" ht="14.4">
      <c r="A596" s="205"/>
      <c r="B596" s="8"/>
      <c r="C596" s="8"/>
      <c r="D596" s="8"/>
      <c r="E596" s="8"/>
      <c r="F596" s="8"/>
      <c r="G596" s="8"/>
      <c r="H596" s="8"/>
      <c r="I596" s="8"/>
      <c r="J596" s="8"/>
      <c r="K596" s="8"/>
      <c r="L596" s="8"/>
    </row>
    <row r="597" spans="1:12" ht="14.4">
      <c r="A597" s="205"/>
      <c r="B597" s="8"/>
      <c r="C597" s="8"/>
      <c r="D597" s="8"/>
      <c r="E597" s="8"/>
      <c r="F597" s="8"/>
      <c r="G597" s="8"/>
      <c r="H597" s="8"/>
      <c r="I597" s="8"/>
      <c r="J597" s="8"/>
      <c r="K597" s="8"/>
      <c r="L597" s="8"/>
    </row>
    <row r="598" spans="1:12" ht="14.4">
      <c r="A598" s="205"/>
      <c r="B598" s="8"/>
      <c r="C598" s="8"/>
      <c r="D598" s="8"/>
      <c r="E598" s="8"/>
      <c r="F598" s="8"/>
      <c r="G598" s="8"/>
      <c r="H598" s="8"/>
      <c r="I598" s="8"/>
      <c r="J598" s="8"/>
      <c r="K598" s="8"/>
      <c r="L598" s="8"/>
    </row>
    <row r="599" spans="1:12" ht="14.4">
      <c r="A599" s="205"/>
      <c r="B599" s="8"/>
      <c r="C599" s="8"/>
      <c r="D599" s="8"/>
      <c r="E599" s="8"/>
      <c r="F599" s="8"/>
      <c r="G599" s="8"/>
      <c r="H599" s="8"/>
      <c r="I599" s="8"/>
      <c r="J599" s="8"/>
      <c r="K599" s="8"/>
      <c r="L599" s="8"/>
    </row>
    <row r="600" spans="1:12" ht="14.4">
      <c r="B600" s="8"/>
      <c r="C600" s="8"/>
      <c r="D600" s="8"/>
      <c r="E600" s="8"/>
      <c r="F600" s="8"/>
      <c r="G600" s="8"/>
      <c r="H600" s="8"/>
      <c r="I600" s="8"/>
      <c r="J600" s="8"/>
      <c r="K600" s="8"/>
      <c r="L600" s="8"/>
    </row>
    <row r="601" spans="1:12" ht="14.4">
      <c r="B601" s="8"/>
      <c r="C601" s="8"/>
      <c r="D601" s="8"/>
      <c r="E601" s="8"/>
      <c r="F601" s="8"/>
      <c r="G601" s="8"/>
      <c r="H601" s="8"/>
      <c r="I601" s="8"/>
      <c r="J601" s="8"/>
      <c r="K601" s="8"/>
      <c r="L601" s="8"/>
    </row>
  </sheetData>
  <mergeCells count="14">
    <mergeCell ref="A8:K8"/>
    <mergeCell ref="A38:C38"/>
    <mergeCell ref="H38:K38"/>
    <mergeCell ref="A39:K39"/>
    <mergeCell ref="A61:C61"/>
    <mergeCell ref="H61:K61"/>
    <mergeCell ref="A93:C93"/>
    <mergeCell ref="H93:K93"/>
    <mergeCell ref="A62:K62"/>
    <mergeCell ref="A73:C73"/>
    <mergeCell ref="H73:K73"/>
    <mergeCell ref="A74:K74"/>
    <mergeCell ref="A91:C91"/>
    <mergeCell ref="H91:K9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3:G45"/>
  <sheetViews>
    <sheetView topLeftCell="A4" zoomScale="90" zoomScaleNormal="90" workbookViewId="0">
      <selection activeCell="K25" sqref="K25"/>
    </sheetView>
  </sheetViews>
  <sheetFormatPr baseColWidth="10" defaultRowHeight="13.8"/>
  <cols>
    <col min="1" max="1" width="57" customWidth="1"/>
    <col min="2" max="3" width="15" bestFit="1" customWidth="1"/>
    <col min="4" max="4" width="14.59765625" bestFit="1" customWidth="1"/>
    <col min="5" max="5" width="23.3984375" customWidth="1"/>
    <col min="6" max="7" width="13.69921875" customWidth="1"/>
  </cols>
  <sheetData>
    <row r="3" spans="1:7" ht="16.2">
      <c r="A3" s="10" t="s">
        <v>3142</v>
      </c>
    </row>
    <row r="6" spans="1:7">
      <c r="A6" s="636" t="s">
        <v>3137</v>
      </c>
      <c r="B6" s="636"/>
      <c r="C6" s="636"/>
    </row>
    <row r="7" spans="1:7">
      <c r="E7" t="s">
        <v>3138</v>
      </c>
    </row>
    <row r="8" spans="1:7">
      <c r="B8" s="319" t="s">
        <v>3139</v>
      </c>
      <c r="C8" s="319" t="s">
        <v>3140</v>
      </c>
      <c r="D8" s="319" t="s">
        <v>3141</v>
      </c>
      <c r="E8" s="211" t="s">
        <v>3772</v>
      </c>
    </row>
    <row r="9" spans="1:7" ht="15.6">
      <c r="A9" s="637" t="s">
        <v>3773</v>
      </c>
      <c r="B9" s="637"/>
      <c r="C9" s="637"/>
      <c r="D9" s="637"/>
      <c r="E9" s="318"/>
    </row>
    <row r="10" spans="1:7" ht="14.4">
      <c r="A10" s="199" t="s">
        <v>3060</v>
      </c>
      <c r="B10" s="212">
        <v>19933655.690000001</v>
      </c>
      <c r="C10" s="213">
        <v>19240627.170000002</v>
      </c>
      <c r="D10" s="213">
        <v>19933655.690000001</v>
      </c>
      <c r="E10" s="214">
        <f>B10-C10</f>
        <v>693028.51999999955</v>
      </c>
      <c r="F10" s="123"/>
      <c r="G10" s="123"/>
    </row>
    <row r="11" spans="1:7" ht="14.4">
      <c r="A11" s="199" t="s">
        <v>3062</v>
      </c>
      <c r="B11" s="212">
        <v>29776839.16</v>
      </c>
      <c r="C11" s="213">
        <v>29344191.969999999</v>
      </c>
      <c r="D11" s="213">
        <v>29344191.670000002</v>
      </c>
      <c r="E11" s="214">
        <f t="shared" ref="E11:E31" si="0">B11-C11</f>
        <v>432647.19000000134</v>
      </c>
      <c r="F11" s="123"/>
      <c r="G11" s="123"/>
    </row>
    <row r="12" spans="1:7" ht="14.4">
      <c r="A12" s="199" t="s">
        <v>3063</v>
      </c>
      <c r="B12" s="212">
        <v>162283871.41999999</v>
      </c>
      <c r="C12" s="213">
        <v>92755516.920000002</v>
      </c>
      <c r="D12" s="213">
        <v>92755583.140000001</v>
      </c>
      <c r="E12" s="214">
        <f t="shared" si="0"/>
        <v>69528354.499999985</v>
      </c>
      <c r="F12" s="123"/>
      <c r="G12" s="123"/>
    </row>
    <row r="13" spans="1:7" ht="14.4">
      <c r="A13" s="199" t="s">
        <v>3064</v>
      </c>
      <c r="B13" s="212"/>
      <c r="C13" s="213">
        <v>69073565.560000002</v>
      </c>
      <c r="D13" s="213">
        <v>69073565.060000002</v>
      </c>
      <c r="E13" s="214">
        <f t="shared" si="0"/>
        <v>-69073565.560000002</v>
      </c>
      <c r="F13" s="123"/>
      <c r="G13" s="123"/>
    </row>
    <row r="14" spans="1:7" ht="14.4">
      <c r="A14" s="199" t="s">
        <v>3065</v>
      </c>
      <c r="B14" s="212">
        <v>6245149.7000000002</v>
      </c>
      <c r="C14" s="213">
        <v>34524231.939999998</v>
      </c>
      <c r="D14" s="213">
        <v>35894638.609999999</v>
      </c>
      <c r="E14" s="214">
        <f t="shared" si="0"/>
        <v>-28279082.239999998</v>
      </c>
      <c r="F14" s="123"/>
      <c r="G14" s="123"/>
    </row>
    <row r="15" spans="1:7" ht="14.4">
      <c r="A15" s="199" t="s">
        <v>3066</v>
      </c>
      <c r="B15" s="212">
        <v>4118559.82</v>
      </c>
      <c r="C15" s="213">
        <v>25943631.02</v>
      </c>
      <c r="D15" s="213">
        <v>25973618.359999999</v>
      </c>
      <c r="E15" s="214">
        <f t="shared" si="0"/>
        <v>-21825071.199999999</v>
      </c>
      <c r="F15" s="123"/>
      <c r="G15" s="123"/>
    </row>
    <row r="16" spans="1:7" ht="14.4">
      <c r="A16" s="199" t="s">
        <v>3067</v>
      </c>
      <c r="B16" s="212">
        <v>9341204.1899999995</v>
      </c>
      <c r="C16" s="213">
        <v>18856314.75</v>
      </c>
      <c r="D16" s="213">
        <v>19341204.190000001</v>
      </c>
      <c r="E16" s="214">
        <f t="shared" si="0"/>
        <v>-9515110.5600000005</v>
      </c>
      <c r="F16" s="123"/>
      <c r="G16" s="123"/>
    </row>
    <row r="17" spans="1:7" ht="26.4">
      <c r="A17" s="199" t="s">
        <v>3068</v>
      </c>
      <c r="B17" s="212">
        <v>7492260</v>
      </c>
      <c r="C17" s="213">
        <v>15032299.310000001</v>
      </c>
      <c r="D17" s="213">
        <v>15032299.32</v>
      </c>
      <c r="E17" s="214">
        <f t="shared" si="0"/>
        <v>-7540039.3100000005</v>
      </c>
      <c r="F17" s="123"/>
      <c r="G17" s="123"/>
    </row>
    <row r="18" spans="1:7" ht="14.4">
      <c r="A18" s="199" t="s">
        <v>3069</v>
      </c>
      <c r="B18" s="212">
        <v>57768563.939999998</v>
      </c>
      <c r="C18" s="213">
        <v>64683853.939999998</v>
      </c>
      <c r="D18" s="213">
        <v>64684805</v>
      </c>
      <c r="E18" s="214">
        <f t="shared" si="0"/>
        <v>-6915290</v>
      </c>
      <c r="F18" s="123"/>
      <c r="G18" s="123"/>
    </row>
    <row r="19" spans="1:7" ht="14.4">
      <c r="A19" s="199" t="s">
        <v>3070</v>
      </c>
      <c r="B19" s="212">
        <v>14879516.42</v>
      </c>
      <c r="C19" s="213">
        <v>114879516.42</v>
      </c>
      <c r="D19" s="213">
        <v>114901200</v>
      </c>
      <c r="E19" s="214">
        <f t="shared" si="0"/>
        <v>-100000000</v>
      </c>
      <c r="F19" s="123"/>
      <c r="G19" s="123"/>
    </row>
    <row r="20" spans="1:7" ht="14.4">
      <c r="A20" s="199" t="s">
        <v>3071</v>
      </c>
      <c r="B20" s="212">
        <v>25181752.02</v>
      </c>
      <c r="C20" s="213">
        <v>24255299.120000001</v>
      </c>
      <c r="D20" s="213">
        <v>24255299.100000001</v>
      </c>
      <c r="E20" s="214">
        <f t="shared" si="0"/>
        <v>926452.89999999851</v>
      </c>
      <c r="F20" s="123"/>
      <c r="G20" s="123"/>
    </row>
    <row r="21" spans="1:7" ht="26.4">
      <c r="A21" s="199" t="s">
        <v>3072</v>
      </c>
      <c r="B21" s="212"/>
      <c r="C21" s="213">
        <v>11000000</v>
      </c>
      <c r="D21" s="213">
        <v>11000000</v>
      </c>
      <c r="E21" s="214">
        <f t="shared" si="0"/>
        <v>-11000000</v>
      </c>
      <c r="F21" s="123"/>
      <c r="G21" s="123"/>
    </row>
    <row r="22" spans="1:7" ht="26.4">
      <c r="A22" s="199" t="s">
        <v>2978</v>
      </c>
      <c r="B22" s="212">
        <v>10000000</v>
      </c>
      <c r="C22" s="213">
        <v>9740014.4900000002</v>
      </c>
      <c r="E22" s="214">
        <f t="shared" si="0"/>
        <v>259985.50999999978</v>
      </c>
    </row>
    <row r="23" spans="1:7" ht="26.4">
      <c r="A23" s="199" t="s">
        <v>2986</v>
      </c>
      <c r="B23" s="212">
        <v>10000000</v>
      </c>
      <c r="C23" s="213">
        <v>5000000</v>
      </c>
      <c r="E23" s="214">
        <f t="shared" si="0"/>
        <v>5000000</v>
      </c>
    </row>
    <row r="24" spans="1:7" ht="14.4">
      <c r="A24" s="199" t="s">
        <v>2989</v>
      </c>
      <c r="B24" s="212">
        <v>10000000</v>
      </c>
      <c r="C24" s="213">
        <v>9106864.8300000001</v>
      </c>
      <c r="E24" s="214">
        <f t="shared" si="0"/>
        <v>893135.16999999993</v>
      </c>
    </row>
    <row r="25" spans="1:7" ht="14.4">
      <c r="A25" s="199" t="s">
        <v>2998</v>
      </c>
      <c r="B25" s="212">
        <v>24836908.219999999</v>
      </c>
      <c r="C25" s="213">
        <v>23096289.969999999</v>
      </c>
      <c r="E25" s="214">
        <f t="shared" si="0"/>
        <v>1740618.25</v>
      </c>
    </row>
    <row r="26" spans="1:7" ht="14.4">
      <c r="A26" s="199" t="s">
        <v>2999</v>
      </c>
      <c r="B26" s="212">
        <v>1441609.22</v>
      </c>
      <c r="C26" s="213">
        <v>836007.07</v>
      </c>
      <c r="E26" s="214">
        <f t="shared" si="0"/>
        <v>605602.15</v>
      </c>
    </row>
    <row r="27" spans="1:7" ht="26.4">
      <c r="A27" s="199" t="s">
        <v>3010</v>
      </c>
      <c r="B27" s="212">
        <v>2099389.15</v>
      </c>
      <c r="C27" s="213">
        <v>1391245.15</v>
      </c>
      <c r="E27" s="214">
        <f t="shared" si="0"/>
        <v>708144</v>
      </c>
    </row>
    <row r="28" spans="1:7" ht="14.4">
      <c r="A28" s="199" t="s">
        <v>3011</v>
      </c>
      <c r="B28" s="212">
        <v>19541689.149999999</v>
      </c>
      <c r="C28" s="213">
        <v>14844699.640000001</v>
      </c>
      <c r="E28" s="214">
        <f t="shared" si="0"/>
        <v>4696989.5099999979</v>
      </c>
    </row>
    <row r="29" spans="1:7" ht="14.4">
      <c r="A29" s="199" t="s">
        <v>3013</v>
      </c>
      <c r="B29" s="212">
        <v>16797227.800000001</v>
      </c>
      <c r="C29" s="213">
        <v>8646239.2599999998</v>
      </c>
      <c r="E29" s="214">
        <f t="shared" si="0"/>
        <v>8150988.540000001</v>
      </c>
    </row>
    <row r="30" spans="1:7" ht="14.4">
      <c r="A30" s="199" t="s">
        <v>3014</v>
      </c>
      <c r="B30" s="212">
        <v>3461866.07</v>
      </c>
      <c r="C30" s="213">
        <v>1734466.98</v>
      </c>
      <c r="E30" s="214">
        <f t="shared" si="0"/>
        <v>1727399.0899999999</v>
      </c>
    </row>
    <row r="31" spans="1:7" ht="14.4">
      <c r="A31" s="199" t="s">
        <v>3016</v>
      </c>
      <c r="B31" s="212">
        <v>7158847.7400000002</v>
      </c>
      <c r="C31" s="213">
        <v>6057778.1699999999</v>
      </c>
      <c r="E31" s="214">
        <f t="shared" si="0"/>
        <v>1101069.5700000003</v>
      </c>
    </row>
    <row r="32" spans="1:7" ht="15.6">
      <c r="A32" s="637" t="s">
        <v>3774</v>
      </c>
      <c r="B32" s="637"/>
      <c r="C32" s="637"/>
      <c r="E32" s="214"/>
    </row>
    <row r="33" spans="1:5">
      <c r="A33" s="199" t="s">
        <v>3000</v>
      </c>
      <c r="B33" s="212">
        <v>520000</v>
      </c>
      <c r="C33" s="212">
        <v>0</v>
      </c>
      <c r="E33" s="214"/>
    </row>
    <row r="34" spans="1:5">
      <c r="A34" s="199" t="s">
        <v>3001</v>
      </c>
      <c r="B34" s="212">
        <v>390000</v>
      </c>
      <c r="C34" s="212">
        <v>0</v>
      </c>
      <c r="E34" s="214"/>
    </row>
    <row r="35" spans="1:5">
      <c r="A35" s="199" t="s">
        <v>3002</v>
      </c>
      <c r="B35" s="212">
        <v>54260.99</v>
      </c>
      <c r="C35" s="212">
        <v>0</v>
      </c>
      <c r="E35" s="214"/>
    </row>
    <row r="36" spans="1:5">
      <c r="A36" s="199" t="s">
        <v>3003</v>
      </c>
      <c r="B36" s="212">
        <v>275600</v>
      </c>
      <c r="C36" s="212">
        <v>0</v>
      </c>
      <c r="E36" s="214"/>
    </row>
    <row r="37" spans="1:5">
      <c r="A37" s="199" t="s">
        <v>3006</v>
      </c>
      <c r="B37" s="212">
        <v>415683.62</v>
      </c>
      <c r="C37" s="212">
        <v>0</v>
      </c>
      <c r="E37" s="214"/>
    </row>
    <row r="38" spans="1:5">
      <c r="A38" s="199" t="s">
        <v>3015</v>
      </c>
      <c r="B38" s="212">
        <v>961032.66</v>
      </c>
      <c r="C38" s="212">
        <v>0</v>
      </c>
      <c r="E38" s="214"/>
    </row>
    <row r="39" spans="1:5">
      <c r="A39" s="199" t="s">
        <v>3019</v>
      </c>
      <c r="B39" s="212">
        <v>260000</v>
      </c>
      <c r="C39" s="212">
        <v>0</v>
      </c>
      <c r="E39" s="214"/>
    </row>
    <row r="40" spans="1:5">
      <c r="A40" s="199" t="s">
        <v>3020</v>
      </c>
      <c r="B40" s="212">
        <v>195000</v>
      </c>
      <c r="C40" s="212">
        <v>0</v>
      </c>
      <c r="E40" s="214"/>
    </row>
    <row r="41" spans="1:5">
      <c r="A41" s="199" t="s">
        <v>3024</v>
      </c>
      <c r="B41" s="212">
        <v>7200000</v>
      </c>
      <c r="C41" s="212">
        <v>0</v>
      </c>
      <c r="E41" s="214"/>
    </row>
    <row r="42" spans="1:5">
      <c r="A42" s="199" t="s">
        <v>3026</v>
      </c>
      <c r="B42" s="212">
        <v>23400000</v>
      </c>
      <c r="C42" s="212">
        <v>0</v>
      </c>
      <c r="E42" s="214"/>
    </row>
    <row r="43" spans="1:5">
      <c r="B43" s="215">
        <f>SUM(B10:B42)</f>
        <v>476030486.97999996</v>
      </c>
      <c r="C43" s="215">
        <f>SUM(C10:C42)</f>
        <v>600042653.68000007</v>
      </c>
      <c r="E43" s="214"/>
    </row>
    <row r="44" spans="1:5">
      <c r="B44" s="124"/>
      <c r="C44" s="216">
        <f>B43-C43</f>
        <v>-124012166.70000011</v>
      </c>
    </row>
    <row r="45" spans="1:5">
      <c r="B45" s="124"/>
      <c r="C45" s="124"/>
    </row>
  </sheetData>
  <mergeCells count="3">
    <mergeCell ref="A6:C6"/>
    <mergeCell ref="A9:D9"/>
    <mergeCell ref="A32:C32"/>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3:F78"/>
  <sheetViews>
    <sheetView zoomScale="70" zoomScaleNormal="70" workbookViewId="0">
      <selection activeCell="G14" sqref="G14"/>
    </sheetView>
  </sheetViews>
  <sheetFormatPr baseColWidth="10" defaultColWidth="11.59765625" defaultRowHeight="14.4"/>
  <cols>
    <col min="1" max="1" width="11.59765625" style="8"/>
    <col min="2" max="2" width="48.3984375" style="8" bestFit="1" customWidth="1"/>
    <col min="3" max="3" width="93.3984375" style="8" bestFit="1" customWidth="1"/>
    <col min="4" max="4" width="30.296875" style="8" bestFit="1" customWidth="1"/>
    <col min="5" max="5" width="18.8984375" style="8" bestFit="1" customWidth="1"/>
    <col min="6" max="6" width="13.3984375" style="8" bestFit="1" customWidth="1"/>
    <col min="7" max="16384" width="11.59765625" style="8"/>
  </cols>
  <sheetData>
    <row r="3" spans="1:6" ht="16.2">
      <c r="A3" s="10" t="s">
        <v>3148</v>
      </c>
    </row>
    <row r="6" spans="1:6">
      <c r="B6" s="363" t="s">
        <v>1387</v>
      </c>
      <c r="C6" s="363" t="s">
        <v>2135</v>
      </c>
      <c r="D6" s="363" t="s">
        <v>3143</v>
      </c>
      <c r="E6" s="363" t="s">
        <v>1828</v>
      </c>
      <c r="F6" s="364"/>
    </row>
    <row r="7" spans="1:6">
      <c r="B7" s="365" t="s">
        <v>1829</v>
      </c>
      <c r="C7" s="365" t="s">
        <v>2139</v>
      </c>
      <c r="D7" s="365" t="s">
        <v>646</v>
      </c>
      <c r="E7" s="366">
        <v>151629582</v>
      </c>
    </row>
    <row r="8" spans="1:6">
      <c r="B8" s="8" t="s">
        <v>1833</v>
      </c>
      <c r="C8" s="8" t="s">
        <v>2139</v>
      </c>
      <c r="D8" s="8" t="s">
        <v>646</v>
      </c>
      <c r="E8" s="367">
        <v>83505734</v>
      </c>
    </row>
    <row r="9" spans="1:6">
      <c r="B9" s="365" t="s">
        <v>1831</v>
      </c>
      <c r="C9" s="365" t="s">
        <v>2139</v>
      </c>
      <c r="D9" s="365" t="s">
        <v>646</v>
      </c>
      <c r="E9" s="366">
        <v>82854486</v>
      </c>
    </row>
    <row r="10" spans="1:6">
      <c r="B10" s="8" t="s">
        <v>1850</v>
      </c>
      <c r="C10" s="8" t="s">
        <v>2139</v>
      </c>
      <c r="D10" s="8" t="s">
        <v>646</v>
      </c>
      <c r="E10" s="367">
        <v>35000000</v>
      </c>
    </row>
    <row r="11" spans="1:6">
      <c r="B11" s="365" t="s">
        <v>1836</v>
      </c>
      <c r="C11" s="365" t="s">
        <v>2139</v>
      </c>
      <c r="D11" s="365" t="s">
        <v>646</v>
      </c>
      <c r="E11" s="366">
        <v>31929844</v>
      </c>
    </row>
    <row r="12" spans="1:6">
      <c r="B12" s="8" t="s">
        <v>1854</v>
      </c>
      <c r="C12" s="8" t="s">
        <v>2155</v>
      </c>
      <c r="D12" s="8" t="s">
        <v>3144</v>
      </c>
      <c r="E12" s="367">
        <v>28424000</v>
      </c>
    </row>
    <row r="13" spans="1:6">
      <c r="B13" s="365" t="s">
        <v>1831</v>
      </c>
      <c r="C13" s="365" t="s">
        <v>2149</v>
      </c>
      <c r="D13" s="365" t="s">
        <v>646</v>
      </c>
      <c r="E13" s="366">
        <v>26479182</v>
      </c>
    </row>
    <row r="14" spans="1:6">
      <c r="B14" s="8" t="s">
        <v>62</v>
      </c>
      <c r="C14" s="8" t="s">
        <v>2149</v>
      </c>
      <c r="D14" s="8" t="s">
        <v>646</v>
      </c>
      <c r="E14" s="367">
        <v>24239027</v>
      </c>
    </row>
    <row r="15" spans="1:6">
      <c r="B15" s="365" t="s">
        <v>96</v>
      </c>
      <c r="C15" s="365" t="s">
        <v>2139</v>
      </c>
      <c r="D15" s="365" t="s">
        <v>646</v>
      </c>
      <c r="E15" s="366">
        <v>15000000</v>
      </c>
    </row>
    <row r="16" spans="1:6">
      <c r="B16" s="8" t="s">
        <v>1830</v>
      </c>
      <c r="C16" s="8" t="s">
        <v>2166</v>
      </c>
      <c r="D16" s="8" t="s">
        <v>646</v>
      </c>
      <c r="E16" s="367">
        <v>11052007</v>
      </c>
    </row>
    <row r="17" spans="2:5">
      <c r="B17" s="365" t="s">
        <v>1833</v>
      </c>
      <c r="C17" s="365" t="s">
        <v>2161</v>
      </c>
      <c r="D17" s="365" t="s">
        <v>646</v>
      </c>
      <c r="E17" s="366">
        <v>10000000</v>
      </c>
    </row>
    <row r="18" spans="2:5">
      <c r="B18" s="8" t="s">
        <v>1860</v>
      </c>
      <c r="C18" s="8" t="s">
        <v>2139</v>
      </c>
      <c r="D18" s="8" t="s">
        <v>646</v>
      </c>
      <c r="E18" s="367">
        <v>9999960</v>
      </c>
    </row>
    <row r="19" spans="2:5">
      <c r="B19" s="365" t="s">
        <v>1831</v>
      </c>
      <c r="C19" s="365" t="s">
        <v>2152</v>
      </c>
      <c r="D19" s="365" t="s">
        <v>646</v>
      </c>
      <c r="E19" s="366">
        <v>9916624</v>
      </c>
    </row>
    <row r="20" spans="2:5">
      <c r="B20" s="8" t="s">
        <v>1833</v>
      </c>
      <c r="C20" s="8" t="s">
        <v>2152</v>
      </c>
      <c r="D20" s="8" t="s">
        <v>646</v>
      </c>
      <c r="E20" s="367">
        <v>9034996</v>
      </c>
    </row>
    <row r="21" spans="2:5">
      <c r="B21" s="365" t="s">
        <v>3822</v>
      </c>
      <c r="C21" s="365" t="s">
        <v>2139</v>
      </c>
      <c r="D21" s="365" t="s">
        <v>659</v>
      </c>
      <c r="E21" s="366">
        <v>8100000</v>
      </c>
    </row>
    <row r="22" spans="2:5">
      <c r="B22" s="8" t="s">
        <v>96</v>
      </c>
      <c r="C22" s="8" t="s">
        <v>2161</v>
      </c>
      <c r="D22" s="8" t="s">
        <v>646</v>
      </c>
      <c r="E22" s="367">
        <v>7750000</v>
      </c>
    </row>
    <row r="23" spans="2:5">
      <c r="B23" s="365" t="s">
        <v>102</v>
      </c>
      <c r="C23" s="365" t="s">
        <v>2152</v>
      </c>
      <c r="D23" s="365" t="s">
        <v>646</v>
      </c>
      <c r="E23" s="366">
        <v>5673101</v>
      </c>
    </row>
    <row r="24" spans="2:5">
      <c r="B24" s="8" t="s">
        <v>1845</v>
      </c>
      <c r="C24" s="8" t="s">
        <v>2161</v>
      </c>
      <c r="D24" s="8" t="s">
        <v>646</v>
      </c>
      <c r="E24" s="367">
        <v>5000000</v>
      </c>
    </row>
    <row r="25" spans="2:5">
      <c r="B25" s="365" t="s">
        <v>102</v>
      </c>
      <c r="C25" s="365" t="s">
        <v>2139</v>
      </c>
      <c r="D25" s="365" t="s">
        <v>646</v>
      </c>
      <c r="E25" s="366">
        <v>4402670</v>
      </c>
    </row>
    <row r="26" spans="2:5">
      <c r="B26" s="8" t="s">
        <v>1839</v>
      </c>
      <c r="C26" s="8" t="s">
        <v>2171</v>
      </c>
      <c r="D26" s="8" t="s">
        <v>646</v>
      </c>
      <c r="E26" s="367">
        <v>3784068</v>
      </c>
    </row>
    <row r="27" spans="2:5">
      <c r="B27" s="365" t="s">
        <v>1849</v>
      </c>
      <c r="C27" s="365" t="s">
        <v>2152</v>
      </c>
      <c r="D27" s="365" t="s">
        <v>646</v>
      </c>
      <c r="E27" s="366">
        <v>3721016</v>
      </c>
    </row>
    <row r="28" spans="2:5">
      <c r="B28" s="8" t="s">
        <v>717</v>
      </c>
      <c r="C28" s="8" t="s">
        <v>2152</v>
      </c>
      <c r="D28" s="8" t="s">
        <v>646</v>
      </c>
      <c r="E28" s="367">
        <v>3275930</v>
      </c>
    </row>
    <row r="29" spans="2:5">
      <c r="B29" s="365" t="s">
        <v>1035</v>
      </c>
      <c r="C29" s="365" t="s">
        <v>2139</v>
      </c>
      <c r="D29" s="365" t="s">
        <v>1083</v>
      </c>
      <c r="E29" s="366">
        <v>2536334</v>
      </c>
    </row>
    <row r="30" spans="2:5">
      <c r="B30" s="8" t="s">
        <v>96</v>
      </c>
      <c r="C30" s="8" t="s">
        <v>2152</v>
      </c>
      <c r="D30" s="8" t="s">
        <v>646</v>
      </c>
      <c r="E30" s="367">
        <v>2343246</v>
      </c>
    </row>
    <row r="31" spans="2:5">
      <c r="B31" s="365" t="s">
        <v>1842</v>
      </c>
      <c r="C31" s="365" t="s">
        <v>2152</v>
      </c>
      <c r="D31" s="365" t="s">
        <v>3146</v>
      </c>
      <c r="E31" s="366">
        <v>1759388</v>
      </c>
    </row>
    <row r="32" spans="2:5">
      <c r="B32" s="8" t="s">
        <v>189</v>
      </c>
      <c r="C32" s="8" t="s">
        <v>2149</v>
      </c>
      <c r="D32" s="8" t="s">
        <v>646</v>
      </c>
      <c r="E32" s="367">
        <v>1233452</v>
      </c>
    </row>
    <row r="33" spans="2:5">
      <c r="B33" s="365" t="s">
        <v>62</v>
      </c>
      <c r="C33" s="365" t="s">
        <v>2152</v>
      </c>
      <c r="D33" s="365" t="s">
        <v>646</v>
      </c>
      <c r="E33" s="366">
        <v>1156461</v>
      </c>
    </row>
    <row r="34" spans="2:5">
      <c r="B34" s="8" t="s">
        <v>1847</v>
      </c>
      <c r="C34" s="8" t="s">
        <v>2149</v>
      </c>
      <c r="D34" s="8" t="s">
        <v>3146</v>
      </c>
      <c r="E34" s="367">
        <v>1090090</v>
      </c>
    </row>
    <row r="35" spans="2:5">
      <c r="B35" s="365" t="s">
        <v>1873</v>
      </c>
      <c r="C35" s="365" t="s">
        <v>2149</v>
      </c>
      <c r="D35" s="365" t="s">
        <v>646</v>
      </c>
      <c r="E35" s="366">
        <v>1000000</v>
      </c>
    </row>
    <row r="36" spans="2:5">
      <c r="B36" s="8" t="s">
        <v>1874</v>
      </c>
      <c r="C36" s="8" t="s">
        <v>2149</v>
      </c>
      <c r="D36" s="8" t="s">
        <v>646</v>
      </c>
      <c r="E36" s="367">
        <v>990000</v>
      </c>
    </row>
    <row r="37" spans="2:5">
      <c r="B37" s="365" t="s">
        <v>3714</v>
      </c>
      <c r="C37" s="365" t="s">
        <v>2171</v>
      </c>
      <c r="D37" s="365" t="s">
        <v>3145</v>
      </c>
      <c r="E37" s="366">
        <v>795000</v>
      </c>
    </row>
    <row r="38" spans="2:5">
      <c r="B38" s="8" t="s">
        <v>1840</v>
      </c>
      <c r="C38" s="8" t="s">
        <v>2171</v>
      </c>
      <c r="D38" s="8" t="s">
        <v>646</v>
      </c>
      <c r="E38" s="367">
        <v>773984</v>
      </c>
    </row>
    <row r="39" spans="2:5">
      <c r="B39" s="365" t="s">
        <v>1882</v>
      </c>
      <c r="C39" s="365" t="s">
        <v>2149</v>
      </c>
      <c r="D39" s="365" t="s">
        <v>3145</v>
      </c>
      <c r="E39" s="366">
        <v>500000</v>
      </c>
    </row>
    <row r="40" spans="2:5">
      <c r="B40" s="8" t="s">
        <v>375</v>
      </c>
      <c r="C40" s="8" t="s">
        <v>2149</v>
      </c>
      <c r="D40" s="8" t="s">
        <v>3145</v>
      </c>
      <c r="E40" s="367">
        <v>375000</v>
      </c>
    </row>
    <row r="41" spans="2:5">
      <c r="B41" s="365" t="s">
        <v>440</v>
      </c>
      <c r="C41" s="365" t="s">
        <v>2171</v>
      </c>
      <c r="D41" s="365" t="s">
        <v>646</v>
      </c>
      <c r="E41" s="366">
        <v>348300</v>
      </c>
    </row>
    <row r="42" spans="2:5">
      <c r="B42" s="8" t="s">
        <v>1831</v>
      </c>
      <c r="C42" s="8" t="s">
        <v>2171</v>
      </c>
      <c r="D42" s="8" t="s">
        <v>646</v>
      </c>
      <c r="E42" s="367">
        <v>325080</v>
      </c>
    </row>
    <row r="43" spans="2:5">
      <c r="B43" s="365" t="s">
        <v>1845</v>
      </c>
      <c r="C43" s="365" t="s">
        <v>2152</v>
      </c>
      <c r="D43" s="365" t="s">
        <v>646</v>
      </c>
      <c r="E43" s="366">
        <v>323897</v>
      </c>
    </row>
    <row r="44" spans="2:5">
      <c r="B44" s="8" t="s">
        <v>1841</v>
      </c>
      <c r="C44" s="8" t="s">
        <v>2171</v>
      </c>
      <c r="D44" s="8" t="s">
        <v>646</v>
      </c>
      <c r="E44" s="367">
        <v>321969</v>
      </c>
    </row>
    <row r="45" spans="2:5">
      <c r="B45" s="365" t="s">
        <v>1035</v>
      </c>
      <c r="C45" s="365" t="s">
        <v>2200</v>
      </c>
      <c r="D45" s="365" t="s">
        <v>1083</v>
      </c>
      <c r="E45" s="366">
        <v>266171</v>
      </c>
    </row>
    <row r="46" spans="2:5">
      <c r="B46" s="8" t="s">
        <v>1847</v>
      </c>
      <c r="C46" s="8" t="s">
        <v>2171</v>
      </c>
      <c r="D46" s="8" t="s">
        <v>3146</v>
      </c>
      <c r="E46" s="367">
        <v>259720</v>
      </c>
    </row>
    <row r="47" spans="2:5">
      <c r="B47" s="365" t="s">
        <v>1873</v>
      </c>
      <c r="C47" s="365" t="s">
        <v>2171</v>
      </c>
      <c r="D47" s="365" t="s">
        <v>646</v>
      </c>
      <c r="E47" s="366">
        <v>215000</v>
      </c>
    </row>
    <row r="48" spans="2:5">
      <c r="B48" s="8" t="s">
        <v>375</v>
      </c>
      <c r="C48" s="8" t="s">
        <v>2152</v>
      </c>
      <c r="D48" s="8" t="s">
        <v>3145</v>
      </c>
      <c r="E48" s="367">
        <v>200000</v>
      </c>
    </row>
    <row r="49" spans="2:5">
      <c r="B49" s="365" t="s">
        <v>177</v>
      </c>
      <c r="C49" s="365" t="s">
        <v>2152</v>
      </c>
      <c r="D49" s="365" t="s">
        <v>646</v>
      </c>
      <c r="E49" s="366">
        <v>198852</v>
      </c>
    </row>
    <row r="50" spans="2:5">
      <c r="B50" s="8" t="s">
        <v>1865</v>
      </c>
      <c r="C50" s="8" t="s">
        <v>2152</v>
      </c>
      <c r="D50" s="8" t="s">
        <v>3145</v>
      </c>
      <c r="E50" s="367">
        <v>164640</v>
      </c>
    </row>
    <row r="51" spans="2:5">
      <c r="B51" s="365" t="s">
        <v>177</v>
      </c>
      <c r="C51" s="365" t="s">
        <v>2152</v>
      </c>
      <c r="D51" s="365" t="s">
        <v>3145</v>
      </c>
      <c r="E51" s="366">
        <v>163113</v>
      </c>
    </row>
    <row r="52" spans="2:5">
      <c r="B52" s="8" t="s">
        <v>1900</v>
      </c>
      <c r="C52" s="8" t="s">
        <v>2171</v>
      </c>
      <c r="D52" s="8" t="s">
        <v>3147</v>
      </c>
      <c r="E52" s="367">
        <v>150000</v>
      </c>
    </row>
    <row r="53" spans="2:5">
      <c r="B53" s="365" t="s">
        <v>1840</v>
      </c>
      <c r="C53" s="365" t="s">
        <v>2171</v>
      </c>
      <c r="D53" s="365" t="s">
        <v>3144</v>
      </c>
      <c r="E53" s="366">
        <v>120000</v>
      </c>
    </row>
    <row r="54" spans="2:5">
      <c r="B54" s="8" t="s">
        <v>1906</v>
      </c>
      <c r="C54" s="8" t="s">
        <v>2184</v>
      </c>
      <c r="D54" s="8" t="s">
        <v>3145</v>
      </c>
      <c r="E54" s="367">
        <v>100000</v>
      </c>
    </row>
    <row r="55" spans="2:5">
      <c r="B55" s="365" t="s">
        <v>440</v>
      </c>
      <c r="C55" s="365" t="s">
        <v>2149</v>
      </c>
      <c r="D55" s="365" t="s">
        <v>646</v>
      </c>
      <c r="E55" s="366">
        <v>100000</v>
      </c>
    </row>
    <row r="56" spans="2:5">
      <c r="B56" s="8" t="s">
        <v>1844</v>
      </c>
      <c r="C56" s="8" t="s">
        <v>2171</v>
      </c>
      <c r="D56" s="8" t="s">
        <v>646</v>
      </c>
      <c r="E56" s="367">
        <v>79050</v>
      </c>
    </row>
    <row r="57" spans="2:5">
      <c r="B57" s="365" t="s">
        <v>1095</v>
      </c>
      <c r="C57" s="365" t="s">
        <v>2152</v>
      </c>
      <c r="D57" s="365" t="s">
        <v>646</v>
      </c>
      <c r="E57" s="366">
        <v>75209</v>
      </c>
    </row>
    <row r="58" spans="2:5">
      <c r="B58" s="8" t="s">
        <v>3823</v>
      </c>
      <c r="C58" s="8" t="s">
        <v>2152</v>
      </c>
      <c r="D58" s="8" t="s">
        <v>3145</v>
      </c>
      <c r="E58" s="367">
        <v>75060</v>
      </c>
    </row>
    <row r="59" spans="2:5">
      <c r="B59" s="365" t="s">
        <v>1920</v>
      </c>
      <c r="C59" s="365" t="s">
        <v>2184</v>
      </c>
      <c r="D59" s="365" t="s">
        <v>3147</v>
      </c>
      <c r="E59" s="366">
        <v>74940</v>
      </c>
    </row>
    <row r="60" spans="2:5">
      <c r="B60" s="8" t="s">
        <v>1836</v>
      </c>
      <c r="C60" s="8" t="s">
        <v>2171</v>
      </c>
      <c r="D60" s="8" t="s">
        <v>646</v>
      </c>
      <c r="E60" s="367">
        <v>56724</v>
      </c>
    </row>
    <row r="61" spans="2:5">
      <c r="B61" s="365" t="s">
        <v>189</v>
      </c>
      <c r="C61" s="365" t="s">
        <v>2152</v>
      </c>
      <c r="D61" s="365" t="s">
        <v>646</v>
      </c>
      <c r="E61" s="366">
        <v>54823</v>
      </c>
    </row>
    <row r="62" spans="2:5">
      <c r="B62" s="8" t="s">
        <v>1935</v>
      </c>
      <c r="C62" s="8" t="s">
        <v>2184</v>
      </c>
      <c r="D62" s="8" t="s">
        <v>3145</v>
      </c>
      <c r="E62" s="367">
        <v>50000</v>
      </c>
    </row>
    <row r="63" spans="2:5">
      <c r="B63" s="365" t="s">
        <v>1936</v>
      </c>
      <c r="C63" s="365" t="s">
        <v>2184</v>
      </c>
      <c r="D63" s="365" t="s">
        <v>3145</v>
      </c>
      <c r="E63" s="366">
        <v>50000</v>
      </c>
    </row>
    <row r="64" spans="2:5">
      <c r="B64" s="8" t="s">
        <v>1887</v>
      </c>
      <c r="C64" s="8" t="s">
        <v>2152</v>
      </c>
      <c r="D64" s="8" t="s">
        <v>3145</v>
      </c>
      <c r="E64" s="367">
        <v>45000</v>
      </c>
    </row>
    <row r="65" spans="2:5">
      <c r="B65" s="365" t="s">
        <v>1843</v>
      </c>
      <c r="C65" s="365" t="s">
        <v>2171</v>
      </c>
      <c r="D65" s="365" t="s">
        <v>646</v>
      </c>
      <c r="E65" s="366">
        <v>36120</v>
      </c>
    </row>
    <row r="66" spans="2:5">
      <c r="B66" s="8" t="s">
        <v>1949</v>
      </c>
      <c r="C66" s="8" t="s">
        <v>2152</v>
      </c>
      <c r="D66" s="8" t="s">
        <v>3145</v>
      </c>
      <c r="E66" s="367">
        <v>30100</v>
      </c>
    </row>
    <row r="67" spans="2:5">
      <c r="B67" s="365" t="s">
        <v>1950</v>
      </c>
      <c r="C67" s="365" t="s">
        <v>2149</v>
      </c>
      <c r="D67" s="365" t="s">
        <v>3147</v>
      </c>
      <c r="E67" s="366">
        <v>30000</v>
      </c>
    </row>
    <row r="68" spans="2:5">
      <c r="B68" s="8" t="s">
        <v>1836</v>
      </c>
      <c r="C68" s="8" t="s">
        <v>2184</v>
      </c>
      <c r="D68" s="8" t="s">
        <v>3147</v>
      </c>
      <c r="E68" s="367">
        <v>25000</v>
      </c>
    </row>
    <row r="69" spans="2:5">
      <c r="B69" s="365" t="s">
        <v>1965</v>
      </c>
      <c r="C69" s="365" t="s">
        <v>2184</v>
      </c>
      <c r="D69" s="365" t="s">
        <v>3145</v>
      </c>
      <c r="E69" s="366">
        <v>25000</v>
      </c>
    </row>
    <row r="70" spans="2:5">
      <c r="B70" s="8" t="s">
        <v>1966</v>
      </c>
      <c r="C70" s="8" t="s">
        <v>2184</v>
      </c>
      <c r="D70" s="8" t="s">
        <v>3147</v>
      </c>
      <c r="E70" s="367">
        <v>25000</v>
      </c>
    </row>
    <row r="71" spans="2:5">
      <c r="B71" s="365" t="s">
        <v>1967</v>
      </c>
      <c r="C71" s="365" t="s">
        <v>2184</v>
      </c>
      <c r="D71" s="365" t="s">
        <v>3147</v>
      </c>
      <c r="E71" s="366">
        <v>25000</v>
      </c>
    </row>
    <row r="72" spans="2:5">
      <c r="B72" s="8" t="s">
        <v>1854</v>
      </c>
      <c r="C72" s="8" t="s">
        <v>2184</v>
      </c>
      <c r="D72" s="8" t="s">
        <v>3147</v>
      </c>
      <c r="E72" s="367">
        <v>25000</v>
      </c>
    </row>
    <row r="73" spans="2:5">
      <c r="B73" s="365" t="s">
        <v>1964</v>
      </c>
      <c r="C73" s="365" t="s">
        <v>2184</v>
      </c>
      <c r="D73" s="365" t="s">
        <v>3147</v>
      </c>
      <c r="E73" s="366">
        <v>25000</v>
      </c>
    </row>
    <row r="74" spans="2:5">
      <c r="B74" s="8" t="s">
        <v>2002</v>
      </c>
      <c r="C74" s="8" t="s">
        <v>2184</v>
      </c>
      <c r="D74" s="8" t="s">
        <v>3147</v>
      </c>
      <c r="E74" s="367">
        <v>25000</v>
      </c>
    </row>
    <row r="75" spans="2:5">
      <c r="B75" s="365" t="s">
        <v>1871</v>
      </c>
      <c r="C75" s="365" t="s">
        <v>2152</v>
      </c>
      <c r="D75" s="365" t="s">
        <v>3145</v>
      </c>
      <c r="E75" s="366">
        <v>12485</v>
      </c>
    </row>
    <row r="76" spans="2:5">
      <c r="B76" s="8" t="s">
        <v>1845</v>
      </c>
      <c r="C76" s="8" t="s">
        <v>2171</v>
      </c>
      <c r="D76" s="8" t="s">
        <v>646</v>
      </c>
      <c r="E76" s="367">
        <v>11610</v>
      </c>
    </row>
    <row r="77" spans="2:5">
      <c r="B77" s="365" t="s">
        <v>1915</v>
      </c>
      <c r="C77" s="365" t="s">
        <v>2152</v>
      </c>
      <c r="D77" s="365" t="s">
        <v>3145</v>
      </c>
      <c r="E77" s="366">
        <v>10000</v>
      </c>
    </row>
    <row r="78" spans="2:5">
      <c r="E78" s="368">
        <f>SUM(E7:E77)</f>
        <v>589448045</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3:E118"/>
  <sheetViews>
    <sheetView zoomScale="70" zoomScaleNormal="70" workbookViewId="0">
      <selection activeCell="D20" sqref="D20"/>
    </sheetView>
  </sheetViews>
  <sheetFormatPr baseColWidth="10" defaultColWidth="11.59765625" defaultRowHeight="14.4"/>
  <cols>
    <col min="1" max="1" width="11.59765625" style="8"/>
    <col min="2" max="2" width="66.296875" style="8" bestFit="1" customWidth="1"/>
    <col min="3" max="3" width="91.296875" style="8" bestFit="1" customWidth="1"/>
    <col min="4" max="4" width="25.69921875" style="8" bestFit="1" customWidth="1"/>
    <col min="5" max="5" width="19" style="8" bestFit="1" customWidth="1"/>
    <col min="6" max="7" width="11.59765625" style="8"/>
    <col min="8" max="8" width="12.296875" style="8" bestFit="1" customWidth="1"/>
    <col min="9" max="16384" width="11.59765625" style="8"/>
  </cols>
  <sheetData>
    <row r="3" spans="1:5">
      <c r="A3" s="9" t="s">
        <v>3155</v>
      </c>
      <c r="C3" s="369"/>
    </row>
    <row r="6" spans="1:5">
      <c r="B6" s="363" t="s">
        <v>1387</v>
      </c>
      <c r="C6" s="363" t="s">
        <v>2135</v>
      </c>
      <c r="D6" s="363" t="s">
        <v>3143</v>
      </c>
      <c r="E6" s="363" t="s">
        <v>1828</v>
      </c>
    </row>
    <row r="7" spans="1:5">
      <c r="B7" s="365" t="s">
        <v>1837</v>
      </c>
      <c r="C7" s="365" t="s">
        <v>2142</v>
      </c>
      <c r="D7" s="365" t="s">
        <v>2333</v>
      </c>
      <c r="E7" s="366">
        <v>96835231</v>
      </c>
    </row>
    <row r="8" spans="1:5">
      <c r="B8" s="8" t="s">
        <v>1837</v>
      </c>
      <c r="C8" s="8" t="s">
        <v>2144</v>
      </c>
      <c r="D8" s="8" t="s">
        <v>2333</v>
      </c>
      <c r="E8" s="367">
        <v>23959950</v>
      </c>
    </row>
    <row r="9" spans="1:5">
      <c r="B9" s="365" t="s">
        <v>1837</v>
      </c>
      <c r="C9" s="365" t="s">
        <v>2151</v>
      </c>
      <c r="D9" s="365" t="s">
        <v>2333</v>
      </c>
      <c r="E9" s="366">
        <v>15023884</v>
      </c>
    </row>
    <row r="10" spans="1:5">
      <c r="B10" s="8" t="s">
        <v>1837</v>
      </c>
      <c r="C10" s="8" t="s">
        <v>2136</v>
      </c>
      <c r="D10" s="8" t="s">
        <v>2333</v>
      </c>
      <c r="E10" s="367">
        <v>5794937</v>
      </c>
    </row>
    <row r="11" spans="1:5">
      <c r="B11" s="365" t="s">
        <v>1837</v>
      </c>
      <c r="C11" s="365" t="s">
        <v>2165</v>
      </c>
      <c r="D11" s="365" t="s">
        <v>2425</v>
      </c>
      <c r="E11" s="366">
        <v>3331534</v>
      </c>
    </row>
    <row r="12" spans="1:5">
      <c r="B12" s="8" t="s">
        <v>1837</v>
      </c>
      <c r="C12" s="8" t="s">
        <v>2154</v>
      </c>
      <c r="D12" s="8" t="s">
        <v>2428</v>
      </c>
      <c r="E12" s="367">
        <v>2900368</v>
      </c>
    </row>
    <row r="13" spans="1:5">
      <c r="B13" s="365" t="s">
        <v>1863</v>
      </c>
      <c r="C13" s="365" t="s">
        <v>2138</v>
      </c>
      <c r="D13" s="365" t="s">
        <v>1</v>
      </c>
      <c r="E13" s="366">
        <v>2299216</v>
      </c>
    </row>
    <row r="14" spans="1:5">
      <c r="B14" s="8" t="s">
        <v>1837</v>
      </c>
      <c r="C14" s="8" t="s">
        <v>2174</v>
      </c>
      <c r="D14" s="8" t="s">
        <v>1</v>
      </c>
      <c r="E14" s="367">
        <v>2176817</v>
      </c>
    </row>
    <row r="15" spans="1:5">
      <c r="B15" s="365" t="s">
        <v>1863</v>
      </c>
      <c r="C15" s="365" t="s">
        <v>3828</v>
      </c>
      <c r="D15" s="365" t="s">
        <v>1</v>
      </c>
      <c r="E15" s="366">
        <v>2000954</v>
      </c>
    </row>
    <row r="16" spans="1:5">
      <c r="B16" s="8" t="s">
        <v>1837</v>
      </c>
      <c r="C16" s="8" t="s">
        <v>2175</v>
      </c>
      <c r="D16" s="8" t="s">
        <v>1</v>
      </c>
      <c r="E16" s="367">
        <v>1828714</v>
      </c>
    </row>
    <row r="17" spans="2:5">
      <c r="B17" s="365" t="s">
        <v>1837</v>
      </c>
      <c r="C17" s="365" t="s">
        <v>2146</v>
      </c>
      <c r="D17" s="365" t="s">
        <v>3149</v>
      </c>
      <c r="E17" s="366">
        <v>1824018</v>
      </c>
    </row>
    <row r="18" spans="2:5">
      <c r="B18" s="8" t="s">
        <v>1863</v>
      </c>
      <c r="C18" s="8" t="s">
        <v>2163</v>
      </c>
      <c r="D18" s="8" t="s">
        <v>1</v>
      </c>
      <c r="E18" s="367">
        <v>1233193</v>
      </c>
    </row>
    <row r="19" spans="2:5">
      <c r="B19" s="365" t="s">
        <v>1837</v>
      </c>
      <c r="C19" s="365" t="s">
        <v>2141</v>
      </c>
      <c r="D19" s="365" t="s">
        <v>2343</v>
      </c>
      <c r="E19" s="366">
        <v>1167313</v>
      </c>
    </row>
    <row r="20" spans="2:5">
      <c r="B20" s="8" t="s">
        <v>1837</v>
      </c>
      <c r="C20" s="8" t="s">
        <v>2143</v>
      </c>
      <c r="D20" s="8" t="s">
        <v>3150</v>
      </c>
      <c r="E20" s="367">
        <v>1130462</v>
      </c>
    </row>
    <row r="21" spans="2:5">
      <c r="B21" s="365" t="s">
        <v>1837</v>
      </c>
      <c r="C21" s="365" t="s">
        <v>2179</v>
      </c>
      <c r="D21" s="365" t="s">
        <v>1</v>
      </c>
      <c r="E21" s="366">
        <v>1056250</v>
      </c>
    </row>
    <row r="22" spans="2:5">
      <c r="B22" s="8" t="s">
        <v>1863</v>
      </c>
      <c r="C22" s="8" t="s">
        <v>2136</v>
      </c>
      <c r="D22" s="8" t="s">
        <v>2333</v>
      </c>
      <c r="E22" s="367">
        <v>939521</v>
      </c>
    </row>
    <row r="23" spans="2:5">
      <c r="B23" s="365" t="s">
        <v>1863</v>
      </c>
      <c r="C23" s="365" t="s">
        <v>2143</v>
      </c>
      <c r="D23" s="365" t="s">
        <v>3152</v>
      </c>
      <c r="E23" s="366">
        <v>921671</v>
      </c>
    </row>
    <row r="24" spans="2:5">
      <c r="B24" s="8" t="s">
        <v>1866</v>
      </c>
      <c r="C24" s="8" t="s">
        <v>2174</v>
      </c>
      <c r="D24" s="8" t="s">
        <v>1</v>
      </c>
      <c r="E24" s="367">
        <v>900000</v>
      </c>
    </row>
    <row r="25" spans="2:5">
      <c r="B25" s="365" t="s">
        <v>1866</v>
      </c>
      <c r="C25" s="365" t="s">
        <v>2175</v>
      </c>
      <c r="D25" s="365" t="s">
        <v>1</v>
      </c>
      <c r="E25" s="366">
        <v>900000</v>
      </c>
    </row>
    <row r="26" spans="2:5">
      <c r="B26" s="8" t="s">
        <v>1837</v>
      </c>
      <c r="C26" s="8" t="s">
        <v>2156</v>
      </c>
      <c r="D26" s="8" t="s">
        <v>2333</v>
      </c>
      <c r="E26" s="367">
        <v>889874</v>
      </c>
    </row>
    <row r="27" spans="2:5">
      <c r="B27" s="365" t="s">
        <v>1863</v>
      </c>
      <c r="C27" s="365" t="s">
        <v>2137</v>
      </c>
      <c r="D27" s="365" t="s">
        <v>2343</v>
      </c>
      <c r="E27" s="366">
        <v>678020</v>
      </c>
    </row>
    <row r="28" spans="2:5">
      <c r="B28" s="8" t="s">
        <v>1837</v>
      </c>
      <c r="C28" s="8" t="s">
        <v>2168</v>
      </c>
      <c r="D28" s="8" t="s">
        <v>1</v>
      </c>
      <c r="E28" s="367">
        <v>673188</v>
      </c>
    </row>
    <row r="29" spans="2:5">
      <c r="B29" s="365" t="s">
        <v>1837</v>
      </c>
      <c r="C29" s="365" t="s">
        <v>2146</v>
      </c>
      <c r="D29" s="365" t="s">
        <v>3151</v>
      </c>
      <c r="E29" s="366">
        <v>582885</v>
      </c>
    </row>
    <row r="30" spans="2:5">
      <c r="B30" s="8" t="s">
        <v>1837</v>
      </c>
      <c r="C30" s="8" t="s">
        <v>2147</v>
      </c>
      <c r="D30" s="8" t="s">
        <v>3150</v>
      </c>
      <c r="E30" s="367">
        <v>571409</v>
      </c>
    </row>
    <row r="31" spans="2:5">
      <c r="B31" s="365" t="s">
        <v>1866</v>
      </c>
      <c r="C31" s="365" t="s">
        <v>2165</v>
      </c>
      <c r="D31" s="365" t="s">
        <v>2425</v>
      </c>
      <c r="E31" s="366">
        <v>570166</v>
      </c>
    </row>
    <row r="32" spans="2:5">
      <c r="B32" s="8" t="s">
        <v>1866</v>
      </c>
      <c r="C32" s="8" t="s">
        <v>2168</v>
      </c>
      <c r="D32" s="8" t="s">
        <v>1</v>
      </c>
      <c r="E32" s="367">
        <v>569903</v>
      </c>
    </row>
    <row r="33" spans="2:5">
      <c r="B33" s="365" t="s">
        <v>1837</v>
      </c>
      <c r="C33" s="365" t="s">
        <v>2178</v>
      </c>
      <c r="D33" s="365" t="s">
        <v>3150</v>
      </c>
      <c r="E33" s="366">
        <v>541723</v>
      </c>
    </row>
    <row r="34" spans="2:5">
      <c r="B34" s="8" t="s">
        <v>1863</v>
      </c>
      <c r="C34" s="8" t="s">
        <v>3827</v>
      </c>
      <c r="D34" s="8" t="s">
        <v>2420</v>
      </c>
      <c r="E34" s="367">
        <v>486471</v>
      </c>
    </row>
    <row r="35" spans="2:5">
      <c r="B35" s="365" t="s">
        <v>1869</v>
      </c>
      <c r="C35" s="365" t="s">
        <v>2165</v>
      </c>
      <c r="D35" s="365" t="s">
        <v>2425</v>
      </c>
      <c r="E35" s="366">
        <v>437222</v>
      </c>
    </row>
    <row r="36" spans="2:5">
      <c r="B36" s="8" t="s">
        <v>1886</v>
      </c>
      <c r="C36" s="8" t="s">
        <v>2144</v>
      </c>
      <c r="D36" s="8" t="s">
        <v>2333</v>
      </c>
      <c r="E36" s="367">
        <v>373180</v>
      </c>
    </row>
    <row r="37" spans="2:5">
      <c r="B37" s="365" t="s">
        <v>1863</v>
      </c>
      <c r="C37" s="365" t="s">
        <v>2144</v>
      </c>
      <c r="D37" s="365" t="s">
        <v>2333</v>
      </c>
      <c r="E37" s="366">
        <v>355831</v>
      </c>
    </row>
    <row r="38" spans="2:5">
      <c r="B38" s="8" t="s">
        <v>1869</v>
      </c>
      <c r="C38" s="8" t="s">
        <v>2138</v>
      </c>
      <c r="D38" s="8" t="s">
        <v>1</v>
      </c>
      <c r="E38" s="367">
        <v>332293</v>
      </c>
    </row>
    <row r="39" spans="2:5">
      <c r="B39" s="365" t="s">
        <v>1869</v>
      </c>
      <c r="C39" s="365" t="s">
        <v>2168</v>
      </c>
      <c r="D39" s="365" t="s">
        <v>1</v>
      </c>
      <c r="E39" s="366">
        <v>320952</v>
      </c>
    </row>
    <row r="40" spans="2:5">
      <c r="B40" s="8" t="s">
        <v>1863</v>
      </c>
      <c r="C40" s="8" t="s">
        <v>2165</v>
      </c>
      <c r="D40" s="8" t="s">
        <v>2425</v>
      </c>
      <c r="E40" s="367">
        <v>256836</v>
      </c>
    </row>
    <row r="41" spans="2:5">
      <c r="B41" s="365" t="s">
        <v>1863</v>
      </c>
      <c r="C41" s="365" t="s">
        <v>2168</v>
      </c>
      <c r="D41" s="365" t="s">
        <v>1</v>
      </c>
      <c r="E41" s="366">
        <v>256836</v>
      </c>
    </row>
    <row r="42" spans="2:5">
      <c r="B42" s="8" t="s">
        <v>1837</v>
      </c>
      <c r="C42" s="8" t="s">
        <v>2172</v>
      </c>
      <c r="D42" s="8" t="s">
        <v>3824</v>
      </c>
      <c r="E42" s="367">
        <v>228798</v>
      </c>
    </row>
    <row r="43" spans="2:5">
      <c r="B43" s="365" t="s">
        <v>1863</v>
      </c>
      <c r="C43" s="365" t="s">
        <v>2154</v>
      </c>
      <c r="D43" s="365" t="s">
        <v>2428</v>
      </c>
      <c r="E43" s="366">
        <v>227173</v>
      </c>
    </row>
    <row r="44" spans="2:5">
      <c r="B44" s="8" t="s">
        <v>1869</v>
      </c>
      <c r="C44" s="8" t="s">
        <v>2141</v>
      </c>
      <c r="D44" s="8" t="s">
        <v>2343</v>
      </c>
      <c r="E44" s="367">
        <v>221718</v>
      </c>
    </row>
    <row r="45" spans="2:5">
      <c r="B45" s="365" t="s">
        <v>1869</v>
      </c>
      <c r="C45" s="365" t="s">
        <v>3827</v>
      </c>
      <c r="D45" s="365" t="s">
        <v>2420</v>
      </c>
      <c r="E45" s="366">
        <v>199053</v>
      </c>
    </row>
    <row r="46" spans="2:5">
      <c r="B46" s="8" t="s">
        <v>1863</v>
      </c>
      <c r="C46" s="8" t="s">
        <v>2146</v>
      </c>
      <c r="D46" s="8" t="s">
        <v>3207</v>
      </c>
      <c r="E46" s="367">
        <v>172520</v>
      </c>
    </row>
    <row r="47" spans="2:5">
      <c r="B47" s="365" t="s">
        <v>1869</v>
      </c>
      <c r="C47" s="365" t="s">
        <v>2178</v>
      </c>
      <c r="D47" s="365" t="s">
        <v>3154</v>
      </c>
      <c r="E47" s="366">
        <v>153544</v>
      </c>
    </row>
    <row r="48" spans="2:5">
      <c r="B48" s="8" t="s">
        <v>1869</v>
      </c>
      <c r="C48" s="8" t="s">
        <v>2143</v>
      </c>
      <c r="D48" s="8" t="s">
        <v>3194</v>
      </c>
      <c r="E48" s="367">
        <v>145330</v>
      </c>
    </row>
    <row r="49" spans="2:5">
      <c r="B49" s="365" t="s">
        <v>1866</v>
      </c>
      <c r="C49" s="365" t="s">
        <v>2178</v>
      </c>
      <c r="D49" s="365" t="s">
        <v>3826</v>
      </c>
      <c r="E49" s="366">
        <v>129063</v>
      </c>
    </row>
    <row r="50" spans="2:5">
      <c r="B50" s="8" t="s">
        <v>1863</v>
      </c>
      <c r="C50" s="8" t="s">
        <v>2141</v>
      </c>
      <c r="D50" s="8" t="s">
        <v>2343</v>
      </c>
      <c r="E50" s="367">
        <v>123497</v>
      </c>
    </row>
    <row r="51" spans="2:5">
      <c r="B51" s="365" t="s">
        <v>1837</v>
      </c>
      <c r="C51" s="365" t="s">
        <v>2137</v>
      </c>
      <c r="D51" s="365" t="s">
        <v>2343</v>
      </c>
      <c r="E51" s="366">
        <v>103014</v>
      </c>
    </row>
    <row r="52" spans="2:5">
      <c r="B52" s="8" t="s">
        <v>1863</v>
      </c>
      <c r="C52" s="8" t="s">
        <v>2191</v>
      </c>
      <c r="D52" s="8" t="s">
        <v>3152</v>
      </c>
      <c r="E52" s="367">
        <v>100000</v>
      </c>
    </row>
    <row r="53" spans="2:5">
      <c r="B53" s="365" t="s">
        <v>1891</v>
      </c>
      <c r="C53" s="365" t="s">
        <v>2141</v>
      </c>
      <c r="D53" s="365" t="s">
        <v>2343</v>
      </c>
      <c r="E53" s="366">
        <v>99711</v>
      </c>
    </row>
    <row r="54" spans="2:5">
      <c r="B54" s="8" t="s">
        <v>1863</v>
      </c>
      <c r="C54" s="8" t="s">
        <v>2142</v>
      </c>
      <c r="D54" s="8" t="s">
        <v>2333</v>
      </c>
      <c r="E54" s="367">
        <v>92481</v>
      </c>
    </row>
    <row r="55" spans="2:5">
      <c r="B55" s="365" t="s">
        <v>1837</v>
      </c>
      <c r="C55" s="365" t="s">
        <v>2178</v>
      </c>
      <c r="D55" s="365" t="s">
        <v>3153</v>
      </c>
      <c r="E55" s="366">
        <v>89320</v>
      </c>
    </row>
    <row r="56" spans="2:5">
      <c r="B56" s="8" t="s">
        <v>1837</v>
      </c>
      <c r="C56" s="8" t="s">
        <v>2157</v>
      </c>
      <c r="D56" s="8" t="s">
        <v>2423</v>
      </c>
      <c r="E56" s="367">
        <v>76753</v>
      </c>
    </row>
    <row r="57" spans="2:5">
      <c r="B57" s="365" t="s">
        <v>1891</v>
      </c>
      <c r="C57" s="365" t="s">
        <v>2143</v>
      </c>
      <c r="D57" s="365" t="s">
        <v>3153</v>
      </c>
      <c r="E57" s="366">
        <v>75522</v>
      </c>
    </row>
    <row r="58" spans="2:5">
      <c r="B58" s="8" t="s">
        <v>1869</v>
      </c>
      <c r="C58" s="8" t="s">
        <v>2136</v>
      </c>
      <c r="D58" s="8" t="s">
        <v>2333</v>
      </c>
      <c r="E58" s="367">
        <v>74927</v>
      </c>
    </row>
    <row r="59" spans="2:5">
      <c r="B59" s="365" t="s">
        <v>2134</v>
      </c>
      <c r="C59" s="365" t="s">
        <v>2136</v>
      </c>
      <c r="D59" s="365" t="s">
        <v>2333</v>
      </c>
      <c r="E59" s="366">
        <v>71397</v>
      </c>
    </row>
    <row r="60" spans="2:5">
      <c r="B60" s="8" t="s">
        <v>1869</v>
      </c>
      <c r="C60" s="8" t="s">
        <v>2144</v>
      </c>
      <c r="D60" s="8" t="s">
        <v>2333</v>
      </c>
      <c r="E60" s="367">
        <v>68539</v>
      </c>
    </row>
    <row r="61" spans="2:5">
      <c r="B61" s="365" t="s">
        <v>1863</v>
      </c>
      <c r="C61" s="365" t="s">
        <v>3825</v>
      </c>
      <c r="D61" s="365" t="s">
        <v>2425</v>
      </c>
      <c r="E61" s="366">
        <v>66000</v>
      </c>
    </row>
    <row r="62" spans="2:5">
      <c r="B62" s="8" t="s">
        <v>1916</v>
      </c>
      <c r="C62" s="8" t="s">
        <v>2144</v>
      </c>
      <c r="D62" s="8" t="s">
        <v>2333</v>
      </c>
      <c r="E62" s="367">
        <v>64327</v>
      </c>
    </row>
    <row r="63" spans="2:5">
      <c r="B63" s="365" t="s">
        <v>1916</v>
      </c>
      <c r="C63" s="365" t="s">
        <v>2179</v>
      </c>
      <c r="D63" s="365" t="s">
        <v>1</v>
      </c>
      <c r="E63" s="366">
        <v>57030</v>
      </c>
    </row>
    <row r="64" spans="2:5">
      <c r="B64" s="8" t="s">
        <v>1891</v>
      </c>
      <c r="C64" s="8" t="s">
        <v>2169</v>
      </c>
      <c r="D64" s="8" t="s">
        <v>2420</v>
      </c>
      <c r="E64" s="367">
        <v>56000</v>
      </c>
    </row>
    <row r="65" spans="2:5">
      <c r="B65" s="365" t="s">
        <v>1896</v>
      </c>
      <c r="C65" s="365" t="s">
        <v>2165</v>
      </c>
      <c r="D65" s="365" t="s">
        <v>2425</v>
      </c>
      <c r="E65" s="366">
        <v>53499</v>
      </c>
    </row>
    <row r="66" spans="2:5">
      <c r="B66" s="8" t="s">
        <v>1886</v>
      </c>
      <c r="C66" s="8" t="s">
        <v>2140</v>
      </c>
      <c r="D66" s="8" t="s">
        <v>2333</v>
      </c>
      <c r="E66" s="367">
        <v>53352</v>
      </c>
    </row>
    <row r="67" spans="2:5">
      <c r="B67" s="365" t="s">
        <v>1837</v>
      </c>
      <c r="C67" s="365" t="s">
        <v>2185</v>
      </c>
      <c r="D67" s="365" t="s">
        <v>3150</v>
      </c>
      <c r="E67" s="366">
        <v>52697</v>
      </c>
    </row>
    <row r="68" spans="2:5">
      <c r="B68" s="8" t="s">
        <v>1866</v>
      </c>
      <c r="C68" s="8" t="s">
        <v>2179</v>
      </c>
      <c r="D68" s="8" t="s">
        <v>1</v>
      </c>
      <c r="E68" s="367">
        <v>47599</v>
      </c>
    </row>
    <row r="69" spans="2:5">
      <c r="B69" s="365" t="s">
        <v>1863</v>
      </c>
      <c r="C69" s="365" t="s">
        <v>2178</v>
      </c>
      <c r="D69" s="365" t="s">
        <v>3152</v>
      </c>
      <c r="E69" s="366">
        <v>47167</v>
      </c>
    </row>
    <row r="70" spans="2:5">
      <c r="B70" s="8" t="s">
        <v>1869</v>
      </c>
      <c r="C70" s="8" t="s">
        <v>2179</v>
      </c>
      <c r="D70" s="8" t="s">
        <v>1</v>
      </c>
      <c r="E70" s="367">
        <v>43634</v>
      </c>
    </row>
    <row r="71" spans="2:5">
      <c r="B71" s="365" t="s">
        <v>1886</v>
      </c>
      <c r="C71" s="365" t="s">
        <v>2165</v>
      </c>
      <c r="D71" s="365" t="s">
        <v>2425</v>
      </c>
      <c r="E71" s="366">
        <v>42700</v>
      </c>
    </row>
    <row r="72" spans="2:5">
      <c r="B72" s="8" t="s">
        <v>1886</v>
      </c>
      <c r="C72" s="8" t="s">
        <v>2168</v>
      </c>
      <c r="D72" s="8" t="s">
        <v>1</v>
      </c>
      <c r="E72" s="367">
        <v>42700</v>
      </c>
    </row>
    <row r="73" spans="2:5">
      <c r="B73" s="365" t="s">
        <v>1891</v>
      </c>
      <c r="C73" s="365" t="s">
        <v>2167</v>
      </c>
      <c r="D73" s="365" t="s">
        <v>2420</v>
      </c>
      <c r="E73" s="366">
        <v>39424</v>
      </c>
    </row>
    <row r="74" spans="2:5">
      <c r="B74" s="8" t="s">
        <v>1866</v>
      </c>
      <c r="C74" s="8" t="s">
        <v>3825</v>
      </c>
      <c r="D74" s="8" t="s">
        <v>2425</v>
      </c>
      <c r="E74" s="367">
        <v>38000</v>
      </c>
    </row>
    <row r="75" spans="2:5">
      <c r="B75" s="365" t="s">
        <v>1869</v>
      </c>
      <c r="C75" s="365" t="s">
        <v>3825</v>
      </c>
      <c r="D75" s="365" t="s">
        <v>2425</v>
      </c>
      <c r="E75" s="366">
        <v>36350</v>
      </c>
    </row>
    <row r="76" spans="2:5">
      <c r="B76" s="8" t="s">
        <v>2134</v>
      </c>
      <c r="C76" s="8" t="s">
        <v>2179</v>
      </c>
      <c r="D76" s="8" t="s">
        <v>1</v>
      </c>
      <c r="E76" s="367">
        <v>36200</v>
      </c>
    </row>
    <row r="77" spans="2:5">
      <c r="B77" s="365" t="s">
        <v>1896</v>
      </c>
      <c r="C77" s="365" t="s">
        <v>2138</v>
      </c>
      <c r="D77" s="365" t="s">
        <v>1</v>
      </c>
      <c r="E77" s="366">
        <v>32086</v>
      </c>
    </row>
    <row r="78" spans="2:5">
      <c r="B78" s="8" t="s">
        <v>1869</v>
      </c>
      <c r="C78" s="8" t="s">
        <v>2143</v>
      </c>
      <c r="D78" s="8" t="s">
        <v>3154</v>
      </c>
      <c r="E78" s="367">
        <v>31764</v>
      </c>
    </row>
    <row r="79" spans="2:5">
      <c r="B79" s="365" t="s">
        <v>1896</v>
      </c>
      <c r="C79" s="365" t="s">
        <v>2168</v>
      </c>
      <c r="D79" s="365" t="s">
        <v>1</v>
      </c>
      <c r="E79" s="366">
        <v>31625</v>
      </c>
    </row>
    <row r="80" spans="2:5">
      <c r="B80" s="8" t="s">
        <v>1837</v>
      </c>
      <c r="C80" s="8" t="s">
        <v>2167</v>
      </c>
      <c r="D80" s="8" t="s">
        <v>2420</v>
      </c>
      <c r="E80" s="367">
        <v>28424</v>
      </c>
    </row>
    <row r="81" spans="2:5">
      <c r="B81" s="365" t="s">
        <v>1896</v>
      </c>
      <c r="C81" s="365" t="s">
        <v>3825</v>
      </c>
      <c r="D81" s="365" t="s">
        <v>2425</v>
      </c>
      <c r="E81" s="366">
        <v>25950</v>
      </c>
    </row>
    <row r="82" spans="2:5">
      <c r="B82" s="8" t="s">
        <v>1916</v>
      </c>
      <c r="C82" s="8" t="s">
        <v>2168</v>
      </c>
      <c r="D82" s="8" t="s">
        <v>1</v>
      </c>
      <c r="E82" s="367">
        <v>25769</v>
      </c>
    </row>
    <row r="83" spans="2:5">
      <c r="B83" s="365" t="s">
        <v>1916</v>
      </c>
      <c r="C83" s="365" t="s">
        <v>2165</v>
      </c>
      <c r="D83" s="365" t="s">
        <v>2425</v>
      </c>
      <c r="E83" s="366">
        <v>25169</v>
      </c>
    </row>
    <row r="84" spans="2:5">
      <c r="B84" s="8" t="s">
        <v>1896</v>
      </c>
      <c r="C84" s="8" t="s">
        <v>2136</v>
      </c>
      <c r="D84" s="8" t="s">
        <v>2333</v>
      </c>
      <c r="E84" s="367">
        <v>21558</v>
      </c>
    </row>
    <row r="85" spans="2:5">
      <c r="B85" s="365" t="s">
        <v>1891</v>
      </c>
      <c r="C85" s="365" t="s">
        <v>2136</v>
      </c>
      <c r="D85" s="365" t="s">
        <v>2333</v>
      </c>
      <c r="E85" s="366">
        <v>21435</v>
      </c>
    </row>
    <row r="86" spans="2:5">
      <c r="B86" s="8" t="s">
        <v>1869</v>
      </c>
      <c r="C86" s="8" t="s">
        <v>2146</v>
      </c>
      <c r="D86" s="8" t="s">
        <v>3215</v>
      </c>
      <c r="E86" s="367">
        <v>20140</v>
      </c>
    </row>
    <row r="87" spans="2:5">
      <c r="B87" s="365" t="s">
        <v>1837</v>
      </c>
      <c r="C87" s="365" t="s">
        <v>3825</v>
      </c>
      <c r="D87" s="365" t="s">
        <v>2425</v>
      </c>
      <c r="E87" s="366">
        <v>19670</v>
      </c>
    </row>
    <row r="88" spans="2:5">
      <c r="B88" s="8" t="s">
        <v>1869</v>
      </c>
      <c r="C88" s="8" t="s">
        <v>2167</v>
      </c>
      <c r="D88" s="8" t="s">
        <v>2420</v>
      </c>
      <c r="E88" s="367">
        <v>16800</v>
      </c>
    </row>
    <row r="89" spans="2:5">
      <c r="B89" s="365" t="s">
        <v>1916</v>
      </c>
      <c r="C89" s="365" t="s">
        <v>2136</v>
      </c>
      <c r="D89" s="365" t="s">
        <v>2333</v>
      </c>
      <c r="E89" s="366">
        <v>16399</v>
      </c>
    </row>
    <row r="90" spans="2:5">
      <c r="B90" s="8" t="s">
        <v>1869</v>
      </c>
      <c r="C90" s="8" t="s">
        <v>2143</v>
      </c>
      <c r="D90" s="8" t="s">
        <v>3193</v>
      </c>
      <c r="E90" s="367">
        <v>14687</v>
      </c>
    </row>
    <row r="91" spans="2:5">
      <c r="B91" s="365" t="s">
        <v>1837</v>
      </c>
      <c r="C91" s="365" t="s">
        <v>2180</v>
      </c>
      <c r="D91" s="365" t="s">
        <v>3150</v>
      </c>
      <c r="E91" s="366">
        <v>13188</v>
      </c>
    </row>
    <row r="92" spans="2:5">
      <c r="B92" s="8" t="s">
        <v>1869</v>
      </c>
      <c r="C92" s="8" t="s">
        <v>2154</v>
      </c>
      <c r="D92" s="8" t="s">
        <v>2428</v>
      </c>
      <c r="E92" s="367">
        <v>11616</v>
      </c>
    </row>
    <row r="93" spans="2:5">
      <c r="B93" s="365" t="s">
        <v>1891</v>
      </c>
      <c r="C93" s="365" t="s">
        <v>2168</v>
      </c>
      <c r="D93" s="365" t="s">
        <v>1</v>
      </c>
      <c r="E93" s="366">
        <v>10732</v>
      </c>
    </row>
    <row r="94" spans="2:5">
      <c r="B94" s="8" t="s">
        <v>1891</v>
      </c>
      <c r="C94" s="8" t="s">
        <v>2165</v>
      </c>
      <c r="D94" s="8" t="s">
        <v>2425</v>
      </c>
      <c r="E94" s="367">
        <v>10702</v>
      </c>
    </row>
    <row r="95" spans="2:5">
      <c r="B95" s="365" t="s">
        <v>1837</v>
      </c>
      <c r="C95" s="365" t="s">
        <v>2169</v>
      </c>
      <c r="D95" s="365" t="s">
        <v>2420</v>
      </c>
      <c r="E95" s="366">
        <v>10250</v>
      </c>
    </row>
    <row r="96" spans="2:5">
      <c r="B96" s="8" t="s">
        <v>1896</v>
      </c>
      <c r="C96" s="8" t="s">
        <v>2137</v>
      </c>
      <c r="D96" s="8" t="s">
        <v>2343</v>
      </c>
      <c r="E96" s="367">
        <v>9943</v>
      </c>
    </row>
    <row r="97" spans="2:5">
      <c r="B97" s="365" t="s">
        <v>1886</v>
      </c>
      <c r="C97" s="365" t="s">
        <v>2142</v>
      </c>
      <c r="D97" s="365" t="s">
        <v>2333</v>
      </c>
      <c r="E97" s="366">
        <v>8889</v>
      </c>
    </row>
    <row r="98" spans="2:5">
      <c r="B98" s="8" t="s">
        <v>1886</v>
      </c>
      <c r="C98" s="8" t="s">
        <v>2151</v>
      </c>
      <c r="D98" s="8" t="s">
        <v>2333</v>
      </c>
      <c r="E98" s="367">
        <v>8889</v>
      </c>
    </row>
    <row r="99" spans="2:5">
      <c r="B99" s="365" t="s">
        <v>1869</v>
      </c>
      <c r="C99" s="365" t="s">
        <v>2146</v>
      </c>
      <c r="D99" s="365" t="s">
        <v>3830</v>
      </c>
      <c r="E99" s="366">
        <v>7410</v>
      </c>
    </row>
    <row r="100" spans="2:5">
      <c r="B100" s="8" t="s">
        <v>1863</v>
      </c>
      <c r="C100" s="8" t="s">
        <v>2167</v>
      </c>
      <c r="D100" s="8" t="s">
        <v>2420</v>
      </c>
      <c r="E100" s="367">
        <v>5550</v>
      </c>
    </row>
    <row r="101" spans="2:5">
      <c r="B101" s="365" t="s">
        <v>1869</v>
      </c>
      <c r="C101" s="365" t="s">
        <v>2192</v>
      </c>
      <c r="D101" s="365" t="s">
        <v>1811</v>
      </c>
      <c r="E101" s="366">
        <v>5000</v>
      </c>
    </row>
    <row r="102" spans="2:5">
      <c r="B102" s="8" t="s">
        <v>1837</v>
      </c>
      <c r="C102" s="8" t="s">
        <v>2182</v>
      </c>
      <c r="D102" s="8" t="s">
        <v>3150</v>
      </c>
      <c r="E102" s="367">
        <v>4980</v>
      </c>
    </row>
    <row r="103" spans="2:5">
      <c r="B103" s="365" t="s">
        <v>1837</v>
      </c>
      <c r="C103" s="365" t="s">
        <v>2143</v>
      </c>
      <c r="D103" s="365" t="s">
        <v>3153</v>
      </c>
      <c r="E103" s="366">
        <v>4109</v>
      </c>
    </row>
    <row r="104" spans="2:5">
      <c r="B104" s="8" t="s">
        <v>1869</v>
      </c>
      <c r="C104" s="8" t="s">
        <v>2169</v>
      </c>
      <c r="D104" s="8" t="s">
        <v>2420</v>
      </c>
      <c r="E104" s="367">
        <v>3400</v>
      </c>
    </row>
    <row r="105" spans="2:5">
      <c r="B105" s="365" t="s">
        <v>1863</v>
      </c>
      <c r="C105" s="365" t="s">
        <v>2157</v>
      </c>
      <c r="D105" s="365" t="s">
        <v>2423</v>
      </c>
      <c r="E105" s="366">
        <v>3351</v>
      </c>
    </row>
    <row r="106" spans="2:5">
      <c r="B106" s="8" t="s">
        <v>1869</v>
      </c>
      <c r="C106" s="8" t="s">
        <v>2146</v>
      </c>
      <c r="D106" s="8" t="s">
        <v>3829</v>
      </c>
      <c r="E106" s="367">
        <v>3205</v>
      </c>
    </row>
    <row r="107" spans="2:5">
      <c r="B107" s="365" t="s">
        <v>1891</v>
      </c>
      <c r="C107" s="365" t="s">
        <v>2142</v>
      </c>
      <c r="D107" s="365" t="s">
        <v>2333</v>
      </c>
      <c r="E107" s="366">
        <v>3137</v>
      </c>
    </row>
    <row r="108" spans="2:5">
      <c r="B108" s="8" t="s">
        <v>1869</v>
      </c>
      <c r="C108" s="8" t="s">
        <v>2190</v>
      </c>
      <c r="D108" s="8" t="s">
        <v>1811</v>
      </c>
      <c r="E108" s="367">
        <v>3000</v>
      </c>
    </row>
    <row r="109" spans="2:5">
      <c r="B109" s="365" t="s">
        <v>1866</v>
      </c>
      <c r="C109" s="365" t="s">
        <v>2185</v>
      </c>
      <c r="D109" s="365" t="s">
        <v>3150</v>
      </c>
      <c r="E109" s="366">
        <v>1211</v>
      </c>
    </row>
    <row r="110" spans="2:5">
      <c r="B110" s="8" t="s">
        <v>1863</v>
      </c>
      <c r="C110" s="8" t="s">
        <v>2169</v>
      </c>
      <c r="D110" s="8" t="s">
        <v>2420</v>
      </c>
      <c r="E110" s="367">
        <v>925</v>
      </c>
    </row>
    <row r="111" spans="2:5">
      <c r="B111" s="365" t="s">
        <v>1863</v>
      </c>
      <c r="C111" s="365" t="s">
        <v>2185</v>
      </c>
      <c r="D111" s="365" t="s">
        <v>3150</v>
      </c>
      <c r="E111" s="366">
        <v>834</v>
      </c>
    </row>
    <row r="112" spans="2:5">
      <c r="B112" s="8" t="s">
        <v>1891</v>
      </c>
      <c r="C112" s="8" t="s">
        <v>2151</v>
      </c>
      <c r="D112" s="8" t="s">
        <v>2333</v>
      </c>
      <c r="E112" s="367">
        <v>830</v>
      </c>
    </row>
    <row r="113" spans="2:5">
      <c r="B113" s="365" t="s">
        <v>1916</v>
      </c>
      <c r="C113" s="365" t="s">
        <v>2185</v>
      </c>
      <c r="D113" s="365" t="s">
        <v>3150</v>
      </c>
      <c r="E113" s="366">
        <v>556</v>
      </c>
    </row>
    <row r="114" spans="2:5">
      <c r="B114" s="8" t="s">
        <v>1896</v>
      </c>
      <c r="C114" s="8" t="s">
        <v>2157</v>
      </c>
      <c r="D114" s="8" t="s">
        <v>2423</v>
      </c>
      <c r="E114" s="367">
        <v>200</v>
      </c>
    </row>
    <row r="115" spans="2:5">
      <c r="B115" s="365" t="s">
        <v>1891</v>
      </c>
      <c r="C115" s="365" t="s">
        <v>2157</v>
      </c>
      <c r="D115" s="365" t="s">
        <v>2423</v>
      </c>
      <c r="E115" s="366">
        <v>100</v>
      </c>
    </row>
    <row r="116" spans="2:5">
      <c r="B116" s="8" t="s">
        <v>1886</v>
      </c>
      <c r="C116" s="8" t="s">
        <v>3825</v>
      </c>
      <c r="D116" s="8" t="s">
        <v>2425</v>
      </c>
      <c r="E116" s="367">
        <v>90</v>
      </c>
    </row>
    <row r="117" spans="2:5">
      <c r="B117" s="365" t="s">
        <v>1869</v>
      </c>
      <c r="C117" s="365" t="s">
        <v>2146</v>
      </c>
      <c r="D117" s="365" t="s">
        <v>3831</v>
      </c>
      <c r="E117" s="366">
        <v>83</v>
      </c>
    </row>
    <row r="118" spans="2:5">
      <c r="E118" s="368">
        <f>SUM(E7:E117)</f>
        <v>177813517</v>
      </c>
    </row>
  </sheetData>
  <autoFilter ref="B6:E117">
    <sortState ref="B7:E117">
      <sortCondition descending="1" ref="E6:E117"/>
    </sortState>
  </autoFilter>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0"/>
  <dimension ref="A3:E519"/>
  <sheetViews>
    <sheetView topLeftCell="A25" zoomScale="70" zoomScaleNormal="70" workbookViewId="0">
      <selection activeCell="C37" sqref="C37"/>
    </sheetView>
  </sheetViews>
  <sheetFormatPr baseColWidth="10" defaultColWidth="11.59765625" defaultRowHeight="14.4"/>
  <cols>
    <col min="1" max="1" width="11.59765625" style="8"/>
    <col min="2" max="2" width="72.69921875" style="8" bestFit="1" customWidth="1"/>
    <col min="3" max="3" width="86.3984375" style="8" bestFit="1" customWidth="1"/>
    <col min="4" max="4" width="29" style="8" bestFit="1" customWidth="1"/>
    <col min="5" max="5" width="18.8984375" style="8" bestFit="1" customWidth="1"/>
    <col min="6" max="16384" width="11.59765625" style="8"/>
  </cols>
  <sheetData>
    <row r="3" spans="1:5">
      <c r="A3" s="9" t="s">
        <v>3175</v>
      </c>
    </row>
    <row r="7" spans="1:5">
      <c r="B7" s="363" t="s">
        <v>1387</v>
      </c>
      <c r="C7" s="363" t="s">
        <v>2135</v>
      </c>
      <c r="D7" s="363" t="s">
        <v>3143</v>
      </c>
      <c r="E7" s="363" t="s">
        <v>1828</v>
      </c>
    </row>
    <row r="8" spans="1:5">
      <c r="B8" s="365" t="s">
        <v>192</v>
      </c>
      <c r="C8" s="365" t="s">
        <v>2148</v>
      </c>
      <c r="D8" s="365" t="s">
        <v>3153</v>
      </c>
      <c r="E8" s="366">
        <v>54478919</v>
      </c>
    </row>
    <row r="9" spans="1:5">
      <c r="B9" s="8" t="s">
        <v>1829</v>
      </c>
      <c r="C9" s="8" t="s">
        <v>2143</v>
      </c>
      <c r="D9" s="8" t="s">
        <v>3153</v>
      </c>
      <c r="E9" s="367">
        <v>43177300</v>
      </c>
    </row>
    <row r="10" spans="1:5">
      <c r="B10" s="365" t="s">
        <v>1830</v>
      </c>
      <c r="C10" s="365" t="s">
        <v>2143</v>
      </c>
      <c r="D10" s="365" t="s">
        <v>3153</v>
      </c>
      <c r="E10" s="366">
        <v>27747249</v>
      </c>
    </row>
    <row r="11" spans="1:5">
      <c r="B11" s="8" t="s">
        <v>192</v>
      </c>
      <c r="C11" s="8" t="s">
        <v>2147</v>
      </c>
      <c r="D11" s="8" t="s">
        <v>3153</v>
      </c>
      <c r="E11" s="367">
        <v>21994910</v>
      </c>
    </row>
    <row r="12" spans="1:5">
      <c r="B12" s="365" t="s">
        <v>1829</v>
      </c>
      <c r="C12" s="365" t="s">
        <v>2146</v>
      </c>
      <c r="D12" s="365" t="s">
        <v>3171</v>
      </c>
      <c r="E12" s="366">
        <v>21665540</v>
      </c>
    </row>
    <row r="13" spans="1:5">
      <c r="B13" s="8" t="s">
        <v>1830</v>
      </c>
      <c r="C13" s="8" t="s">
        <v>2146</v>
      </c>
      <c r="D13" s="8" t="s">
        <v>3158</v>
      </c>
      <c r="E13" s="367">
        <v>20433880</v>
      </c>
    </row>
    <row r="14" spans="1:5">
      <c r="B14" s="365" t="s">
        <v>192</v>
      </c>
      <c r="C14" s="365" t="s">
        <v>2143</v>
      </c>
      <c r="D14" s="365" t="s">
        <v>3153</v>
      </c>
      <c r="E14" s="366">
        <v>16411508</v>
      </c>
    </row>
    <row r="15" spans="1:5">
      <c r="B15" s="8" t="s">
        <v>1833</v>
      </c>
      <c r="C15" s="8" t="s">
        <v>2143</v>
      </c>
      <c r="D15" s="8" t="s">
        <v>3153</v>
      </c>
      <c r="E15" s="367">
        <v>15753772</v>
      </c>
    </row>
    <row r="16" spans="1:5">
      <c r="B16" s="365" t="s">
        <v>1834</v>
      </c>
      <c r="C16" s="365" t="s">
        <v>2148</v>
      </c>
      <c r="D16" s="365" t="s">
        <v>3150</v>
      </c>
      <c r="E16" s="366">
        <v>14500000</v>
      </c>
    </row>
    <row r="17" spans="2:5">
      <c r="B17" s="8" t="s">
        <v>1831</v>
      </c>
      <c r="C17" s="8" t="s">
        <v>2143</v>
      </c>
      <c r="D17" s="8" t="s">
        <v>3153</v>
      </c>
      <c r="E17" s="367">
        <v>12344635</v>
      </c>
    </row>
    <row r="18" spans="2:5">
      <c r="B18" s="365" t="s">
        <v>1838</v>
      </c>
      <c r="C18" s="365" t="s">
        <v>2143</v>
      </c>
      <c r="D18" s="365" t="s">
        <v>3153</v>
      </c>
      <c r="E18" s="366">
        <v>11664761</v>
      </c>
    </row>
    <row r="19" spans="2:5">
      <c r="B19" s="8" t="s">
        <v>1835</v>
      </c>
      <c r="C19" s="8" t="s">
        <v>2159</v>
      </c>
      <c r="D19" s="8" t="s">
        <v>3156</v>
      </c>
      <c r="E19" s="367">
        <v>11372936</v>
      </c>
    </row>
    <row r="20" spans="2:5">
      <c r="B20" s="365" t="s">
        <v>192</v>
      </c>
      <c r="C20" s="365" t="s">
        <v>2146</v>
      </c>
      <c r="D20" s="365" t="s">
        <v>3174</v>
      </c>
      <c r="E20" s="366">
        <v>10655935</v>
      </c>
    </row>
    <row r="21" spans="2:5">
      <c r="B21" s="8" t="s">
        <v>3822</v>
      </c>
      <c r="C21" s="8" t="s">
        <v>2143</v>
      </c>
      <c r="D21" s="8" t="s">
        <v>3196</v>
      </c>
      <c r="E21" s="367">
        <v>10275639</v>
      </c>
    </row>
    <row r="22" spans="2:5">
      <c r="B22" s="365" t="s">
        <v>1835</v>
      </c>
      <c r="C22" s="365" t="s">
        <v>2146</v>
      </c>
      <c r="D22" s="365" t="s">
        <v>3162</v>
      </c>
      <c r="E22" s="366">
        <v>9671781</v>
      </c>
    </row>
    <row r="23" spans="2:5">
      <c r="B23" s="8" t="s">
        <v>1845</v>
      </c>
      <c r="C23" s="8" t="s">
        <v>2143</v>
      </c>
      <c r="D23" s="8" t="s">
        <v>3150</v>
      </c>
      <c r="E23" s="367">
        <v>9576194</v>
      </c>
    </row>
    <row r="24" spans="2:5">
      <c r="B24" s="365" t="s">
        <v>1833</v>
      </c>
      <c r="C24" s="365" t="s">
        <v>2146</v>
      </c>
      <c r="D24" s="365" t="s">
        <v>3162</v>
      </c>
      <c r="E24" s="366">
        <v>9258138</v>
      </c>
    </row>
    <row r="25" spans="2:5">
      <c r="B25" s="8" t="s">
        <v>1832</v>
      </c>
      <c r="C25" s="8" t="s">
        <v>2146</v>
      </c>
      <c r="D25" s="8" t="s">
        <v>3162</v>
      </c>
      <c r="E25" s="367">
        <v>9165296</v>
      </c>
    </row>
    <row r="26" spans="2:5">
      <c r="B26" s="365" t="s">
        <v>1829</v>
      </c>
      <c r="C26" s="365" t="s">
        <v>2147</v>
      </c>
      <c r="D26" s="365" t="s">
        <v>3153</v>
      </c>
      <c r="E26" s="366">
        <v>9135000</v>
      </c>
    </row>
    <row r="27" spans="2:5">
      <c r="B27" s="8" t="s">
        <v>229</v>
      </c>
      <c r="C27" s="8" t="s">
        <v>2143</v>
      </c>
      <c r="D27" s="8" t="s">
        <v>3153</v>
      </c>
      <c r="E27" s="367">
        <v>8889657</v>
      </c>
    </row>
    <row r="28" spans="2:5">
      <c r="B28" s="365" t="s">
        <v>192</v>
      </c>
      <c r="C28" s="365" t="s">
        <v>2147</v>
      </c>
      <c r="D28" s="365" t="s">
        <v>3150</v>
      </c>
      <c r="E28" s="366">
        <v>8847641</v>
      </c>
    </row>
    <row r="29" spans="2:5">
      <c r="B29" s="8" t="s">
        <v>1842</v>
      </c>
      <c r="C29" s="8" t="s">
        <v>2148</v>
      </c>
      <c r="D29" s="8" t="s">
        <v>3150</v>
      </c>
      <c r="E29" s="367">
        <v>8597500</v>
      </c>
    </row>
    <row r="30" spans="2:5">
      <c r="B30" s="365" t="s">
        <v>1829</v>
      </c>
      <c r="C30" s="365" t="s">
        <v>2148</v>
      </c>
      <c r="D30" s="365" t="s">
        <v>3153</v>
      </c>
      <c r="E30" s="366">
        <v>8400000</v>
      </c>
    </row>
    <row r="31" spans="2:5">
      <c r="B31" s="8" t="s">
        <v>102</v>
      </c>
      <c r="C31" s="8" t="s">
        <v>2143</v>
      </c>
      <c r="D31" s="8" t="s">
        <v>3150</v>
      </c>
      <c r="E31" s="367">
        <v>7650174</v>
      </c>
    </row>
    <row r="32" spans="2:5">
      <c r="B32" s="365" t="s">
        <v>1832</v>
      </c>
      <c r="C32" s="365" t="s">
        <v>2148</v>
      </c>
      <c r="D32" s="365" t="s">
        <v>3153</v>
      </c>
      <c r="E32" s="366">
        <v>6975463</v>
      </c>
    </row>
    <row r="33" spans="2:5">
      <c r="B33" s="8" t="s">
        <v>1834</v>
      </c>
      <c r="C33" s="8" t="s">
        <v>2143</v>
      </c>
      <c r="D33" s="8" t="s">
        <v>3150</v>
      </c>
      <c r="E33" s="367">
        <v>6707289</v>
      </c>
    </row>
    <row r="34" spans="2:5">
      <c r="B34" s="365" t="s">
        <v>1838</v>
      </c>
      <c r="C34" s="365" t="s">
        <v>2146</v>
      </c>
      <c r="D34" s="365" t="s">
        <v>3158</v>
      </c>
      <c r="E34" s="366">
        <v>6427701</v>
      </c>
    </row>
    <row r="35" spans="2:5">
      <c r="B35" s="8" t="s">
        <v>1831</v>
      </c>
      <c r="C35" s="8" t="s">
        <v>2146</v>
      </c>
      <c r="D35" s="8" t="s">
        <v>3171</v>
      </c>
      <c r="E35" s="367">
        <v>6351652</v>
      </c>
    </row>
    <row r="36" spans="2:5">
      <c r="B36" s="365" t="s">
        <v>1843</v>
      </c>
      <c r="C36" s="365" t="s">
        <v>2143</v>
      </c>
      <c r="D36" s="365" t="s">
        <v>3150</v>
      </c>
      <c r="E36" s="366">
        <v>6207617</v>
      </c>
    </row>
    <row r="37" spans="2:5">
      <c r="B37" s="8" t="s">
        <v>99</v>
      </c>
      <c r="C37" s="8" t="s">
        <v>2143</v>
      </c>
      <c r="D37" s="8" t="s">
        <v>3150</v>
      </c>
      <c r="E37" s="367">
        <v>6115340</v>
      </c>
    </row>
    <row r="38" spans="2:5">
      <c r="B38" s="365" t="s">
        <v>1831</v>
      </c>
      <c r="C38" s="365" t="s">
        <v>2147</v>
      </c>
      <c r="D38" s="365" t="s">
        <v>3153</v>
      </c>
      <c r="E38" s="366">
        <v>5791628</v>
      </c>
    </row>
    <row r="39" spans="2:5">
      <c r="B39" s="8" t="s">
        <v>1832</v>
      </c>
      <c r="C39" s="8" t="s">
        <v>2147</v>
      </c>
      <c r="D39" s="8" t="s">
        <v>3153</v>
      </c>
      <c r="E39" s="367">
        <v>5746570</v>
      </c>
    </row>
    <row r="40" spans="2:5">
      <c r="B40" s="365" t="s">
        <v>1839</v>
      </c>
      <c r="C40" s="365" t="s">
        <v>2159</v>
      </c>
      <c r="D40" s="365" t="s">
        <v>3157</v>
      </c>
      <c r="E40" s="366">
        <v>5741911</v>
      </c>
    </row>
    <row r="41" spans="2:5">
      <c r="B41" s="8" t="s">
        <v>1831</v>
      </c>
      <c r="C41" s="8" t="s">
        <v>2148</v>
      </c>
      <c r="D41" s="8" t="s">
        <v>3153</v>
      </c>
      <c r="E41" s="367">
        <v>5556148</v>
      </c>
    </row>
    <row r="42" spans="2:5">
      <c r="B42" s="365" t="s">
        <v>229</v>
      </c>
      <c r="C42" s="365" t="s">
        <v>2146</v>
      </c>
      <c r="D42" s="365" t="s">
        <v>3162</v>
      </c>
      <c r="E42" s="366">
        <v>5537475</v>
      </c>
    </row>
    <row r="43" spans="2:5">
      <c r="B43" s="8" t="s">
        <v>1830</v>
      </c>
      <c r="C43" s="8" t="s">
        <v>2148</v>
      </c>
      <c r="D43" s="8" t="s">
        <v>3153</v>
      </c>
      <c r="E43" s="367">
        <v>4990404</v>
      </c>
    </row>
    <row r="44" spans="2:5">
      <c r="B44" s="365" t="s">
        <v>1829</v>
      </c>
      <c r="C44" s="365" t="s">
        <v>2159</v>
      </c>
      <c r="D44" s="365" t="s">
        <v>3160</v>
      </c>
      <c r="E44" s="366">
        <v>4932561</v>
      </c>
    </row>
    <row r="45" spans="2:5">
      <c r="B45" s="8" t="s">
        <v>1836</v>
      </c>
      <c r="C45" s="8" t="s">
        <v>2146</v>
      </c>
      <c r="D45" s="8" t="s">
        <v>3151</v>
      </c>
      <c r="E45" s="367">
        <v>4901695</v>
      </c>
    </row>
    <row r="46" spans="2:5">
      <c r="B46" s="365" t="s">
        <v>1844</v>
      </c>
      <c r="C46" s="365" t="s">
        <v>2143</v>
      </c>
      <c r="D46" s="365" t="s">
        <v>3150</v>
      </c>
      <c r="E46" s="366">
        <v>4439163</v>
      </c>
    </row>
    <row r="47" spans="2:5">
      <c r="B47" s="8" t="s">
        <v>99</v>
      </c>
      <c r="C47" s="8" t="s">
        <v>2148</v>
      </c>
      <c r="D47" s="8" t="s">
        <v>3150</v>
      </c>
      <c r="E47" s="367">
        <v>4429304</v>
      </c>
    </row>
    <row r="48" spans="2:5">
      <c r="B48" s="365" t="s">
        <v>99</v>
      </c>
      <c r="C48" s="365" t="s">
        <v>2147</v>
      </c>
      <c r="D48" s="365" t="s">
        <v>3150</v>
      </c>
      <c r="E48" s="366">
        <v>4374652</v>
      </c>
    </row>
    <row r="49" spans="2:5">
      <c r="B49" s="8" t="s">
        <v>1830</v>
      </c>
      <c r="C49" s="8" t="s">
        <v>2147</v>
      </c>
      <c r="D49" s="8" t="s">
        <v>3153</v>
      </c>
      <c r="E49" s="367">
        <v>4294892</v>
      </c>
    </row>
    <row r="50" spans="2:5">
      <c r="B50" s="365" t="s">
        <v>102</v>
      </c>
      <c r="C50" s="365" t="s">
        <v>2146</v>
      </c>
      <c r="D50" s="365" t="s">
        <v>3163</v>
      </c>
      <c r="E50" s="366">
        <v>4156638</v>
      </c>
    </row>
    <row r="51" spans="2:5">
      <c r="B51" s="8" t="s">
        <v>3659</v>
      </c>
      <c r="C51" s="8" t="s">
        <v>2143</v>
      </c>
      <c r="D51" s="8" t="s">
        <v>3150</v>
      </c>
      <c r="E51" s="367">
        <v>4132899</v>
      </c>
    </row>
    <row r="52" spans="2:5">
      <c r="B52" s="365" t="s">
        <v>1834</v>
      </c>
      <c r="C52" s="365" t="s">
        <v>2146</v>
      </c>
      <c r="D52" s="365" t="s">
        <v>3166</v>
      </c>
      <c r="E52" s="366">
        <v>4089931</v>
      </c>
    </row>
    <row r="53" spans="2:5">
      <c r="B53" s="8" t="s">
        <v>1843</v>
      </c>
      <c r="C53" s="8" t="s">
        <v>2146</v>
      </c>
      <c r="D53" s="8" t="s">
        <v>3151</v>
      </c>
      <c r="E53" s="367">
        <v>4041521</v>
      </c>
    </row>
    <row r="54" spans="2:5">
      <c r="B54" s="365" t="s">
        <v>139</v>
      </c>
      <c r="C54" s="365" t="s">
        <v>2143</v>
      </c>
      <c r="D54" s="365" t="s">
        <v>3150</v>
      </c>
      <c r="E54" s="366">
        <v>4038112</v>
      </c>
    </row>
    <row r="55" spans="2:5">
      <c r="B55" s="8" t="s">
        <v>3822</v>
      </c>
      <c r="C55" s="8" t="s">
        <v>2146</v>
      </c>
      <c r="D55" s="8" t="s">
        <v>3832</v>
      </c>
      <c r="E55" s="367">
        <v>4011107</v>
      </c>
    </row>
    <row r="56" spans="2:5">
      <c r="B56" s="365" t="s">
        <v>1842</v>
      </c>
      <c r="C56" s="365" t="s">
        <v>2147</v>
      </c>
      <c r="D56" s="365" t="s">
        <v>3150</v>
      </c>
      <c r="E56" s="366">
        <v>3962950</v>
      </c>
    </row>
    <row r="57" spans="2:5">
      <c r="B57" s="8" t="s">
        <v>1830</v>
      </c>
      <c r="C57" s="8" t="s">
        <v>2147</v>
      </c>
      <c r="D57" s="8" t="s">
        <v>3150</v>
      </c>
      <c r="E57" s="367">
        <v>3932716</v>
      </c>
    </row>
    <row r="58" spans="2:5">
      <c r="B58" s="365" t="s">
        <v>1829</v>
      </c>
      <c r="C58" s="365" t="s">
        <v>2147</v>
      </c>
      <c r="D58" s="365" t="s">
        <v>3150</v>
      </c>
      <c r="E58" s="366">
        <v>3915000</v>
      </c>
    </row>
    <row r="59" spans="2:5">
      <c r="B59" s="8" t="s">
        <v>1840</v>
      </c>
      <c r="C59" s="8" t="s">
        <v>2143</v>
      </c>
      <c r="D59" s="8" t="s">
        <v>3150</v>
      </c>
      <c r="E59" s="367">
        <v>3830340</v>
      </c>
    </row>
    <row r="60" spans="2:5">
      <c r="B60" s="365" t="s">
        <v>1839</v>
      </c>
      <c r="C60" s="365" t="s">
        <v>2143</v>
      </c>
      <c r="D60" s="365" t="s">
        <v>3150</v>
      </c>
      <c r="E60" s="366">
        <v>3780635</v>
      </c>
    </row>
    <row r="61" spans="2:5">
      <c r="B61" s="8" t="s">
        <v>1832</v>
      </c>
      <c r="C61" s="8" t="s">
        <v>2143</v>
      </c>
      <c r="D61" s="8" t="s">
        <v>3153</v>
      </c>
      <c r="E61" s="367">
        <v>3726719</v>
      </c>
    </row>
    <row r="62" spans="2:5">
      <c r="B62" s="365" t="s">
        <v>1833</v>
      </c>
      <c r="C62" s="365" t="s">
        <v>2147</v>
      </c>
      <c r="D62" s="365" t="s">
        <v>3153</v>
      </c>
      <c r="E62" s="366">
        <v>3596455</v>
      </c>
    </row>
    <row r="63" spans="2:5">
      <c r="B63" s="8" t="s">
        <v>1836</v>
      </c>
      <c r="C63" s="8" t="s">
        <v>2147</v>
      </c>
      <c r="D63" s="8" t="s">
        <v>3150</v>
      </c>
      <c r="E63" s="367">
        <v>3471423</v>
      </c>
    </row>
    <row r="64" spans="2:5">
      <c r="B64" s="365" t="s">
        <v>717</v>
      </c>
      <c r="C64" s="365" t="s">
        <v>2143</v>
      </c>
      <c r="D64" s="365" t="s">
        <v>3150</v>
      </c>
      <c r="E64" s="366">
        <v>3461043</v>
      </c>
    </row>
    <row r="65" spans="2:5">
      <c r="B65" s="8" t="s">
        <v>1835</v>
      </c>
      <c r="C65" s="8" t="s">
        <v>2148</v>
      </c>
      <c r="D65" s="8" t="s">
        <v>3153</v>
      </c>
      <c r="E65" s="367">
        <v>3450000</v>
      </c>
    </row>
    <row r="66" spans="2:5">
      <c r="B66" s="365" t="s">
        <v>62</v>
      </c>
      <c r="C66" s="365" t="s">
        <v>2143</v>
      </c>
      <c r="D66" s="365" t="s">
        <v>3150</v>
      </c>
      <c r="E66" s="366">
        <v>3366320</v>
      </c>
    </row>
    <row r="67" spans="2:5">
      <c r="B67" s="8" t="s">
        <v>1848</v>
      </c>
      <c r="C67" s="8" t="s">
        <v>2143</v>
      </c>
      <c r="D67" s="8" t="s">
        <v>3153</v>
      </c>
      <c r="E67" s="367">
        <v>3271408</v>
      </c>
    </row>
    <row r="68" spans="2:5">
      <c r="B68" s="365" t="s">
        <v>1844</v>
      </c>
      <c r="C68" s="365" t="s">
        <v>2146</v>
      </c>
      <c r="D68" s="365" t="s">
        <v>3149</v>
      </c>
      <c r="E68" s="366">
        <v>3142078</v>
      </c>
    </row>
    <row r="69" spans="2:5">
      <c r="B69" s="8" t="s">
        <v>1852</v>
      </c>
      <c r="C69" s="8" t="s">
        <v>2143</v>
      </c>
      <c r="D69" s="8" t="s">
        <v>3153</v>
      </c>
      <c r="E69" s="367">
        <v>3087804</v>
      </c>
    </row>
    <row r="70" spans="2:5">
      <c r="B70" s="365" t="s">
        <v>549</v>
      </c>
      <c r="C70" s="365" t="s">
        <v>2143</v>
      </c>
      <c r="D70" s="365" t="s">
        <v>3153</v>
      </c>
      <c r="E70" s="366">
        <v>3057796</v>
      </c>
    </row>
    <row r="71" spans="2:5">
      <c r="B71" s="8" t="s">
        <v>721</v>
      </c>
      <c r="C71" s="8" t="s">
        <v>2143</v>
      </c>
      <c r="D71" s="8" t="s">
        <v>3150</v>
      </c>
      <c r="E71" s="367">
        <v>2963220</v>
      </c>
    </row>
    <row r="72" spans="2:5">
      <c r="B72" s="365" t="s">
        <v>96</v>
      </c>
      <c r="C72" s="365" t="s">
        <v>2143</v>
      </c>
      <c r="D72" s="365" t="s">
        <v>3150</v>
      </c>
      <c r="E72" s="366">
        <v>2767881</v>
      </c>
    </row>
    <row r="73" spans="2:5">
      <c r="B73" s="8" t="s">
        <v>1836</v>
      </c>
      <c r="C73" s="8" t="s">
        <v>2143</v>
      </c>
      <c r="D73" s="8" t="s">
        <v>3150</v>
      </c>
      <c r="E73" s="367">
        <v>2756695</v>
      </c>
    </row>
    <row r="74" spans="2:5">
      <c r="B74" s="365" t="s">
        <v>1840</v>
      </c>
      <c r="C74" s="365" t="s">
        <v>2146</v>
      </c>
      <c r="D74" s="365" t="s">
        <v>3164</v>
      </c>
      <c r="E74" s="366">
        <v>2702675</v>
      </c>
    </row>
    <row r="75" spans="2:5">
      <c r="B75" s="8" t="s">
        <v>99</v>
      </c>
      <c r="C75" s="8" t="s">
        <v>2146</v>
      </c>
      <c r="D75" s="8" t="s">
        <v>1282</v>
      </c>
      <c r="E75" s="367">
        <v>2652536</v>
      </c>
    </row>
    <row r="76" spans="2:5">
      <c r="B76" s="365" t="s">
        <v>102</v>
      </c>
      <c r="C76" s="365" t="s">
        <v>2147</v>
      </c>
      <c r="D76" s="365" t="s">
        <v>3150</v>
      </c>
      <c r="E76" s="366">
        <v>2603151</v>
      </c>
    </row>
    <row r="77" spans="2:5">
      <c r="B77" s="8" t="s">
        <v>1849</v>
      </c>
      <c r="C77" s="8" t="s">
        <v>2143</v>
      </c>
      <c r="D77" s="8" t="s">
        <v>3150</v>
      </c>
      <c r="E77" s="367">
        <v>2594508</v>
      </c>
    </row>
    <row r="78" spans="2:5">
      <c r="B78" s="365" t="s">
        <v>1832</v>
      </c>
      <c r="C78" s="365" t="s">
        <v>2147</v>
      </c>
      <c r="D78" s="365" t="s">
        <v>3150</v>
      </c>
      <c r="E78" s="366">
        <v>2589000</v>
      </c>
    </row>
    <row r="79" spans="2:5">
      <c r="B79" s="8" t="s">
        <v>1843</v>
      </c>
      <c r="C79" s="8" t="s">
        <v>2147</v>
      </c>
      <c r="D79" s="8" t="s">
        <v>3150</v>
      </c>
      <c r="E79" s="367">
        <v>2570450</v>
      </c>
    </row>
    <row r="80" spans="2:5">
      <c r="B80" s="365" t="s">
        <v>1839</v>
      </c>
      <c r="C80" s="365" t="s">
        <v>2147</v>
      </c>
      <c r="D80" s="365" t="s">
        <v>3150</v>
      </c>
      <c r="E80" s="366">
        <v>2555577</v>
      </c>
    </row>
    <row r="81" spans="2:5">
      <c r="B81" s="8" t="s">
        <v>62</v>
      </c>
      <c r="C81" s="8" t="s">
        <v>2147</v>
      </c>
      <c r="D81" s="8" t="s">
        <v>3150</v>
      </c>
      <c r="E81" s="367">
        <v>2550369</v>
      </c>
    </row>
    <row r="82" spans="2:5">
      <c r="B82" s="365" t="s">
        <v>17</v>
      </c>
      <c r="C82" s="365" t="s">
        <v>2143</v>
      </c>
      <c r="D82" s="365" t="s">
        <v>3194</v>
      </c>
      <c r="E82" s="366">
        <v>2547460</v>
      </c>
    </row>
    <row r="83" spans="2:5">
      <c r="B83" s="8" t="s">
        <v>1848</v>
      </c>
      <c r="C83" s="8" t="s">
        <v>2146</v>
      </c>
      <c r="D83" s="8" t="s">
        <v>3158</v>
      </c>
      <c r="E83" s="367">
        <v>2543541</v>
      </c>
    </row>
    <row r="84" spans="2:5">
      <c r="B84" s="365" t="s">
        <v>1843</v>
      </c>
      <c r="C84" s="365" t="s">
        <v>2148</v>
      </c>
      <c r="D84" s="365" t="s">
        <v>3150</v>
      </c>
      <c r="E84" s="366">
        <v>2529990</v>
      </c>
    </row>
    <row r="85" spans="2:5">
      <c r="B85" s="8" t="s">
        <v>3659</v>
      </c>
      <c r="C85" s="8" t="s">
        <v>2146</v>
      </c>
      <c r="D85" s="8" t="s">
        <v>3167</v>
      </c>
      <c r="E85" s="367">
        <v>2528310</v>
      </c>
    </row>
    <row r="86" spans="2:5">
      <c r="B86" s="365" t="s">
        <v>717</v>
      </c>
      <c r="C86" s="365" t="s">
        <v>2147</v>
      </c>
      <c r="D86" s="365" t="s">
        <v>3150</v>
      </c>
      <c r="E86" s="366">
        <v>2502383</v>
      </c>
    </row>
    <row r="87" spans="2:5">
      <c r="B87" s="8" t="s">
        <v>192</v>
      </c>
      <c r="C87" s="8" t="s">
        <v>2159</v>
      </c>
      <c r="D87" s="8" t="s">
        <v>3161</v>
      </c>
      <c r="E87" s="367">
        <v>2493359</v>
      </c>
    </row>
    <row r="88" spans="2:5">
      <c r="B88" s="365" t="s">
        <v>139</v>
      </c>
      <c r="C88" s="365" t="s">
        <v>2146</v>
      </c>
      <c r="D88" s="365" t="s">
        <v>3149</v>
      </c>
      <c r="E88" s="366">
        <v>2489628</v>
      </c>
    </row>
    <row r="89" spans="2:5">
      <c r="B89" s="8" t="s">
        <v>96</v>
      </c>
      <c r="C89" s="8" t="s">
        <v>2146</v>
      </c>
      <c r="D89" s="8" t="s">
        <v>3151</v>
      </c>
      <c r="E89" s="367">
        <v>2449713</v>
      </c>
    </row>
    <row r="90" spans="2:5">
      <c r="B90" s="365" t="s">
        <v>1839</v>
      </c>
      <c r="C90" s="365" t="s">
        <v>2146</v>
      </c>
      <c r="D90" s="365" t="s">
        <v>3169</v>
      </c>
      <c r="E90" s="366">
        <v>2430811</v>
      </c>
    </row>
    <row r="91" spans="2:5">
      <c r="B91" s="8" t="s">
        <v>229</v>
      </c>
      <c r="C91" s="8" t="s">
        <v>2147</v>
      </c>
      <c r="D91" s="8" t="s">
        <v>3153</v>
      </c>
      <c r="E91" s="367">
        <v>2392543</v>
      </c>
    </row>
    <row r="92" spans="2:5">
      <c r="B92" s="365" t="s">
        <v>717</v>
      </c>
      <c r="C92" s="365" t="s">
        <v>2146</v>
      </c>
      <c r="D92" s="365" t="s">
        <v>3167</v>
      </c>
      <c r="E92" s="366">
        <v>2373587</v>
      </c>
    </row>
    <row r="93" spans="2:5">
      <c r="B93" s="8" t="s">
        <v>1853</v>
      </c>
      <c r="C93" s="8" t="s">
        <v>2143</v>
      </c>
      <c r="D93" s="8" t="s">
        <v>3153</v>
      </c>
      <c r="E93" s="367">
        <v>2345692</v>
      </c>
    </row>
    <row r="94" spans="2:5">
      <c r="B94" s="365" t="s">
        <v>747</v>
      </c>
      <c r="C94" s="365" t="s">
        <v>2143</v>
      </c>
      <c r="D94" s="365" t="s">
        <v>3150</v>
      </c>
      <c r="E94" s="366">
        <v>2323345</v>
      </c>
    </row>
    <row r="95" spans="2:5">
      <c r="B95" s="8" t="s">
        <v>1844</v>
      </c>
      <c r="C95" s="8" t="s">
        <v>2147</v>
      </c>
      <c r="D95" s="8" t="s">
        <v>3150</v>
      </c>
      <c r="E95" s="367">
        <v>2282552</v>
      </c>
    </row>
    <row r="96" spans="2:5">
      <c r="B96" s="365" t="s">
        <v>1838</v>
      </c>
      <c r="C96" s="365" t="s">
        <v>2147</v>
      </c>
      <c r="D96" s="365" t="s">
        <v>3153</v>
      </c>
      <c r="E96" s="366">
        <v>2273641</v>
      </c>
    </row>
    <row r="97" spans="2:5">
      <c r="B97" s="8" t="s">
        <v>792</v>
      </c>
      <c r="C97" s="8" t="s">
        <v>2146</v>
      </c>
      <c r="D97" s="8" t="s">
        <v>3165</v>
      </c>
      <c r="E97" s="367">
        <v>2262755</v>
      </c>
    </row>
    <row r="98" spans="2:5">
      <c r="B98" s="365" t="s">
        <v>1831</v>
      </c>
      <c r="C98" s="365" t="s">
        <v>2147</v>
      </c>
      <c r="D98" s="365" t="s">
        <v>3150</v>
      </c>
      <c r="E98" s="366">
        <v>2217218</v>
      </c>
    </row>
    <row r="99" spans="2:5">
      <c r="B99" s="8" t="s">
        <v>1845</v>
      </c>
      <c r="C99" s="8" t="s">
        <v>2146</v>
      </c>
      <c r="D99" s="8" t="s">
        <v>3168</v>
      </c>
      <c r="E99" s="367">
        <v>2208076</v>
      </c>
    </row>
    <row r="100" spans="2:5">
      <c r="B100" s="365" t="s">
        <v>229</v>
      </c>
      <c r="C100" s="365" t="s">
        <v>2148</v>
      </c>
      <c r="D100" s="365" t="s">
        <v>3153</v>
      </c>
      <c r="E100" s="366">
        <v>2187316</v>
      </c>
    </row>
    <row r="101" spans="2:5">
      <c r="B101" s="8" t="s">
        <v>1867</v>
      </c>
      <c r="C101" s="8" t="s">
        <v>2147</v>
      </c>
      <c r="D101" s="8" t="s">
        <v>3150</v>
      </c>
      <c r="E101" s="367">
        <v>2186850</v>
      </c>
    </row>
    <row r="102" spans="2:5">
      <c r="B102" s="365" t="s">
        <v>1845</v>
      </c>
      <c r="C102" s="365" t="s">
        <v>2147</v>
      </c>
      <c r="D102" s="365" t="s">
        <v>3150</v>
      </c>
      <c r="E102" s="366">
        <v>2164372</v>
      </c>
    </row>
    <row r="103" spans="2:5">
      <c r="B103" s="8" t="s">
        <v>1835</v>
      </c>
      <c r="C103" s="8" t="s">
        <v>2147</v>
      </c>
      <c r="D103" s="8" t="s">
        <v>3153</v>
      </c>
      <c r="E103" s="367">
        <v>2152500</v>
      </c>
    </row>
    <row r="104" spans="2:5">
      <c r="B104" s="365" t="s">
        <v>1847</v>
      </c>
      <c r="C104" s="365" t="s">
        <v>2143</v>
      </c>
      <c r="D104" s="365" t="s">
        <v>3150</v>
      </c>
      <c r="E104" s="366">
        <v>2110838</v>
      </c>
    </row>
    <row r="105" spans="2:5">
      <c r="B105" s="8" t="s">
        <v>1836</v>
      </c>
      <c r="C105" s="8" t="s">
        <v>2148</v>
      </c>
      <c r="D105" s="8" t="s">
        <v>3150</v>
      </c>
      <c r="E105" s="367">
        <v>2087475</v>
      </c>
    </row>
    <row r="106" spans="2:5">
      <c r="B106" s="365" t="s">
        <v>1833</v>
      </c>
      <c r="C106" s="365" t="s">
        <v>2148</v>
      </c>
      <c r="D106" s="365" t="s">
        <v>3153</v>
      </c>
      <c r="E106" s="366">
        <v>1984600</v>
      </c>
    </row>
    <row r="107" spans="2:5">
      <c r="B107" s="8" t="s">
        <v>102</v>
      </c>
      <c r="C107" s="8" t="s">
        <v>2148</v>
      </c>
      <c r="D107" s="8" t="s">
        <v>3150</v>
      </c>
      <c r="E107" s="367">
        <v>1927467</v>
      </c>
    </row>
    <row r="108" spans="2:5">
      <c r="B108" s="365" t="s">
        <v>1849</v>
      </c>
      <c r="C108" s="365" t="s">
        <v>2146</v>
      </c>
      <c r="D108" s="365" t="s">
        <v>3167</v>
      </c>
      <c r="E108" s="366">
        <v>1920727</v>
      </c>
    </row>
    <row r="109" spans="2:5">
      <c r="B109" s="8" t="s">
        <v>17</v>
      </c>
      <c r="C109" s="8" t="s">
        <v>2146</v>
      </c>
      <c r="D109" s="8" t="s">
        <v>3170</v>
      </c>
      <c r="E109" s="367">
        <v>1894014</v>
      </c>
    </row>
    <row r="110" spans="2:5">
      <c r="B110" s="365" t="s">
        <v>721</v>
      </c>
      <c r="C110" s="365" t="s">
        <v>2147</v>
      </c>
      <c r="D110" s="365" t="s">
        <v>3150</v>
      </c>
      <c r="E110" s="366">
        <v>1889135</v>
      </c>
    </row>
    <row r="111" spans="2:5">
      <c r="B111" s="8" t="s">
        <v>1847</v>
      </c>
      <c r="C111" s="8" t="s">
        <v>2147</v>
      </c>
      <c r="D111" s="8" t="s">
        <v>3150</v>
      </c>
      <c r="E111" s="367">
        <v>1859260</v>
      </c>
    </row>
    <row r="112" spans="2:5">
      <c r="B112" s="365" t="s">
        <v>1849</v>
      </c>
      <c r="C112" s="365" t="s">
        <v>2147</v>
      </c>
      <c r="D112" s="365" t="s">
        <v>3150</v>
      </c>
      <c r="E112" s="366">
        <v>1832174</v>
      </c>
    </row>
    <row r="113" spans="2:5">
      <c r="B113" s="8" t="s">
        <v>227</v>
      </c>
      <c r="C113" s="8" t="s">
        <v>2147</v>
      </c>
      <c r="D113" s="8" t="s">
        <v>3153</v>
      </c>
      <c r="E113" s="367">
        <v>1826303</v>
      </c>
    </row>
    <row r="114" spans="2:5">
      <c r="B114" s="365" t="s">
        <v>1837</v>
      </c>
      <c r="C114" s="365" t="s">
        <v>2146</v>
      </c>
      <c r="D114" s="365" t="s">
        <v>3149</v>
      </c>
      <c r="E114" s="366">
        <v>1824018</v>
      </c>
    </row>
    <row r="115" spans="2:5">
      <c r="B115" s="8" t="s">
        <v>1852</v>
      </c>
      <c r="C115" s="8" t="s">
        <v>2146</v>
      </c>
      <c r="D115" s="8" t="s">
        <v>3162</v>
      </c>
      <c r="E115" s="367">
        <v>1822805</v>
      </c>
    </row>
    <row r="116" spans="2:5">
      <c r="B116" s="365" t="s">
        <v>721</v>
      </c>
      <c r="C116" s="365" t="s">
        <v>2146</v>
      </c>
      <c r="D116" s="365" t="s">
        <v>3167</v>
      </c>
      <c r="E116" s="366">
        <v>1810800</v>
      </c>
    </row>
    <row r="117" spans="2:5">
      <c r="B117" s="8" t="s">
        <v>96</v>
      </c>
      <c r="C117" s="8" t="s">
        <v>2147</v>
      </c>
      <c r="D117" s="8" t="s">
        <v>3150</v>
      </c>
      <c r="E117" s="367">
        <v>1792158</v>
      </c>
    </row>
    <row r="118" spans="2:5">
      <c r="B118" s="365" t="s">
        <v>549</v>
      </c>
      <c r="C118" s="365" t="s">
        <v>2146</v>
      </c>
      <c r="D118" s="365" t="s">
        <v>3162</v>
      </c>
      <c r="E118" s="366">
        <v>1684646</v>
      </c>
    </row>
    <row r="119" spans="2:5">
      <c r="B119" s="8" t="s">
        <v>1838</v>
      </c>
      <c r="C119" s="8" t="s">
        <v>2148</v>
      </c>
      <c r="D119" s="8" t="s">
        <v>3153</v>
      </c>
      <c r="E119" s="367">
        <v>1617602</v>
      </c>
    </row>
    <row r="120" spans="2:5">
      <c r="B120" s="365" t="s">
        <v>1835</v>
      </c>
      <c r="C120" s="365" t="s">
        <v>2143</v>
      </c>
      <c r="D120" s="365" t="s">
        <v>3153</v>
      </c>
      <c r="E120" s="366">
        <v>1608869</v>
      </c>
    </row>
    <row r="121" spans="2:5">
      <c r="B121" s="8" t="s">
        <v>1833</v>
      </c>
      <c r="C121" s="8" t="s">
        <v>2147</v>
      </c>
      <c r="D121" s="8" t="s">
        <v>3150</v>
      </c>
      <c r="E121" s="367">
        <v>1583757</v>
      </c>
    </row>
    <row r="122" spans="2:5">
      <c r="B122" s="365" t="s">
        <v>1853</v>
      </c>
      <c r="C122" s="365" t="s">
        <v>2146</v>
      </c>
      <c r="D122" s="365" t="s">
        <v>3158</v>
      </c>
      <c r="E122" s="366">
        <v>1560414</v>
      </c>
    </row>
    <row r="123" spans="2:5">
      <c r="B123" s="8" t="s">
        <v>139</v>
      </c>
      <c r="C123" s="8" t="s">
        <v>2147</v>
      </c>
      <c r="D123" s="8" t="s">
        <v>3150</v>
      </c>
      <c r="E123" s="367">
        <v>1544190</v>
      </c>
    </row>
    <row r="124" spans="2:5">
      <c r="B124" s="365" t="s">
        <v>1842</v>
      </c>
      <c r="C124" s="365" t="s">
        <v>2143</v>
      </c>
      <c r="D124" s="365" t="s">
        <v>3150</v>
      </c>
      <c r="E124" s="366">
        <v>1455421</v>
      </c>
    </row>
    <row r="125" spans="2:5">
      <c r="B125" s="8" t="s">
        <v>3822</v>
      </c>
      <c r="C125" s="8" t="s">
        <v>2159</v>
      </c>
      <c r="D125" s="8" t="s">
        <v>3833</v>
      </c>
      <c r="E125" s="367">
        <v>1399695</v>
      </c>
    </row>
    <row r="126" spans="2:5">
      <c r="B126" s="365" t="s">
        <v>747</v>
      </c>
      <c r="C126" s="365" t="s">
        <v>2147</v>
      </c>
      <c r="D126" s="365" t="s">
        <v>3150</v>
      </c>
      <c r="E126" s="366">
        <v>1377173</v>
      </c>
    </row>
    <row r="127" spans="2:5">
      <c r="B127" s="8" t="s">
        <v>1862</v>
      </c>
      <c r="C127" s="8" t="s">
        <v>2143</v>
      </c>
      <c r="D127" s="8" t="s">
        <v>3150</v>
      </c>
      <c r="E127" s="367">
        <v>1363189</v>
      </c>
    </row>
    <row r="128" spans="2:5">
      <c r="B128" s="365" t="s">
        <v>1840</v>
      </c>
      <c r="C128" s="365" t="s">
        <v>2148</v>
      </c>
      <c r="D128" s="365" t="s">
        <v>3150</v>
      </c>
      <c r="E128" s="366">
        <v>1310775</v>
      </c>
    </row>
    <row r="129" spans="2:5">
      <c r="B129" s="8" t="s">
        <v>139</v>
      </c>
      <c r="C129" s="8" t="s">
        <v>2148</v>
      </c>
      <c r="D129" s="8" t="s">
        <v>3150</v>
      </c>
      <c r="E129" s="367">
        <v>1278778</v>
      </c>
    </row>
    <row r="130" spans="2:5">
      <c r="B130" s="365" t="s">
        <v>792</v>
      </c>
      <c r="C130" s="365" t="s">
        <v>2143</v>
      </c>
      <c r="D130" s="365" t="s">
        <v>3150</v>
      </c>
      <c r="E130" s="366">
        <v>1250190</v>
      </c>
    </row>
    <row r="131" spans="2:5">
      <c r="B131" s="8" t="s">
        <v>1862</v>
      </c>
      <c r="C131" s="8" t="s">
        <v>2147</v>
      </c>
      <c r="D131" s="8" t="s">
        <v>3150</v>
      </c>
      <c r="E131" s="367">
        <v>1204755</v>
      </c>
    </row>
    <row r="132" spans="2:5">
      <c r="B132" s="365" t="s">
        <v>1840</v>
      </c>
      <c r="C132" s="365" t="s">
        <v>2147</v>
      </c>
      <c r="D132" s="365" t="s">
        <v>3150</v>
      </c>
      <c r="E132" s="366">
        <v>1188500</v>
      </c>
    </row>
    <row r="133" spans="2:5">
      <c r="B133" s="8" t="s">
        <v>1852</v>
      </c>
      <c r="C133" s="8" t="s">
        <v>2147</v>
      </c>
      <c r="D133" s="8" t="s">
        <v>3153</v>
      </c>
      <c r="E133" s="367">
        <v>1183252</v>
      </c>
    </row>
    <row r="134" spans="2:5">
      <c r="B134" s="365" t="s">
        <v>227</v>
      </c>
      <c r="C134" s="365" t="s">
        <v>2143</v>
      </c>
      <c r="D134" s="365" t="s">
        <v>3153</v>
      </c>
      <c r="E134" s="366">
        <v>1161173</v>
      </c>
    </row>
    <row r="135" spans="2:5">
      <c r="B135" s="8" t="s">
        <v>721</v>
      </c>
      <c r="C135" s="8" t="s">
        <v>2146</v>
      </c>
      <c r="D135" s="8" t="s">
        <v>3165</v>
      </c>
      <c r="E135" s="367">
        <v>1145952</v>
      </c>
    </row>
    <row r="136" spans="2:5">
      <c r="B136" s="365" t="s">
        <v>1837</v>
      </c>
      <c r="C136" s="365" t="s">
        <v>2143</v>
      </c>
      <c r="D136" s="365" t="s">
        <v>3150</v>
      </c>
      <c r="E136" s="366">
        <v>1130462</v>
      </c>
    </row>
    <row r="137" spans="2:5">
      <c r="B137" s="8" t="s">
        <v>1847</v>
      </c>
      <c r="C137" s="8" t="s">
        <v>2146</v>
      </c>
      <c r="D137" s="8" t="s">
        <v>1282</v>
      </c>
      <c r="E137" s="367">
        <v>1063499</v>
      </c>
    </row>
    <row r="138" spans="2:5">
      <c r="B138" s="365" t="s">
        <v>549</v>
      </c>
      <c r="C138" s="365" t="s">
        <v>2147</v>
      </c>
      <c r="D138" s="365" t="s">
        <v>3153</v>
      </c>
      <c r="E138" s="366">
        <v>1046856</v>
      </c>
    </row>
    <row r="139" spans="2:5">
      <c r="B139" s="8" t="s">
        <v>1842</v>
      </c>
      <c r="C139" s="8" t="s">
        <v>2146</v>
      </c>
      <c r="D139" s="8" t="s">
        <v>3166</v>
      </c>
      <c r="E139" s="367">
        <v>969306</v>
      </c>
    </row>
    <row r="140" spans="2:5">
      <c r="B140" s="365" t="s">
        <v>1838</v>
      </c>
      <c r="C140" s="365" t="s">
        <v>2147</v>
      </c>
      <c r="D140" s="365" t="s">
        <v>3150</v>
      </c>
      <c r="E140" s="366">
        <v>959690</v>
      </c>
    </row>
    <row r="141" spans="2:5">
      <c r="B141" s="8" t="s">
        <v>1835</v>
      </c>
      <c r="C141" s="8" t="s">
        <v>2147</v>
      </c>
      <c r="D141" s="8" t="s">
        <v>3150</v>
      </c>
      <c r="E141" s="367">
        <v>922500</v>
      </c>
    </row>
    <row r="142" spans="2:5">
      <c r="B142" s="365" t="s">
        <v>1863</v>
      </c>
      <c r="C142" s="365" t="s">
        <v>2143</v>
      </c>
      <c r="D142" s="365" t="s">
        <v>3192</v>
      </c>
      <c r="E142" s="366">
        <v>921671</v>
      </c>
    </row>
    <row r="143" spans="2:5">
      <c r="B143" s="8" t="s">
        <v>215</v>
      </c>
      <c r="C143" s="8" t="s">
        <v>2146</v>
      </c>
      <c r="D143" s="8" t="s">
        <v>3162</v>
      </c>
      <c r="E143" s="367">
        <v>909869</v>
      </c>
    </row>
    <row r="144" spans="2:5">
      <c r="B144" s="365" t="s">
        <v>827</v>
      </c>
      <c r="C144" s="365" t="s">
        <v>2143</v>
      </c>
      <c r="D144" s="365" t="s">
        <v>3150</v>
      </c>
      <c r="E144" s="366">
        <v>906564</v>
      </c>
    </row>
    <row r="145" spans="2:5">
      <c r="B145" s="8" t="s">
        <v>62</v>
      </c>
      <c r="C145" s="8" t="s">
        <v>2146</v>
      </c>
      <c r="D145" s="8" t="s">
        <v>3165</v>
      </c>
      <c r="E145" s="367">
        <v>882235</v>
      </c>
    </row>
    <row r="146" spans="2:5">
      <c r="B146" s="365" t="s">
        <v>1865</v>
      </c>
      <c r="C146" s="365" t="s">
        <v>2143</v>
      </c>
      <c r="D146" s="365" t="s">
        <v>3194</v>
      </c>
      <c r="E146" s="366">
        <v>854763</v>
      </c>
    </row>
    <row r="147" spans="2:5">
      <c r="B147" s="8" t="s">
        <v>1848</v>
      </c>
      <c r="C147" s="8" t="s">
        <v>2147</v>
      </c>
      <c r="D147" s="8" t="s">
        <v>3153</v>
      </c>
      <c r="E147" s="367">
        <v>841102</v>
      </c>
    </row>
    <row r="148" spans="2:5">
      <c r="B148" s="365" t="s">
        <v>1862</v>
      </c>
      <c r="C148" s="365" t="s">
        <v>2146</v>
      </c>
      <c r="D148" s="365" t="s">
        <v>3151</v>
      </c>
      <c r="E148" s="366">
        <v>823398</v>
      </c>
    </row>
    <row r="149" spans="2:5">
      <c r="B149" s="8" t="s">
        <v>792</v>
      </c>
      <c r="C149" s="8" t="s">
        <v>2147</v>
      </c>
      <c r="D149" s="8" t="s">
        <v>3150</v>
      </c>
      <c r="E149" s="367">
        <v>800000</v>
      </c>
    </row>
    <row r="150" spans="2:5">
      <c r="B150" s="365" t="s">
        <v>747</v>
      </c>
      <c r="C150" s="365" t="s">
        <v>2146</v>
      </c>
      <c r="D150" s="365" t="s">
        <v>3165</v>
      </c>
      <c r="E150" s="366">
        <v>772471</v>
      </c>
    </row>
    <row r="151" spans="2:5">
      <c r="B151" s="8" t="s">
        <v>1852</v>
      </c>
      <c r="C151" s="8" t="s">
        <v>2148</v>
      </c>
      <c r="D151" s="8" t="s">
        <v>3153</v>
      </c>
      <c r="E151" s="367">
        <v>748541</v>
      </c>
    </row>
    <row r="152" spans="2:5">
      <c r="B152" s="365" t="s">
        <v>158</v>
      </c>
      <c r="C152" s="365" t="s">
        <v>2147</v>
      </c>
      <c r="D152" s="365" t="s">
        <v>3150</v>
      </c>
      <c r="E152" s="366">
        <v>746440</v>
      </c>
    </row>
    <row r="153" spans="2:5">
      <c r="B153" s="8" t="s">
        <v>189</v>
      </c>
      <c r="C153" s="8" t="s">
        <v>2143</v>
      </c>
      <c r="D153" s="8" t="s">
        <v>3150</v>
      </c>
      <c r="E153" s="367">
        <v>735071</v>
      </c>
    </row>
    <row r="154" spans="2:5">
      <c r="B154" s="365" t="s">
        <v>1853</v>
      </c>
      <c r="C154" s="365" t="s">
        <v>2147</v>
      </c>
      <c r="D154" s="365" t="s">
        <v>3153</v>
      </c>
      <c r="E154" s="366">
        <v>733814</v>
      </c>
    </row>
    <row r="155" spans="2:5">
      <c r="B155" s="8" t="s">
        <v>158</v>
      </c>
      <c r="C155" s="8" t="s">
        <v>2146</v>
      </c>
      <c r="D155" s="8" t="s">
        <v>3149</v>
      </c>
      <c r="E155" s="367">
        <v>726067</v>
      </c>
    </row>
    <row r="156" spans="2:5">
      <c r="B156" s="365" t="s">
        <v>126</v>
      </c>
      <c r="C156" s="365" t="s">
        <v>2147</v>
      </c>
      <c r="D156" s="365" t="s">
        <v>3150</v>
      </c>
      <c r="E156" s="366">
        <v>702844</v>
      </c>
    </row>
    <row r="157" spans="2:5">
      <c r="B157" s="8" t="s">
        <v>1842</v>
      </c>
      <c r="C157" s="8" t="s">
        <v>2143</v>
      </c>
      <c r="D157" s="8" t="s">
        <v>3153</v>
      </c>
      <c r="E157" s="367">
        <v>694955</v>
      </c>
    </row>
    <row r="158" spans="2:5">
      <c r="B158" s="365" t="s">
        <v>158</v>
      </c>
      <c r="C158" s="365" t="s">
        <v>2143</v>
      </c>
      <c r="D158" s="365" t="s">
        <v>3150</v>
      </c>
      <c r="E158" s="366">
        <v>667602</v>
      </c>
    </row>
    <row r="159" spans="2:5">
      <c r="B159" s="8" t="s">
        <v>126</v>
      </c>
      <c r="C159" s="8" t="s">
        <v>2146</v>
      </c>
      <c r="D159" s="8" t="s">
        <v>3149</v>
      </c>
      <c r="E159" s="367">
        <v>621987</v>
      </c>
    </row>
    <row r="160" spans="2:5">
      <c r="B160" s="365" t="s">
        <v>3822</v>
      </c>
      <c r="C160" s="365" t="s">
        <v>2146</v>
      </c>
      <c r="D160" s="365" t="s">
        <v>3834</v>
      </c>
      <c r="E160" s="366">
        <v>617137</v>
      </c>
    </row>
    <row r="161" spans="2:5">
      <c r="B161" s="8" t="s">
        <v>177</v>
      </c>
      <c r="C161" s="8" t="s">
        <v>2143</v>
      </c>
      <c r="D161" s="8" t="s">
        <v>3826</v>
      </c>
      <c r="E161" s="367">
        <v>597330</v>
      </c>
    </row>
    <row r="162" spans="2:5">
      <c r="B162" s="365" t="s">
        <v>1837</v>
      </c>
      <c r="C162" s="365" t="s">
        <v>2146</v>
      </c>
      <c r="D162" s="365" t="s">
        <v>3151</v>
      </c>
      <c r="E162" s="366">
        <v>582885</v>
      </c>
    </row>
    <row r="163" spans="2:5">
      <c r="B163" s="8" t="s">
        <v>227</v>
      </c>
      <c r="C163" s="8" t="s">
        <v>2147</v>
      </c>
      <c r="D163" s="8" t="s">
        <v>3150</v>
      </c>
      <c r="E163" s="367">
        <v>582705</v>
      </c>
    </row>
    <row r="164" spans="2:5">
      <c r="B164" s="365" t="s">
        <v>549</v>
      </c>
      <c r="C164" s="365" t="s">
        <v>2148</v>
      </c>
      <c r="D164" s="365" t="s">
        <v>3153</v>
      </c>
      <c r="E164" s="366">
        <v>574940</v>
      </c>
    </row>
    <row r="165" spans="2:5">
      <c r="B165" s="8" t="s">
        <v>1837</v>
      </c>
      <c r="C165" s="8" t="s">
        <v>2147</v>
      </c>
      <c r="D165" s="8" t="s">
        <v>3150</v>
      </c>
      <c r="E165" s="367">
        <v>571409</v>
      </c>
    </row>
    <row r="166" spans="2:5">
      <c r="B166" s="365" t="s">
        <v>1852</v>
      </c>
      <c r="C166" s="365" t="s">
        <v>2147</v>
      </c>
      <c r="D166" s="365" t="s">
        <v>3150</v>
      </c>
      <c r="E166" s="366">
        <v>570322</v>
      </c>
    </row>
    <row r="167" spans="2:5">
      <c r="B167" s="8" t="s">
        <v>215</v>
      </c>
      <c r="C167" s="8" t="s">
        <v>2148</v>
      </c>
      <c r="D167" s="8" t="s">
        <v>3153</v>
      </c>
      <c r="E167" s="367">
        <v>547680</v>
      </c>
    </row>
    <row r="168" spans="2:5">
      <c r="B168" s="365" t="s">
        <v>1848</v>
      </c>
      <c r="C168" s="365" t="s">
        <v>2148</v>
      </c>
      <c r="D168" s="365" t="s">
        <v>3153</v>
      </c>
      <c r="E168" s="366">
        <v>545500</v>
      </c>
    </row>
    <row r="169" spans="2:5">
      <c r="B169" s="8" t="s">
        <v>1837</v>
      </c>
      <c r="C169" s="8" t="s">
        <v>2178</v>
      </c>
      <c r="D169" s="8" t="s">
        <v>3150</v>
      </c>
      <c r="E169" s="367">
        <v>541723</v>
      </c>
    </row>
    <row r="170" spans="2:5">
      <c r="B170" s="365" t="s">
        <v>229</v>
      </c>
      <c r="C170" s="365" t="s">
        <v>2147</v>
      </c>
      <c r="D170" s="365" t="s">
        <v>3150</v>
      </c>
      <c r="E170" s="366">
        <v>539970</v>
      </c>
    </row>
    <row r="171" spans="2:5">
      <c r="B171" s="8" t="s">
        <v>126</v>
      </c>
      <c r="C171" s="8" t="s">
        <v>2143</v>
      </c>
      <c r="D171" s="8" t="s">
        <v>3150</v>
      </c>
      <c r="E171" s="367">
        <v>521299</v>
      </c>
    </row>
    <row r="172" spans="2:5">
      <c r="B172" s="365" t="s">
        <v>827</v>
      </c>
      <c r="C172" s="365" t="s">
        <v>2147</v>
      </c>
      <c r="D172" s="365" t="s">
        <v>3150</v>
      </c>
      <c r="E172" s="366">
        <v>517300</v>
      </c>
    </row>
    <row r="173" spans="2:5">
      <c r="B173" s="8" t="s">
        <v>215</v>
      </c>
      <c r="C173" s="8" t="s">
        <v>2147</v>
      </c>
      <c r="D173" s="8" t="s">
        <v>3153</v>
      </c>
      <c r="E173" s="367">
        <v>515929</v>
      </c>
    </row>
    <row r="174" spans="2:5">
      <c r="B174" s="365" t="s">
        <v>189</v>
      </c>
      <c r="C174" s="365" t="s">
        <v>2147</v>
      </c>
      <c r="D174" s="365" t="s">
        <v>3150</v>
      </c>
      <c r="E174" s="366">
        <v>515681</v>
      </c>
    </row>
    <row r="175" spans="2:5">
      <c r="B175" s="8" t="s">
        <v>1848</v>
      </c>
      <c r="C175" s="8" t="s">
        <v>2147</v>
      </c>
      <c r="D175" s="8" t="s">
        <v>3150</v>
      </c>
      <c r="E175" s="367">
        <v>508215</v>
      </c>
    </row>
    <row r="176" spans="2:5">
      <c r="B176" s="365" t="s">
        <v>827</v>
      </c>
      <c r="C176" s="365" t="s">
        <v>2146</v>
      </c>
      <c r="D176" s="365" t="s">
        <v>3149</v>
      </c>
      <c r="E176" s="366">
        <v>505840</v>
      </c>
    </row>
    <row r="177" spans="2:5">
      <c r="B177" s="8" t="s">
        <v>3822</v>
      </c>
      <c r="C177" s="8" t="s">
        <v>2146</v>
      </c>
      <c r="D177" s="8" t="s">
        <v>3835</v>
      </c>
      <c r="E177" s="367">
        <v>493711</v>
      </c>
    </row>
    <row r="178" spans="2:5">
      <c r="B178" s="365" t="s">
        <v>1867</v>
      </c>
      <c r="C178" s="365" t="s">
        <v>2148</v>
      </c>
      <c r="D178" s="365" t="s">
        <v>3150</v>
      </c>
      <c r="E178" s="366">
        <v>493004</v>
      </c>
    </row>
    <row r="179" spans="2:5">
      <c r="B179" s="8" t="s">
        <v>1844</v>
      </c>
      <c r="C179" s="8" t="s">
        <v>2148</v>
      </c>
      <c r="D179" s="8" t="s">
        <v>3150</v>
      </c>
      <c r="E179" s="367">
        <v>491098</v>
      </c>
    </row>
    <row r="180" spans="2:5">
      <c r="B180" s="365" t="s">
        <v>189</v>
      </c>
      <c r="C180" s="365" t="s">
        <v>2146</v>
      </c>
      <c r="D180" s="365" t="s">
        <v>3169</v>
      </c>
      <c r="E180" s="366">
        <v>457972</v>
      </c>
    </row>
    <row r="181" spans="2:5">
      <c r="B181" s="8" t="s">
        <v>717</v>
      </c>
      <c r="C181" s="8" t="s">
        <v>2148</v>
      </c>
      <c r="D181" s="8" t="s">
        <v>3150</v>
      </c>
      <c r="E181" s="367">
        <v>457884</v>
      </c>
    </row>
    <row r="182" spans="2:5">
      <c r="B182" s="365" t="s">
        <v>549</v>
      </c>
      <c r="C182" s="365" t="s">
        <v>2147</v>
      </c>
      <c r="D182" s="365" t="s">
        <v>3150</v>
      </c>
      <c r="E182" s="366">
        <v>445597</v>
      </c>
    </row>
    <row r="183" spans="2:5">
      <c r="B183" s="8" t="s">
        <v>62</v>
      </c>
      <c r="C183" s="8" t="s">
        <v>2148</v>
      </c>
      <c r="D183" s="8" t="s">
        <v>3150</v>
      </c>
      <c r="E183" s="367">
        <v>432240</v>
      </c>
    </row>
    <row r="184" spans="2:5">
      <c r="B184" s="365" t="s">
        <v>3822</v>
      </c>
      <c r="C184" s="365" t="s">
        <v>2146</v>
      </c>
      <c r="D184" s="365" t="s">
        <v>3836</v>
      </c>
      <c r="E184" s="366">
        <v>431997</v>
      </c>
    </row>
    <row r="185" spans="2:5">
      <c r="B185" s="8" t="s">
        <v>1865</v>
      </c>
      <c r="C185" s="8" t="s">
        <v>2146</v>
      </c>
      <c r="D185" s="8" t="s">
        <v>3829</v>
      </c>
      <c r="E185" s="367">
        <v>430365</v>
      </c>
    </row>
    <row r="186" spans="2:5">
      <c r="B186" s="365" t="s">
        <v>1871</v>
      </c>
      <c r="C186" s="365" t="s">
        <v>2143</v>
      </c>
      <c r="D186" s="365" t="s">
        <v>3194</v>
      </c>
      <c r="E186" s="366">
        <v>403457</v>
      </c>
    </row>
    <row r="187" spans="2:5">
      <c r="B187" s="8" t="s">
        <v>1853</v>
      </c>
      <c r="C187" s="8" t="s">
        <v>2147</v>
      </c>
      <c r="D187" s="8" t="s">
        <v>3150</v>
      </c>
      <c r="E187" s="367">
        <v>393937</v>
      </c>
    </row>
    <row r="188" spans="2:5">
      <c r="B188" s="365" t="s">
        <v>1856</v>
      </c>
      <c r="C188" s="365" t="s">
        <v>2143</v>
      </c>
      <c r="D188" s="365" t="s">
        <v>3153</v>
      </c>
      <c r="E188" s="366">
        <v>382478</v>
      </c>
    </row>
    <row r="189" spans="2:5">
      <c r="B189" s="8" t="s">
        <v>3822</v>
      </c>
      <c r="C189" s="8" t="s">
        <v>2146</v>
      </c>
      <c r="D189" s="8" t="s">
        <v>3837</v>
      </c>
      <c r="E189" s="367">
        <v>370282</v>
      </c>
    </row>
    <row r="190" spans="2:5">
      <c r="B190" s="365" t="s">
        <v>96</v>
      </c>
      <c r="C190" s="365" t="s">
        <v>2148</v>
      </c>
      <c r="D190" s="365" t="s">
        <v>3150</v>
      </c>
      <c r="E190" s="366">
        <v>365164</v>
      </c>
    </row>
    <row r="191" spans="2:5">
      <c r="B191" s="8" t="s">
        <v>459</v>
      </c>
      <c r="C191" s="8" t="s">
        <v>2143</v>
      </c>
      <c r="D191" s="8" t="s">
        <v>3153</v>
      </c>
      <c r="E191" s="367">
        <v>362786</v>
      </c>
    </row>
    <row r="192" spans="2:5">
      <c r="B192" s="365" t="s">
        <v>1856</v>
      </c>
      <c r="C192" s="365" t="s">
        <v>2146</v>
      </c>
      <c r="D192" s="365" t="s">
        <v>3162</v>
      </c>
      <c r="E192" s="366">
        <v>331267</v>
      </c>
    </row>
    <row r="193" spans="2:5">
      <c r="B193" s="8" t="s">
        <v>1856</v>
      </c>
      <c r="C193" s="8" t="s">
        <v>2147</v>
      </c>
      <c r="D193" s="8" t="s">
        <v>3153</v>
      </c>
      <c r="E193" s="367">
        <v>315895</v>
      </c>
    </row>
    <row r="194" spans="2:5">
      <c r="B194" s="365" t="s">
        <v>1904</v>
      </c>
      <c r="C194" s="365" t="s">
        <v>2143</v>
      </c>
      <c r="D194" s="365" t="s">
        <v>3194</v>
      </c>
      <c r="E194" s="366">
        <v>311685</v>
      </c>
    </row>
    <row r="195" spans="2:5">
      <c r="B195" s="8" t="s">
        <v>177</v>
      </c>
      <c r="C195" s="8" t="s">
        <v>2148</v>
      </c>
      <c r="D195" s="8" t="s">
        <v>3826</v>
      </c>
      <c r="E195" s="367">
        <v>308176</v>
      </c>
    </row>
    <row r="196" spans="2:5">
      <c r="B196" s="365" t="s">
        <v>1853</v>
      </c>
      <c r="C196" s="365" t="s">
        <v>2148</v>
      </c>
      <c r="D196" s="365" t="s">
        <v>3153</v>
      </c>
      <c r="E196" s="366">
        <v>300803</v>
      </c>
    </row>
    <row r="197" spans="2:5">
      <c r="B197" s="8" t="s">
        <v>459</v>
      </c>
      <c r="C197" s="8" t="s">
        <v>2148</v>
      </c>
      <c r="D197" s="8" t="s">
        <v>3153</v>
      </c>
      <c r="E197" s="367">
        <v>294000</v>
      </c>
    </row>
    <row r="198" spans="2:5">
      <c r="B198" s="365" t="s">
        <v>1830</v>
      </c>
      <c r="C198" s="365" t="s">
        <v>2178</v>
      </c>
      <c r="D198" s="365" t="s">
        <v>3153</v>
      </c>
      <c r="E198" s="366">
        <v>272968</v>
      </c>
    </row>
    <row r="199" spans="2:5">
      <c r="B199" s="8" t="s">
        <v>1894</v>
      </c>
      <c r="C199" s="8" t="s">
        <v>2143</v>
      </c>
      <c r="D199" s="8" t="s">
        <v>3150</v>
      </c>
      <c r="E199" s="367">
        <v>264053</v>
      </c>
    </row>
    <row r="200" spans="2:5">
      <c r="B200" s="365" t="s">
        <v>215</v>
      </c>
      <c r="C200" s="365" t="s">
        <v>2147</v>
      </c>
      <c r="D200" s="365" t="s">
        <v>3150</v>
      </c>
      <c r="E200" s="366">
        <v>262956</v>
      </c>
    </row>
    <row r="201" spans="2:5">
      <c r="B201" s="8" t="s">
        <v>215</v>
      </c>
      <c r="C201" s="8" t="s">
        <v>2143</v>
      </c>
      <c r="D201" s="8" t="s">
        <v>3153</v>
      </c>
      <c r="E201" s="367">
        <v>257670</v>
      </c>
    </row>
    <row r="202" spans="2:5">
      <c r="B202" s="365" t="s">
        <v>227</v>
      </c>
      <c r="C202" s="365" t="s">
        <v>2146</v>
      </c>
      <c r="D202" s="365" t="s">
        <v>3162</v>
      </c>
      <c r="E202" s="366">
        <v>250499</v>
      </c>
    </row>
    <row r="203" spans="2:5">
      <c r="B203" s="8" t="s">
        <v>1894</v>
      </c>
      <c r="C203" s="8" t="s">
        <v>2146</v>
      </c>
      <c r="D203" s="8" t="s">
        <v>3169</v>
      </c>
      <c r="E203" s="367">
        <v>249997</v>
      </c>
    </row>
    <row r="204" spans="2:5">
      <c r="B204" s="365" t="s">
        <v>1894</v>
      </c>
      <c r="C204" s="365" t="s">
        <v>2147</v>
      </c>
      <c r="D204" s="365" t="s">
        <v>3150</v>
      </c>
      <c r="E204" s="366">
        <v>247550</v>
      </c>
    </row>
    <row r="205" spans="2:5">
      <c r="B205" s="8" t="s">
        <v>17</v>
      </c>
      <c r="C205" s="8" t="s">
        <v>2159</v>
      </c>
      <c r="D205" s="8" t="s">
        <v>3838</v>
      </c>
      <c r="E205" s="367">
        <v>241874</v>
      </c>
    </row>
    <row r="206" spans="2:5">
      <c r="B206" s="365" t="s">
        <v>95</v>
      </c>
      <c r="C206" s="365" t="s">
        <v>2178</v>
      </c>
      <c r="D206" s="365" t="s">
        <v>3153</v>
      </c>
      <c r="E206" s="366">
        <v>239297</v>
      </c>
    </row>
    <row r="207" spans="2:5">
      <c r="B207" s="8" t="s">
        <v>177</v>
      </c>
      <c r="C207" s="8" t="s">
        <v>2147</v>
      </c>
      <c r="D207" s="8" t="s">
        <v>3150</v>
      </c>
      <c r="E207" s="367">
        <v>215063</v>
      </c>
    </row>
    <row r="208" spans="2:5">
      <c r="B208" s="365" t="s">
        <v>95</v>
      </c>
      <c r="C208" s="365" t="s">
        <v>2146</v>
      </c>
      <c r="D208" s="365" t="s">
        <v>3158</v>
      </c>
      <c r="E208" s="366">
        <v>209837</v>
      </c>
    </row>
    <row r="209" spans="2:5">
      <c r="B209" s="8" t="s">
        <v>1840</v>
      </c>
      <c r="C209" s="8" t="s">
        <v>2178</v>
      </c>
      <c r="D209" s="8" t="s">
        <v>3150</v>
      </c>
      <c r="E209" s="367">
        <v>209036</v>
      </c>
    </row>
    <row r="210" spans="2:5">
      <c r="B210" s="365" t="s">
        <v>1871</v>
      </c>
      <c r="C210" s="365" t="s">
        <v>2146</v>
      </c>
      <c r="D210" s="365" t="s">
        <v>3829</v>
      </c>
      <c r="E210" s="366">
        <v>204376</v>
      </c>
    </row>
    <row r="211" spans="2:5">
      <c r="B211" s="8" t="s">
        <v>1846</v>
      </c>
      <c r="C211" s="8" t="s">
        <v>2146</v>
      </c>
      <c r="D211" s="8" t="s">
        <v>3158</v>
      </c>
      <c r="E211" s="367">
        <v>186605</v>
      </c>
    </row>
    <row r="212" spans="2:5">
      <c r="B212" s="365" t="s">
        <v>818</v>
      </c>
      <c r="C212" s="365" t="s">
        <v>2143</v>
      </c>
      <c r="D212" s="365" t="s">
        <v>3150</v>
      </c>
      <c r="E212" s="366">
        <v>182433</v>
      </c>
    </row>
    <row r="213" spans="2:5">
      <c r="B213" s="8" t="s">
        <v>3822</v>
      </c>
      <c r="C213" s="8" t="s">
        <v>2178</v>
      </c>
      <c r="D213" s="8" t="s">
        <v>3196</v>
      </c>
      <c r="E213" s="367">
        <v>181763</v>
      </c>
    </row>
    <row r="214" spans="2:5">
      <c r="B214" s="365" t="s">
        <v>1840</v>
      </c>
      <c r="C214" s="365" t="s">
        <v>2178</v>
      </c>
      <c r="D214" s="365" t="s">
        <v>3153</v>
      </c>
      <c r="E214" s="366">
        <v>179479</v>
      </c>
    </row>
    <row r="215" spans="2:5">
      <c r="B215" s="8" t="s">
        <v>177</v>
      </c>
      <c r="C215" s="8" t="s">
        <v>2147</v>
      </c>
      <c r="D215" s="8" t="s">
        <v>3826</v>
      </c>
      <c r="E215" s="367">
        <v>175553</v>
      </c>
    </row>
    <row r="216" spans="2:5">
      <c r="B216" s="365" t="s">
        <v>1856</v>
      </c>
      <c r="C216" s="365" t="s">
        <v>2147</v>
      </c>
      <c r="D216" s="365" t="s">
        <v>3150</v>
      </c>
      <c r="E216" s="366">
        <v>173903</v>
      </c>
    </row>
    <row r="217" spans="2:5">
      <c r="B217" s="8" t="s">
        <v>1863</v>
      </c>
      <c r="C217" s="8" t="s">
        <v>2146</v>
      </c>
      <c r="D217" s="8" t="s">
        <v>3207</v>
      </c>
      <c r="E217" s="367">
        <v>172520</v>
      </c>
    </row>
    <row r="218" spans="2:5">
      <c r="B218" s="365" t="s">
        <v>747</v>
      </c>
      <c r="C218" s="365" t="s">
        <v>2148</v>
      </c>
      <c r="D218" s="365" t="s">
        <v>3150</v>
      </c>
      <c r="E218" s="366">
        <v>167405</v>
      </c>
    </row>
    <row r="219" spans="2:5">
      <c r="B219" s="8" t="s">
        <v>1834</v>
      </c>
      <c r="C219" s="8" t="s">
        <v>2180</v>
      </c>
      <c r="D219" s="8" t="s">
        <v>3150</v>
      </c>
      <c r="E219" s="367">
        <v>160303</v>
      </c>
    </row>
    <row r="220" spans="2:5">
      <c r="B220" s="365" t="s">
        <v>1869</v>
      </c>
      <c r="C220" s="365" t="s">
        <v>2178</v>
      </c>
      <c r="D220" s="365" t="s">
        <v>3154</v>
      </c>
      <c r="E220" s="366">
        <v>153544</v>
      </c>
    </row>
    <row r="221" spans="2:5">
      <c r="B221" s="8" t="s">
        <v>1878</v>
      </c>
      <c r="C221" s="8" t="s">
        <v>2143</v>
      </c>
      <c r="D221" s="8" t="s">
        <v>3839</v>
      </c>
      <c r="E221" s="367">
        <v>150938</v>
      </c>
    </row>
    <row r="222" spans="2:5">
      <c r="B222" s="365" t="s">
        <v>1869</v>
      </c>
      <c r="C222" s="365" t="s">
        <v>2143</v>
      </c>
      <c r="D222" s="365" t="s">
        <v>3194</v>
      </c>
      <c r="E222" s="366">
        <v>145330</v>
      </c>
    </row>
    <row r="223" spans="2:5">
      <c r="B223" s="8" t="s">
        <v>818</v>
      </c>
      <c r="C223" s="8" t="s">
        <v>2178</v>
      </c>
      <c r="D223" s="8" t="s">
        <v>3150</v>
      </c>
      <c r="E223" s="367">
        <v>138186</v>
      </c>
    </row>
    <row r="224" spans="2:5">
      <c r="B224" s="365" t="s">
        <v>1847</v>
      </c>
      <c r="C224" s="365" t="s">
        <v>2148</v>
      </c>
      <c r="D224" s="365" t="s">
        <v>3150</v>
      </c>
      <c r="E224" s="366">
        <v>135000</v>
      </c>
    </row>
    <row r="225" spans="2:5">
      <c r="B225" s="8" t="s">
        <v>1878</v>
      </c>
      <c r="C225" s="8" t="s">
        <v>2143</v>
      </c>
      <c r="D225" s="8" t="s">
        <v>3154</v>
      </c>
      <c r="E225" s="367">
        <v>133721</v>
      </c>
    </row>
    <row r="226" spans="2:5">
      <c r="B226" s="365" t="s">
        <v>1866</v>
      </c>
      <c r="C226" s="365" t="s">
        <v>2178</v>
      </c>
      <c r="D226" s="365" t="s">
        <v>3826</v>
      </c>
      <c r="E226" s="366">
        <v>129063</v>
      </c>
    </row>
    <row r="227" spans="2:5">
      <c r="B227" s="8" t="s">
        <v>177</v>
      </c>
      <c r="C227" s="8" t="s">
        <v>2143</v>
      </c>
      <c r="D227" s="8" t="s">
        <v>3150</v>
      </c>
      <c r="E227" s="367">
        <v>127396</v>
      </c>
    </row>
    <row r="228" spans="2:5">
      <c r="B228" s="365" t="s">
        <v>1884</v>
      </c>
      <c r="C228" s="365" t="s">
        <v>2143</v>
      </c>
      <c r="D228" s="365" t="s">
        <v>3154</v>
      </c>
      <c r="E228" s="366">
        <v>125436</v>
      </c>
    </row>
    <row r="229" spans="2:5">
      <c r="B229" s="8" t="s">
        <v>3840</v>
      </c>
      <c r="C229" s="8" t="s">
        <v>2146</v>
      </c>
      <c r="D229" s="8" t="s">
        <v>3209</v>
      </c>
      <c r="E229" s="367">
        <v>117227</v>
      </c>
    </row>
    <row r="230" spans="2:5">
      <c r="B230" s="365" t="s">
        <v>85</v>
      </c>
      <c r="C230" s="365" t="s">
        <v>2178</v>
      </c>
      <c r="D230" s="365" t="s">
        <v>3154</v>
      </c>
      <c r="E230" s="366">
        <v>114215</v>
      </c>
    </row>
    <row r="231" spans="2:5">
      <c r="B231" s="8" t="s">
        <v>177</v>
      </c>
      <c r="C231" s="8" t="s">
        <v>2143</v>
      </c>
      <c r="D231" s="8" t="s">
        <v>3839</v>
      </c>
      <c r="E231" s="367">
        <v>106420</v>
      </c>
    </row>
    <row r="232" spans="2:5">
      <c r="B232" s="365" t="s">
        <v>1840</v>
      </c>
      <c r="C232" s="365" t="s">
        <v>2178</v>
      </c>
      <c r="D232" s="365" t="s">
        <v>3826</v>
      </c>
      <c r="E232" s="366">
        <v>104866</v>
      </c>
    </row>
    <row r="233" spans="2:5">
      <c r="B233" s="8" t="s">
        <v>459</v>
      </c>
      <c r="C233" s="8" t="s">
        <v>2147</v>
      </c>
      <c r="D233" s="8" t="s">
        <v>3153</v>
      </c>
      <c r="E233" s="367">
        <v>102550</v>
      </c>
    </row>
    <row r="234" spans="2:5">
      <c r="B234" s="365" t="s">
        <v>1865</v>
      </c>
      <c r="C234" s="365" t="s">
        <v>2143</v>
      </c>
      <c r="D234" s="365" t="s">
        <v>3154</v>
      </c>
      <c r="E234" s="366">
        <v>102151</v>
      </c>
    </row>
    <row r="235" spans="2:5">
      <c r="B235" s="8" t="s">
        <v>1863</v>
      </c>
      <c r="C235" s="8" t="s">
        <v>2191</v>
      </c>
      <c r="D235" s="8" t="s">
        <v>3152</v>
      </c>
      <c r="E235" s="367">
        <v>100000</v>
      </c>
    </row>
    <row r="236" spans="2:5">
      <c r="B236" s="365" t="s">
        <v>1910</v>
      </c>
      <c r="C236" s="365" t="s">
        <v>2189</v>
      </c>
      <c r="D236" s="365" t="s">
        <v>3150</v>
      </c>
      <c r="E236" s="366">
        <v>95260</v>
      </c>
    </row>
    <row r="237" spans="2:5">
      <c r="B237" s="8" t="s">
        <v>204</v>
      </c>
      <c r="C237" s="8" t="s">
        <v>2143</v>
      </c>
      <c r="D237" s="8" t="s">
        <v>3150</v>
      </c>
      <c r="E237" s="367">
        <v>94847</v>
      </c>
    </row>
    <row r="238" spans="2:5">
      <c r="B238" s="365" t="s">
        <v>3840</v>
      </c>
      <c r="C238" s="365" t="s">
        <v>2146</v>
      </c>
      <c r="D238" s="365" t="s">
        <v>3829</v>
      </c>
      <c r="E238" s="366">
        <v>92272</v>
      </c>
    </row>
    <row r="239" spans="2:5">
      <c r="B239" s="8" t="s">
        <v>95</v>
      </c>
      <c r="C239" s="8" t="s">
        <v>2143</v>
      </c>
      <c r="D239" s="8" t="s">
        <v>3150</v>
      </c>
      <c r="E239" s="367">
        <v>92172</v>
      </c>
    </row>
    <row r="240" spans="2:5">
      <c r="B240" s="365" t="s">
        <v>1913</v>
      </c>
      <c r="C240" s="365" t="s">
        <v>2146</v>
      </c>
      <c r="D240" s="365" t="s">
        <v>3162</v>
      </c>
      <c r="E240" s="366">
        <v>91116</v>
      </c>
    </row>
    <row r="241" spans="2:5">
      <c r="B241" s="8" t="s">
        <v>459</v>
      </c>
      <c r="C241" s="8" t="s">
        <v>2146</v>
      </c>
      <c r="D241" s="8" t="s">
        <v>3165</v>
      </c>
      <c r="E241" s="367">
        <v>89985</v>
      </c>
    </row>
    <row r="242" spans="2:5">
      <c r="B242" s="365" t="s">
        <v>1837</v>
      </c>
      <c r="C242" s="365" t="s">
        <v>2178</v>
      </c>
      <c r="D242" s="365" t="s">
        <v>3153</v>
      </c>
      <c r="E242" s="366">
        <v>89320</v>
      </c>
    </row>
    <row r="243" spans="2:5">
      <c r="B243" s="8" t="s">
        <v>1874</v>
      </c>
      <c r="C243" s="8" t="s">
        <v>2189</v>
      </c>
      <c r="D243" s="8" t="s">
        <v>3150</v>
      </c>
      <c r="E243" s="367">
        <v>83383</v>
      </c>
    </row>
    <row r="244" spans="2:5">
      <c r="B244" s="365" t="s">
        <v>721</v>
      </c>
      <c r="C244" s="365" t="s">
        <v>2183</v>
      </c>
      <c r="D244" s="365" t="s">
        <v>3150</v>
      </c>
      <c r="E244" s="366">
        <v>83250</v>
      </c>
    </row>
    <row r="245" spans="2:5">
      <c r="B245" s="8" t="s">
        <v>129</v>
      </c>
      <c r="C245" s="8" t="s">
        <v>2143</v>
      </c>
      <c r="D245" s="8" t="s">
        <v>3194</v>
      </c>
      <c r="E245" s="367">
        <v>78836</v>
      </c>
    </row>
    <row r="246" spans="2:5">
      <c r="B246" s="365" t="s">
        <v>99</v>
      </c>
      <c r="C246" s="365" t="s">
        <v>2180</v>
      </c>
      <c r="D246" s="365" t="s">
        <v>3150</v>
      </c>
      <c r="E246" s="366">
        <v>77581</v>
      </c>
    </row>
    <row r="247" spans="2:5">
      <c r="B247" s="8" t="s">
        <v>1887</v>
      </c>
      <c r="C247" s="8" t="s">
        <v>2143</v>
      </c>
      <c r="D247" s="8" t="s">
        <v>3193</v>
      </c>
      <c r="E247" s="367">
        <v>77070</v>
      </c>
    </row>
    <row r="248" spans="2:5">
      <c r="B248" s="365" t="s">
        <v>1849</v>
      </c>
      <c r="C248" s="365" t="s">
        <v>2183</v>
      </c>
      <c r="D248" s="365" t="s">
        <v>3150</v>
      </c>
      <c r="E248" s="366">
        <v>77000</v>
      </c>
    </row>
    <row r="249" spans="2:5">
      <c r="B249" s="8" t="s">
        <v>1878</v>
      </c>
      <c r="C249" s="8" t="s">
        <v>2143</v>
      </c>
      <c r="D249" s="8" t="s">
        <v>3193</v>
      </c>
      <c r="E249" s="367">
        <v>76339</v>
      </c>
    </row>
    <row r="250" spans="2:5">
      <c r="B250" s="365" t="s">
        <v>1891</v>
      </c>
      <c r="C250" s="365" t="s">
        <v>2143</v>
      </c>
      <c r="D250" s="365" t="s">
        <v>3153</v>
      </c>
      <c r="E250" s="366">
        <v>75522</v>
      </c>
    </row>
    <row r="251" spans="2:5">
      <c r="B251" s="8" t="s">
        <v>1921</v>
      </c>
      <c r="C251" s="8" t="s">
        <v>2146</v>
      </c>
      <c r="D251" s="8" t="s">
        <v>3162</v>
      </c>
      <c r="E251" s="367">
        <v>72672</v>
      </c>
    </row>
    <row r="252" spans="2:5">
      <c r="B252" s="365" t="s">
        <v>1836</v>
      </c>
      <c r="C252" s="365" t="s">
        <v>2180</v>
      </c>
      <c r="D252" s="365" t="s">
        <v>3150</v>
      </c>
      <c r="E252" s="366">
        <v>72563</v>
      </c>
    </row>
    <row r="253" spans="2:5">
      <c r="B253" s="8" t="s">
        <v>1839</v>
      </c>
      <c r="C253" s="8" t="s">
        <v>2178</v>
      </c>
      <c r="D253" s="8" t="s">
        <v>3150</v>
      </c>
      <c r="E253" s="367">
        <v>72312</v>
      </c>
    </row>
    <row r="254" spans="2:5">
      <c r="B254" s="365" t="s">
        <v>197</v>
      </c>
      <c r="C254" s="365" t="s">
        <v>2143</v>
      </c>
      <c r="D254" s="365" t="s">
        <v>3826</v>
      </c>
      <c r="E254" s="366">
        <v>71294</v>
      </c>
    </row>
    <row r="255" spans="2:5">
      <c r="B255" s="8" t="s">
        <v>1871</v>
      </c>
      <c r="C255" s="8" t="s">
        <v>2143</v>
      </c>
      <c r="D255" s="8" t="s">
        <v>3154</v>
      </c>
      <c r="E255" s="367">
        <v>68905</v>
      </c>
    </row>
    <row r="256" spans="2:5">
      <c r="B256" s="365" t="s">
        <v>1904</v>
      </c>
      <c r="C256" s="365" t="s">
        <v>2143</v>
      </c>
      <c r="D256" s="365" t="s">
        <v>3154</v>
      </c>
      <c r="E256" s="366">
        <v>67141</v>
      </c>
    </row>
    <row r="257" spans="2:5">
      <c r="B257" s="8" t="s">
        <v>1834</v>
      </c>
      <c r="C257" s="8" t="s">
        <v>2182</v>
      </c>
      <c r="D257" s="8" t="s">
        <v>3150</v>
      </c>
      <c r="E257" s="367">
        <v>64480</v>
      </c>
    </row>
    <row r="258" spans="2:5">
      <c r="B258" s="365" t="s">
        <v>1842</v>
      </c>
      <c r="C258" s="365" t="s">
        <v>2180</v>
      </c>
      <c r="D258" s="365" t="s">
        <v>3150</v>
      </c>
      <c r="E258" s="366">
        <v>61875</v>
      </c>
    </row>
    <row r="259" spans="2:5">
      <c r="B259" s="8" t="s">
        <v>1840</v>
      </c>
      <c r="C259" s="8" t="s">
        <v>2185</v>
      </c>
      <c r="D259" s="8" t="s">
        <v>3150</v>
      </c>
      <c r="E259" s="367">
        <v>61447</v>
      </c>
    </row>
    <row r="260" spans="2:5">
      <c r="B260" s="365" t="s">
        <v>1907</v>
      </c>
      <c r="C260" s="365" t="s">
        <v>2143</v>
      </c>
      <c r="D260" s="365" t="s">
        <v>3154</v>
      </c>
      <c r="E260" s="366">
        <v>59636</v>
      </c>
    </row>
    <row r="261" spans="2:5">
      <c r="B261" s="8" t="s">
        <v>747</v>
      </c>
      <c r="C261" s="8" t="s">
        <v>2183</v>
      </c>
      <c r="D261" s="8" t="s">
        <v>3150</v>
      </c>
      <c r="E261" s="367">
        <v>57600</v>
      </c>
    </row>
    <row r="262" spans="2:5">
      <c r="B262" s="365" t="s">
        <v>102</v>
      </c>
      <c r="C262" s="365" t="s">
        <v>2180</v>
      </c>
      <c r="D262" s="365" t="s">
        <v>3150</v>
      </c>
      <c r="E262" s="366">
        <v>57415</v>
      </c>
    </row>
    <row r="263" spans="2:5">
      <c r="B263" s="8" t="s">
        <v>62</v>
      </c>
      <c r="C263" s="8" t="s">
        <v>2180</v>
      </c>
      <c r="D263" s="8" t="s">
        <v>3150</v>
      </c>
      <c r="E263" s="367">
        <v>52949</v>
      </c>
    </row>
    <row r="264" spans="2:5">
      <c r="B264" s="365" t="s">
        <v>459</v>
      </c>
      <c r="C264" s="365" t="s">
        <v>2147</v>
      </c>
      <c r="D264" s="365" t="s">
        <v>3150</v>
      </c>
      <c r="E264" s="366">
        <v>52850</v>
      </c>
    </row>
    <row r="265" spans="2:5">
      <c r="B265" s="8" t="s">
        <v>1837</v>
      </c>
      <c r="C265" s="8" t="s">
        <v>2185</v>
      </c>
      <c r="D265" s="8" t="s">
        <v>3150</v>
      </c>
      <c r="E265" s="367">
        <v>52697</v>
      </c>
    </row>
    <row r="266" spans="2:5">
      <c r="B266" s="365" t="s">
        <v>1865</v>
      </c>
      <c r="C266" s="365" t="s">
        <v>2143</v>
      </c>
      <c r="D266" s="365" t="s">
        <v>3839</v>
      </c>
      <c r="E266" s="366">
        <v>52518</v>
      </c>
    </row>
    <row r="267" spans="2:5">
      <c r="B267" s="8" t="s">
        <v>721</v>
      </c>
      <c r="C267" s="8" t="s">
        <v>2180</v>
      </c>
      <c r="D267" s="8" t="s">
        <v>3150</v>
      </c>
      <c r="E267" s="367">
        <v>52500</v>
      </c>
    </row>
    <row r="268" spans="2:5">
      <c r="B268" s="365" t="s">
        <v>1839</v>
      </c>
      <c r="C268" s="365" t="s">
        <v>2180</v>
      </c>
      <c r="D268" s="365" t="s">
        <v>3150</v>
      </c>
      <c r="E268" s="366">
        <v>50327</v>
      </c>
    </row>
    <row r="269" spans="2:5">
      <c r="B269" s="8" t="s">
        <v>1847</v>
      </c>
      <c r="C269" s="8" t="s">
        <v>2180</v>
      </c>
      <c r="D269" s="8" t="s">
        <v>3150</v>
      </c>
      <c r="E269" s="367">
        <v>49496</v>
      </c>
    </row>
    <row r="270" spans="2:5">
      <c r="B270" s="365" t="s">
        <v>175</v>
      </c>
      <c r="C270" s="365" t="s">
        <v>2178</v>
      </c>
      <c r="D270" s="365" t="s">
        <v>3150</v>
      </c>
      <c r="E270" s="366">
        <v>49056</v>
      </c>
    </row>
    <row r="271" spans="2:5">
      <c r="B271" s="8" t="s">
        <v>1878</v>
      </c>
      <c r="C271" s="8" t="s">
        <v>2146</v>
      </c>
      <c r="D271" s="8" t="s">
        <v>3215</v>
      </c>
      <c r="E271" s="367">
        <v>48977</v>
      </c>
    </row>
    <row r="272" spans="2:5">
      <c r="B272" s="365" t="s">
        <v>1844</v>
      </c>
      <c r="C272" s="365" t="s">
        <v>2180</v>
      </c>
      <c r="D272" s="365" t="s">
        <v>3150</v>
      </c>
      <c r="E272" s="366">
        <v>48977</v>
      </c>
    </row>
    <row r="273" spans="2:5">
      <c r="B273" s="8" t="s">
        <v>134</v>
      </c>
      <c r="C273" s="8" t="s">
        <v>2178</v>
      </c>
      <c r="D273" s="8" t="s">
        <v>3196</v>
      </c>
      <c r="E273" s="367">
        <v>48949</v>
      </c>
    </row>
    <row r="274" spans="2:5">
      <c r="B274" s="365" t="s">
        <v>1863</v>
      </c>
      <c r="C274" s="365" t="s">
        <v>2178</v>
      </c>
      <c r="D274" s="365" t="s">
        <v>3152</v>
      </c>
      <c r="E274" s="366">
        <v>47167</v>
      </c>
    </row>
    <row r="275" spans="2:5">
      <c r="B275" s="8" t="s">
        <v>1843</v>
      </c>
      <c r="C275" s="8" t="s">
        <v>2180</v>
      </c>
      <c r="D275" s="8" t="s">
        <v>3150</v>
      </c>
      <c r="E275" s="367">
        <v>46504</v>
      </c>
    </row>
    <row r="276" spans="2:5">
      <c r="B276" s="365" t="s">
        <v>95</v>
      </c>
      <c r="C276" s="365" t="s">
        <v>2146</v>
      </c>
      <c r="D276" s="365" t="s">
        <v>3151</v>
      </c>
      <c r="E276" s="366">
        <v>45452</v>
      </c>
    </row>
    <row r="277" spans="2:5">
      <c r="B277" s="8" t="s">
        <v>2488</v>
      </c>
      <c r="C277" s="8" t="s">
        <v>2146</v>
      </c>
      <c r="D277" s="8" t="s">
        <v>3151</v>
      </c>
      <c r="E277" s="367">
        <v>44550</v>
      </c>
    </row>
    <row r="278" spans="2:5">
      <c r="B278" s="365" t="s">
        <v>109</v>
      </c>
      <c r="C278" s="365" t="s">
        <v>2143</v>
      </c>
      <c r="D278" s="365" t="s">
        <v>3150</v>
      </c>
      <c r="E278" s="366">
        <v>44494</v>
      </c>
    </row>
    <row r="279" spans="2:5">
      <c r="B279" s="8" t="s">
        <v>1849</v>
      </c>
      <c r="C279" s="8" t="s">
        <v>2180</v>
      </c>
      <c r="D279" s="8" t="s">
        <v>3150</v>
      </c>
      <c r="E279" s="367">
        <v>44438</v>
      </c>
    </row>
    <row r="280" spans="2:5">
      <c r="B280" s="365" t="s">
        <v>1847</v>
      </c>
      <c r="C280" s="365" t="s">
        <v>2183</v>
      </c>
      <c r="D280" s="365" t="s">
        <v>3150</v>
      </c>
      <c r="E280" s="366">
        <v>44335</v>
      </c>
    </row>
    <row r="281" spans="2:5">
      <c r="B281" s="8" t="s">
        <v>1844</v>
      </c>
      <c r="C281" s="8" t="s">
        <v>2183</v>
      </c>
      <c r="D281" s="8" t="s">
        <v>3150</v>
      </c>
      <c r="E281" s="367">
        <v>44000</v>
      </c>
    </row>
    <row r="282" spans="2:5">
      <c r="B282" s="365" t="s">
        <v>99</v>
      </c>
      <c r="C282" s="365" t="s">
        <v>2182</v>
      </c>
      <c r="D282" s="365" t="s">
        <v>3150</v>
      </c>
      <c r="E282" s="366">
        <v>43120</v>
      </c>
    </row>
    <row r="283" spans="2:5">
      <c r="B283" s="8" t="s">
        <v>99</v>
      </c>
      <c r="C283" s="8" t="s">
        <v>2185</v>
      </c>
      <c r="D283" s="8" t="s">
        <v>3150</v>
      </c>
      <c r="E283" s="367">
        <v>43116</v>
      </c>
    </row>
    <row r="284" spans="2:5">
      <c r="B284" s="365" t="s">
        <v>717</v>
      </c>
      <c r="C284" s="365" t="s">
        <v>2180</v>
      </c>
      <c r="D284" s="365" t="s">
        <v>3150</v>
      </c>
      <c r="E284" s="366">
        <v>42254</v>
      </c>
    </row>
    <row r="285" spans="2:5">
      <c r="B285" s="8" t="s">
        <v>1922</v>
      </c>
      <c r="C285" s="8" t="s">
        <v>2178</v>
      </c>
      <c r="D285" s="8" t="s">
        <v>3154</v>
      </c>
      <c r="E285" s="367">
        <v>41143</v>
      </c>
    </row>
    <row r="286" spans="2:5">
      <c r="B286" s="365" t="s">
        <v>1919</v>
      </c>
      <c r="C286" s="365" t="s">
        <v>2178</v>
      </c>
      <c r="D286" s="365" t="s">
        <v>3839</v>
      </c>
      <c r="E286" s="366">
        <v>40418</v>
      </c>
    </row>
    <row r="287" spans="2:5">
      <c r="B287" s="8" t="s">
        <v>3840</v>
      </c>
      <c r="C287" s="8" t="s">
        <v>2146</v>
      </c>
      <c r="D287" s="8" t="s">
        <v>3211</v>
      </c>
      <c r="E287" s="367">
        <v>38672</v>
      </c>
    </row>
    <row r="288" spans="2:5">
      <c r="B288" s="365" t="s">
        <v>1845</v>
      </c>
      <c r="C288" s="365" t="s">
        <v>2180</v>
      </c>
      <c r="D288" s="365" t="s">
        <v>3150</v>
      </c>
      <c r="E288" s="366">
        <v>37989</v>
      </c>
    </row>
    <row r="289" spans="2:5">
      <c r="B289" s="8" t="s">
        <v>2071</v>
      </c>
      <c r="C289" s="8" t="s">
        <v>2143</v>
      </c>
      <c r="D289" s="8" t="s">
        <v>3193</v>
      </c>
      <c r="E289" s="367">
        <v>37599</v>
      </c>
    </row>
    <row r="290" spans="2:5">
      <c r="B290" s="365" t="s">
        <v>1867</v>
      </c>
      <c r="C290" s="365" t="s">
        <v>2180</v>
      </c>
      <c r="D290" s="365" t="s">
        <v>3150</v>
      </c>
      <c r="E290" s="366">
        <v>37500</v>
      </c>
    </row>
    <row r="291" spans="2:5">
      <c r="B291" s="8" t="s">
        <v>191</v>
      </c>
      <c r="C291" s="8" t="s">
        <v>2178</v>
      </c>
      <c r="D291" s="8" t="s">
        <v>3150</v>
      </c>
      <c r="E291" s="367">
        <v>33221</v>
      </c>
    </row>
    <row r="292" spans="2:5">
      <c r="B292" s="365" t="s">
        <v>139</v>
      </c>
      <c r="C292" s="365" t="s">
        <v>2180</v>
      </c>
      <c r="D292" s="365" t="s">
        <v>3150</v>
      </c>
      <c r="E292" s="366">
        <v>32069</v>
      </c>
    </row>
    <row r="293" spans="2:5">
      <c r="B293" s="8" t="s">
        <v>1869</v>
      </c>
      <c r="C293" s="8" t="s">
        <v>2143</v>
      </c>
      <c r="D293" s="8" t="s">
        <v>3154</v>
      </c>
      <c r="E293" s="367">
        <v>31764</v>
      </c>
    </row>
    <row r="294" spans="2:5">
      <c r="B294" s="365" t="s">
        <v>3659</v>
      </c>
      <c r="C294" s="365" t="s">
        <v>2185</v>
      </c>
      <c r="D294" s="365" t="s">
        <v>3150</v>
      </c>
      <c r="E294" s="366">
        <v>31311</v>
      </c>
    </row>
    <row r="295" spans="2:5">
      <c r="B295" s="8" t="s">
        <v>1880</v>
      </c>
      <c r="C295" s="8" t="s">
        <v>2143</v>
      </c>
      <c r="D295" s="8" t="s">
        <v>3826</v>
      </c>
      <c r="E295" s="367">
        <v>31196</v>
      </c>
    </row>
    <row r="296" spans="2:5">
      <c r="B296" s="365" t="s">
        <v>717</v>
      </c>
      <c r="C296" s="365" t="s">
        <v>2183</v>
      </c>
      <c r="D296" s="365" t="s">
        <v>3150</v>
      </c>
      <c r="E296" s="366">
        <v>31000</v>
      </c>
    </row>
    <row r="297" spans="2:5">
      <c r="B297" s="8" t="s">
        <v>1840</v>
      </c>
      <c r="C297" s="8" t="s">
        <v>2180</v>
      </c>
      <c r="D297" s="8" t="s">
        <v>3150</v>
      </c>
      <c r="E297" s="367">
        <v>29977</v>
      </c>
    </row>
    <row r="298" spans="2:5">
      <c r="B298" s="365" t="s">
        <v>1847</v>
      </c>
      <c r="C298" s="365" t="s">
        <v>2185</v>
      </c>
      <c r="D298" s="365" t="s">
        <v>3150</v>
      </c>
      <c r="E298" s="366">
        <v>29972</v>
      </c>
    </row>
    <row r="299" spans="2:5">
      <c r="B299" s="8" t="s">
        <v>1862</v>
      </c>
      <c r="C299" s="8" t="s">
        <v>2180</v>
      </c>
      <c r="D299" s="8" t="s">
        <v>3150</v>
      </c>
      <c r="E299" s="367">
        <v>28657</v>
      </c>
    </row>
    <row r="300" spans="2:5">
      <c r="B300" s="365" t="s">
        <v>1849</v>
      </c>
      <c r="C300" s="365" t="s">
        <v>2182</v>
      </c>
      <c r="D300" s="365" t="s">
        <v>3150</v>
      </c>
      <c r="E300" s="366">
        <v>28500</v>
      </c>
    </row>
    <row r="301" spans="2:5">
      <c r="B301" s="8" t="s">
        <v>1836</v>
      </c>
      <c r="C301" s="8" t="s">
        <v>2182</v>
      </c>
      <c r="D301" s="8" t="s">
        <v>3150</v>
      </c>
      <c r="E301" s="367">
        <v>27460</v>
      </c>
    </row>
    <row r="302" spans="2:5">
      <c r="B302" s="365" t="s">
        <v>1871</v>
      </c>
      <c r="C302" s="365" t="s">
        <v>2143</v>
      </c>
      <c r="D302" s="365" t="s">
        <v>3193</v>
      </c>
      <c r="E302" s="366">
        <v>27329</v>
      </c>
    </row>
    <row r="303" spans="2:5">
      <c r="B303" s="8" t="s">
        <v>1851</v>
      </c>
      <c r="C303" s="8" t="s">
        <v>2183</v>
      </c>
      <c r="D303" s="8" t="s">
        <v>3150</v>
      </c>
      <c r="E303" s="367">
        <v>27050</v>
      </c>
    </row>
    <row r="304" spans="2:5">
      <c r="B304" s="365" t="s">
        <v>28</v>
      </c>
      <c r="C304" s="365" t="s">
        <v>2178</v>
      </c>
      <c r="D304" s="365" t="s">
        <v>3826</v>
      </c>
      <c r="E304" s="366">
        <v>26952</v>
      </c>
    </row>
    <row r="305" spans="2:5">
      <c r="B305" s="8" t="s">
        <v>96</v>
      </c>
      <c r="C305" s="8" t="s">
        <v>2180</v>
      </c>
      <c r="D305" s="8" t="s">
        <v>3150</v>
      </c>
      <c r="E305" s="367">
        <v>26250</v>
      </c>
    </row>
    <row r="306" spans="2:5">
      <c r="B306" s="365" t="s">
        <v>110</v>
      </c>
      <c r="C306" s="365" t="s">
        <v>2178</v>
      </c>
      <c r="D306" s="365" t="s">
        <v>3150</v>
      </c>
      <c r="E306" s="366">
        <v>25905</v>
      </c>
    </row>
    <row r="307" spans="2:5">
      <c r="B307" s="8" t="s">
        <v>1843</v>
      </c>
      <c r="C307" s="8" t="s">
        <v>2182</v>
      </c>
      <c r="D307" s="8" t="s">
        <v>3150</v>
      </c>
      <c r="E307" s="367">
        <v>25840</v>
      </c>
    </row>
    <row r="308" spans="2:5">
      <c r="B308" s="365" t="s">
        <v>116</v>
      </c>
      <c r="C308" s="365" t="s">
        <v>2178</v>
      </c>
      <c r="D308" s="365" t="s">
        <v>3150</v>
      </c>
      <c r="E308" s="366">
        <v>25194</v>
      </c>
    </row>
    <row r="309" spans="2:5">
      <c r="B309" s="8" t="s">
        <v>1856</v>
      </c>
      <c r="C309" s="8" t="s">
        <v>2148</v>
      </c>
      <c r="D309" s="8" t="s">
        <v>3153</v>
      </c>
      <c r="E309" s="367">
        <v>24130</v>
      </c>
    </row>
    <row r="310" spans="2:5">
      <c r="B310" s="365" t="s">
        <v>325</v>
      </c>
      <c r="C310" s="365" t="s">
        <v>2178</v>
      </c>
      <c r="D310" s="365" t="s">
        <v>3154</v>
      </c>
      <c r="E310" s="366">
        <v>23811</v>
      </c>
    </row>
    <row r="311" spans="2:5">
      <c r="B311" s="8" t="s">
        <v>197</v>
      </c>
      <c r="C311" s="8" t="s">
        <v>2148</v>
      </c>
      <c r="D311" s="8" t="s">
        <v>3826</v>
      </c>
      <c r="E311" s="367">
        <v>23070</v>
      </c>
    </row>
    <row r="312" spans="2:5">
      <c r="B312" s="365" t="s">
        <v>1844</v>
      </c>
      <c r="C312" s="365" t="s">
        <v>2182</v>
      </c>
      <c r="D312" s="365" t="s">
        <v>3150</v>
      </c>
      <c r="E312" s="366">
        <v>22800</v>
      </c>
    </row>
    <row r="313" spans="2:5">
      <c r="B313" s="8" t="s">
        <v>3659</v>
      </c>
      <c r="C313" s="8" t="s">
        <v>2183</v>
      </c>
      <c r="D313" s="8" t="s">
        <v>3150</v>
      </c>
      <c r="E313" s="367">
        <v>22500</v>
      </c>
    </row>
    <row r="314" spans="2:5">
      <c r="B314" s="365" t="s">
        <v>747</v>
      </c>
      <c r="C314" s="365" t="s">
        <v>2180</v>
      </c>
      <c r="D314" s="365" t="s">
        <v>3150</v>
      </c>
      <c r="E314" s="366">
        <v>22500</v>
      </c>
    </row>
    <row r="315" spans="2:5">
      <c r="B315" s="8" t="s">
        <v>818</v>
      </c>
      <c r="C315" s="8" t="s">
        <v>2180</v>
      </c>
      <c r="D315" s="8" t="s">
        <v>3150</v>
      </c>
      <c r="E315" s="367">
        <v>22163</v>
      </c>
    </row>
    <row r="316" spans="2:5">
      <c r="B316" s="365" t="s">
        <v>62</v>
      </c>
      <c r="C316" s="365" t="s">
        <v>2182</v>
      </c>
      <c r="D316" s="365" t="s">
        <v>3150</v>
      </c>
      <c r="E316" s="366">
        <v>22120</v>
      </c>
    </row>
    <row r="317" spans="2:5">
      <c r="B317" s="8" t="s">
        <v>1878</v>
      </c>
      <c r="C317" s="8" t="s">
        <v>2146</v>
      </c>
      <c r="D317" s="8" t="s">
        <v>3830</v>
      </c>
      <c r="E317" s="367">
        <v>22006</v>
      </c>
    </row>
    <row r="318" spans="2:5">
      <c r="B318" s="365" t="s">
        <v>102</v>
      </c>
      <c r="C318" s="365" t="s">
        <v>2182</v>
      </c>
      <c r="D318" s="365" t="s">
        <v>3150</v>
      </c>
      <c r="E318" s="366">
        <v>21480</v>
      </c>
    </row>
    <row r="319" spans="2:5">
      <c r="B319" s="8" t="s">
        <v>532</v>
      </c>
      <c r="C319" s="8" t="s">
        <v>2178</v>
      </c>
      <c r="D319" s="8" t="s">
        <v>3839</v>
      </c>
      <c r="E319" s="367">
        <v>21064</v>
      </c>
    </row>
    <row r="320" spans="2:5">
      <c r="B320" s="365" t="s">
        <v>1842</v>
      </c>
      <c r="C320" s="365" t="s">
        <v>2182</v>
      </c>
      <c r="D320" s="365" t="s">
        <v>3150</v>
      </c>
      <c r="E320" s="366">
        <v>21000</v>
      </c>
    </row>
    <row r="321" spans="2:5">
      <c r="B321" s="8" t="s">
        <v>1847</v>
      </c>
      <c r="C321" s="8" t="s">
        <v>2182</v>
      </c>
      <c r="D321" s="8" t="s">
        <v>3150</v>
      </c>
      <c r="E321" s="367">
        <v>20900</v>
      </c>
    </row>
    <row r="322" spans="2:5">
      <c r="B322" s="365" t="s">
        <v>1908</v>
      </c>
      <c r="C322" s="365" t="s">
        <v>2143</v>
      </c>
      <c r="D322" s="365" t="s">
        <v>3154</v>
      </c>
      <c r="E322" s="366">
        <v>20223</v>
      </c>
    </row>
    <row r="323" spans="2:5">
      <c r="B323" s="8" t="s">
        <v>177</v>
      </c>
      <c r="C323" s="8" t="s">
        <v>2178</v>
      </c>
      <c r="D323" s="8" t="s">
        <v>3839</v>
      </c>
      <c r="E323" s="367">
        <v>20146</v>
      </c>
    </row>
    <row r="324" spans="2:5">
      <c r="B324" s="365" t="s">
        <v>1869</v>
      </c>
      <c r="C324" s="365" t="s">
        <v>2146</v>
      </c>
      <c r="D324" s="365" t="s">
        <v>3215</v>
      </c>
      <c r="E324" s="366">
        <v>20140</v>
      </c>
    </row>
    <row r="325" spans="2:5">
      <c r="B325" s="8" t="s">
        <v>177</v>
      </c>
      <c r="C325" s="8" t="s">
        <v>2178</v>
      </c>
      <c r="D325" s="8" t="s">
        <v>3826</v>
      </c>
      <c r="E325" s="367">
        <v>20093</v>
      </c>
    </row>
    <row r="326" spans="2:5">
      <c r="B326" s="365" t="s">
        <v>158</v>
      </c>
      <c r="C326" s="365" t="s">
        <v>2180</v>
      </c>
      <c r="D326" s="365" t="s">
        <v>3150</v>
      </c>
      <c r="E326" s="366">
        <v>19929</v>
      </c>
    </row>
    <row r="327" spans="2:5">
      <c r="B327" s="8" t="s">
        <v>1845</v>
      </c>
      <c r="C327" s="8" t="s">
        <v>2182</v>
      </c>
      <c r="D327" s="8" t="s">
        <v>3150</v>
      </c>
      <c r="E327" s="367">
        <v>19640</v>
      </c>
    </row>
    <row r="328" spans="2:5">
      <c r="B328" s="365" t="s">
        <v>323</v>
      </c>
      <c r="C328" s="365" t="s">
        <v>2178</v>
      </c>
      <c r="D328" s="365" t="s">
        <v>3154</v>
      </c>
      <c r="E328" s="366">
        <v>19227</v>
      </c>
    </row>
    <row r="329" spans="2:5">
      <c r="B329" s="8" t="s">
        <v>792</v>
      </c>
      <c r="C329" s="8" t="s">
        <v>2180</v>
      </c>
      <c r="D329" s="8" t="s">
        <v>3150</v>
      </c>
      <c r="E329" s="367">
        <v>18906</v>
      </c>
    </row>
    <row r="330" spans="2:5">
      <c r="B330" s="365" t="s">
        <v>95</v>
      </c>
      <c r="C330" s="365" t="s">
        <v>2178</v>
      </c>
      <c r="D330" s="365" t="s">
        <v>3150</v>
      </c>
      <c r="E330" s="366">
        <v>18672</v>
      </c>
    </row>
    <row r="331" spans="2:5">
      <c r="B331" s="8" t="s">
        <v>1999</v>
      </c>
      <c r="C331" s="8" t="s">
        <v>2178</v>
      </c>
      <c r="D331" s="8" t="s">
        <v>3154</v>
      </c>
      <c r="E331" s="367">
        <v>18372</v>
      </c>
    </row>
    <row r="332" spans="2:5">
      <c r="B332" s="365" t="s">
        <v>1904</v>
      </c>
      <c r="C332" s="365" t="s">
        <v>2146</v>
      </c>
      <c r="D332" s="365" t="s">
        <v>3829</v>
      </c>
      <c r="E332" s="366">
        <v>18232</v>
      </c>
    </row>
    <row r="333" spans="2:5">
      <c r="B333" s="8" t="s">
        <v>1867</v>
      </c>
      <c r="C333" s="8" t="s">
        <v>2182</v>
      </c>
      <c r="D333" s="8" t="s">
        <v>3150</v>
      </c>
      <c r="E333" s="367">
        <v>18000</v>
      </c>
    </row>
    <row r="334" spans="2:5">
      <c r="B334" s="365" t="s">
        <v>1870</v>
      </c>
      <c r="C334" s="365" t="s">
        <v>2178</v>
      </c>
      <c r="D334" s="365" t="s">
        <v>3153</v>
      </c>
      <c r="E334" s="366">
        <v>17815</v>
      </c>
    </row>
    <row r="335" spans="2:5">
      <c r="B335" s="8" t="s">
        <v>1887</v>
      </c>
      <c r="C335" s="8" t="s">
        <v>2146</v>
      </c>
      <c r="D335" s="8" t="s">
        <v>3215</v>
      </c>
      <c r="E335" s="367">
        <v>17540</v>
      </c>
    </row>
    <row r="336" spans="2:5">
      <c r="B336" s="365" t="s">
        <v>1839</v>
      </c>
      <c r="C336" s="365" t="s">
        <v>2185</v>
      </c>
      <c r="D336" s="365" t="s">
        <v>3150</v>
      </c>
      <c r="E336" s="366">
        <v>17315</v>
      </c>
    </row>
    <row r="337" spans="2:5">
      <c r="B337" s="8" t="s">
        <v>96</v>
      </c>
      <c r="C337" s="8" t="s">
        <v>2182</v>
      </c>
      <c r="D337" s="8" t="s">
        <v>3150</v>
      </c>
      <c r="E337" s="367">
        <v>16760</v>
      </c>
    </row>
    <row r="338" spans="2:5">
      <c r="B338" s="365" t="s">
        <v>1865</v>
      </c>
      <c r="C338" s="365" t="s">
        <v>2178</v>
      </c>
      <c r="D338" s="365" t="s">
        <v>3154</v>
      </c>
      <c r="E338" s="366">
        <v>16055</v>
      </c>
    </row>
    <row r="339" spans="2:5">
      <c r="B339" s="8" t="s">
        <v>1840</v>
      </c>
      <c r="C339" s="8" t="s">
        <v>2182</v>
      </c>
      <c r="D339" s="8" t="s">
        <v>3150</v>
      </c>
      <c r="E339" s="367">
        <v>16000</v>
      </c>
    </row>
    <row r="340" spans="2:5">
      <c r="B340" s="365" t="s">
        <v>126</v>
      </c>
      <c r="C340" s="365" t="s">
        <v>2180</v>
      </c>
      <c r="D340" s="365" t="s">
        <v>3150</v>
      </c>
      <c r="E340" s="366">
        <v>15829</v>
      </c>
    </row>
    <row r="341" spans="2:5">
      <c r="B341" s="8" t="s">
        <v>3659</v>
      </c>
      <c r="C341" s="8" t="s">
        <v>2178</v>
      </c>
      <c r="D341" s="8" t="s">
        <v>3826</v>
      </c>
      <c r="E341" s="367">
        <v>15779</v>
      </c>
    </row>
    <row r="342" spans="2:5">
      <c r="B342" s="365" t="s">
        <v>1840</v>
      </c>
      <c r="C342" s="365" t="s">
        <v>2143</v>
      </c>
      <c r="D342" s="365" t="s">
        <v>3839</v>
      </c>
      <c r="E342" s="366">
        <v>14873</v>
      </c>
    </row>
    <row r="343" spans="2:5">
      <c r="B343" s="8" t="s">
        <v>1848</v>
      </c>
      <c r="C343" s="8" t="s">
        <v>2185</v>
      </c>
      <c r="D343" s="8" t="s">
        <v>3150</v>
      </c>
      <c r="E343" s="367">
        <v>14871</v>
      </c>
    </row>
    <row r="344" spans="2:5">
      <c r="B344" s="365" t="s">
        <v>1839</v>
      </c>
      <c r="C344" s="365" t="s">
        <v>2182</v>
      </c>
      <c r="D344" s="365" t="s">
        <v>3150</v>
      </c>
      <c r="E344" s="366">
        <v>14820</v>
      </c>
    </row>
    <row r="345" spans="2:5">
      <c r="B345" s="8" t="s">
        <v>1869</v>
      </c>
      <c r="C345" s="8" t="s">
        <v>2143</v>
      </c>
      <c r="D345" s="8" t="s">
        <v>3193</v>
      </c>
      <c r="E345" s="367">
        <v>14687</v>
      </c>
    </row>
    <row r="346" spans="2:5">
      <c r="B346" s="365" t="s">
        <v>139</v>
      </c>
      <c r="C346" s="365" t="s">
        <v>2183</v>
      </c>
      <c r="D346" s="365" t="s">
        <v>3150</v>
      </c>
      <c r="E346" s="366">
        <v>14042</v>
      </c>
    </row>
    <row r="347" spans="2:5">
      <c r="B347" s="8" t="s">
        <v>827</v>
      </c>
      <c r="C347" s="8" t="s">
        <v>2183</v>
      </c>
      <c r="D347" s="8" t="s">
        <v>3150</v>
      </c>
      <c r="E347" s="367">
        <v>14000</v>
      </c>
    </row>
    <row r="348" spans="2:5">
      <c r="B348" s="365" t="s">
        <v>126</v>
      </c>
      <c r="C348" s="365" t="s">
        <v>2183</v>
      </c>
      <c r="D348" s="365" t="s">
        <v>3150</v>
      </c>
      <c r="E348" s="366">
        <v>14000</v>
      </c>
    </row>
    <row r="349" spans="2:5">
      <c r="B349" s="8" t="s">
        <v>1865</v>
      </c>
      <c r="C349" s="8" t="s">
        <v>2146</v>
      </c>
      <c r="D349" s="8" t="s">
        <v>3830</v>
      </c>
      <c r="E349" s="367">
        <v>13661</v>
      </c>
    </row>
    <row r="350" spans="2:5">
      <c r="B350" s="365" t="s">
        <v>721</v>
      </c>
      <c r="C350" s="365" t="s">
        <v>2182</v>
      </c>
      <c r="D350" s="365" t="s">
        <v>3150</v>
      </c>
      <c r="E350" s="366">
        <v>13600</v>
      </c>
    </row>
    <row r="351" spans="2:5">
      <c r="B351" s="8" t="s">
        <v>1847</v>
      </c>
      <c r="C351" s="8" t="s">
        <v>2178</v>
      </c>
      <c r="D351" s="8" t="s">
        <v>3150</v>
      </c>
      <c r="E351" s="367">
        <v>13372</v>
      </c>
    </row>
    <row r="352" spans="2:5">
      <c r="B352" s="365" t="s">
        <v>1837</v>
      </c>
      <c r="C352" s="365" t="s">
        <v>2180</v>
      </c>
      <c r="D352" s="365" t="s">
        <v>3150</v>
      </c>
      <c r="E352" s="366">
        <v>13188</v>
      </c>
    </row>
    <row r="353" spans="2:5">
      <c r="B353" s="8" t="s">
        <v>1878</v>
      </c>
      <c r="C353" s="8" t="s">
        <v>2178</v>
      </c>
      <c r="D353" s="8" t="s">
        <v>3839</v>
      </c>
      <c r="E353" s="367">
        <v>13000</v>
      </c>
    </row>
    <row r="354" spans="2:5">
      <c r="B354" s="365" t="s">
        <v>197</v>
      </c>
      <c r="C354" s="365" t="s">
        <v>2147</v>
      </c>
      <c r="D354" s="365" t="s">
        <v>3826</v>
      </c>
      <c r="E354" s="366">
        <v>12895</v>
      </c>
    </row>
    <row r="355" spans="2:5">
      <c r="B355" s="8" t="s">
        <v>827</v>
      </c>
      <c r="C355" s="8" t="s">
        <v>2180</v>
      </c>
      <c r="D355" s="8" t="s">
        <v>3150</v>
      </c>
      <c r="E355" s="367">
        <v>12530</v>
      </c>
    </row>
    <row r="356" spans="2:5">
      <c r="B356" s="365" t="s">
        <v>1871</v>
      </c>
      <c r="C356" s="365" t="s">
        <v>2146</v>
      </c>
      <c r="D356" s="365" t="s">
        <v>3831</v>
      </c>
      <c r="E356" s="366">
        <v>12311</v>
      </c>
    </row>
    <row r="357" spans="2:5">
      <c r="B357" s="8" t="s">
        <v>117</v>
      </c>
      <c r="C357" s="8" t="s">
        <v>2178</v>
      </c>
      <c r="D357" s="8" t="s">
        <v>3150</v>
      </c>
      <c r="E357" s="367">
        <v>12195</v>
      </c>
    </row>
    <row r="358" spans="2:5">
      <c r="B358" s="365" t="s">
        <v>2009</v>
      </c>
      <c r="C358" s="365" t="s">
        <v>3841</v>
      </c>
      <c r="D358" s="365" t="s">
        <v>3154</v>
      </c>
      <c r="E358" s="366">
        <v>12169</v>
      </c>
    </row>
    <row r="359" spans="2:5">
      <c r="B359" s="8" t="s">
        <v>102</v>
      </c>
      <c r="C359" s="8" t="s">
        <v>2185</v>
      </c>
      <c r="D359" s="8" t="s">
        <v>3150</v>
      </c>
      <c r="E359" s="367">
        <v>11868</v>
      </c>
    </row>
    <row r="360" spans="2:5">
      <c r="B360" s="365" t="s">
        <v>114</v>
      </c>
      <c r="C360" s="365" t="s">
        <v>2178</v>
      </c>
      <c r="D360" s="365" t="s">
        <v>3150</v>
      </c>
      <c r="E360" s="366">
        <v>11323</v>
      </c>
    </row>
    <row r="361" spans="2:5">
      <c r="B361" s="8" t="s">
        <v>747</v>
      </c>
      <c r="C361" s="8" t="s">
        <v>2182</v>
      </c>
      <c r="D361" s="8" t="s">
        <v>3150</v>
      </c>
      <c r="E361" s="367">
        <v>11160</v>
      </c>
    </row>
    <row r="362" spans="2:5">
      <c r="B362" s="365" t="s">
        <v>189</v>
      </c>
      <c r="C362" s="365" t="s">
        <v>2180</v>
      </c>
      <c r="D362" s="365" t="s">
        <v>3150</v>
      </c>
      <c r="E362" s="366">
        <v>11073</v>
      </c>
    </row>
    <row r="363" spans="2:5">
      <c r="B363" s="8" t="s">
        <v>1915</v>
      </c>
      <c r="C363" s="8" t="s">
        <v>2143</v>
      </c>
      <c r="D363" s="8" t="s">
        <v>3193</v>
      </c>
      <c r="E363" s="367">
        <v>11048</v>
      </c>
    </row>
    <row r="364" spans="2:5">
      <c r="B364" s="365" t="s">
        <v>3822</v>
      </c>
      <c r="C364" s="365" t="s">
        <v>2185</v>
      </c>
      <c r="D364" s="365" t="s">
        <v>3196</v>
      </c>
      <c r="E364" s="366">
        <v>10962</v>
      </c>
    </row>
    <row r="365" spans="2:5">
      <c r="B365" s="8" t="s">
        <v>3823</v>
      </c>
      <c r="C365" s="8" t="s">
        <v>2143</v>
      </c>
      <c r="D365" s="8" t="s">
        <v>3194</v>
      </c>
      <c r="E365" s="367">
        <v>10532</v>
      </c>
    </row>
    <row r="366" spans="2:5">
      <c r="B366" s="365" t="s">
        <v>197</v>
      </c>
      <c r="C366" s="365" t="s">
        <v>2178</v>
      </c>
      <c r="D366" s="365" t="s">
        <v>3826</v>
      </c>
      <c r="E366" s="366">
        <v>10301</v>
      </c>
    </row>
    <row r="367" spans="2:5">
      <c r="B367" s="8" t="s">
        <v>110</v>
      </c>
      <c r="C367" s="8" t="s">
        <v>2183</v>
      </c>
      <c r="D367" s="8" t="s">
        <v>3150</v>
      </c>
      <c r="E367" s="367">
        <v>10268</v>
      </c>
    </row>
    <row r="368" spans="2:5">
      <c r="B368" s="365" t="s">
        <v>527</v>
      </c>
      <c r="C368" s="365" t="s">
        <v>2178</v>
      </c>
      <c r="D368" s="365" t="s">
        <v>3839</v>
      </c>
      <c r="E368" s="366">
        <v>10000</v>
      </c>
    </row>
    <row r="369" spans="2:5">
      <c r="B369" s="8" t="s">
        <v>818</v>
      </c>
      <c r="C369" s="8" t="s">
        <v>2182</v>
      </c>
      <c r="D369" s="8" t="s">
        <v>3150</v>
      </c>
      <c r="E369" s="367">
        <v>9660</v>
      </c>
    </row>
    <row r="370" spans="2:5">
      <c r="B370" s="365" t="s">
        <v>204</v>
      </c>
      <c r="C370" s="365" t="s">
        <v>2178</v>
      </c>
      <c r="D370" s="365" t="s">
        <v>3153</v>
      </c>
      <c r="E370" s="366">
        <v>9252</v>
      </c>
    </row>
    <row r="371" spans="2:5">
      <c r="B371" s="8" t="s">
        <v>1871</v>
      </c>
      <c r="C371" s="8" t="s">
        <v>2146</v>
      </c>
      <c r="D371" s="8" t="s">
        <v>3830</v>
      </c>
      <c r="E371" s="367">
        <v>9239</v>
      </c>
    </row>
    <row r="372" spans="2:5">
      <c r="B372" s="365" t="s">
        <v>2059</v>
      </c>
      <c r="C372" s="365" t="s">
        <v>2143</v>
      </c>
      <c r="D372" s="365" t="s">
        <v>3193</v>
      </c>
      <c r="E372" s="366">
        <v>9150</v>
      </c>
    </row>
    <row r="373" spans="2:5">
      <c r="B373" s="8" t="s">
        <v>1862</v>
      </c>
      <c r="C373" s="8" t="s">
        <v>2182</v>
      </c>
      <c r="D373" s="8" t="s">
        <v>3150</v>
      </c>
      <c r="E373" s="367">
        <v>9120</v>
      </c>
    </row>
    <row r="374" spans="2:5">
      <c r="B374" s="365" t="s">
        <v>1953</v>
      </c>
      <c r="C374" s="365" t="s">
        <v>2143</v>
      </c>
      <c r="D374" s="365" t="s">
        <v>3839</v>
      </c>
      <c r="E374" s="366">
        <v>8985</v>
      </c>
    </row>
    <row r="375" spans="2:5">
      <c r="B375" s="8" t="s">
        <v>792</v>
      </c>
      <c r="C375" s="8" t="s">
        <v>2182</v>
      </c>
      <c r="D375" s="8" t="s">
        <v>3150</v>
      </c>
      <c r="E375" s="367">
        <v>8540</v>
      </c>
    </row>
    <row r="376" spans="2:5">
      <c r="B376" s="365" t="s">
        <v>160</v>
      </c>
      <c r="C376" s="365" t="s">
        <v>2178</v>
      </c>
      <c r="D376" s="365" t="s">
        <v>3196</v>
      </c>
      <c r="E376" s="366">
        <v>8495</v>
      </c>
    </row>
    <row r="377" spans="2:5">
      <c r="B377" s="8" t="s">
        <v>1834</v>
      </c>
      <c r="C377" s="8" t="s">
        <v>2185</v>
      </c>
      <c r="D377" s="8" t="s">
        <v>3150</v>
      </c>
      <c r="E377" s="367">
        <v>8157</v>
      </c>
    </row>
    <row r="378" spans="2:5">
      <c r="B378" s="365" t="s">
        <v>189</v>
      </c>
      <c r="C378" s="365" t="s">
        <v>2185</v>
      </c>
      <c r="D378" s="365" t="s">
        <v>3150</v>
      </c>
      <c r="E378" s="366">
        <v>7779</v>
      </c>
    </row>
    <row r="379" spans="2:5">
      <c r="B379" s="8" t="s">
        <v>1852</v>
      </c>
      <c r="C379" s="8" t="s">
        <v>2178</v>
      </c>
      <c r="D379" s="8" t="s">
        <v>3153</v>
      </c>
      <c r="E379" s="367">
        <v>7708</v>
      </c>
    </row>
    <row r="380" spans="2:5">
      <c r="B380" s="365" t="s">
        <v>1832</v>
      </c>
      <c r="C380" s="365" t="s">
        <v>2178</v>
      </c>
      <c r="D380" s="365" t="s">
        <v>3153</v>
      </c>
      <c r="E380" s="366">
        <v>7667</v>
      </c>
    </row>
    <row r="381" spans="2:5">
      <c r="B381" s="8" t="s">
        <v>1869</v>
      </c>
      <c r="C381" s="8" t="s">
        <v>2146</v>
      </c>
      <c r="D381" s="8" t="s">
        <v>3830</v>
      </c>
      <c r="E381" s="367">
        <v>7410</v>
      </c>
    </row>
    <row r="382" spans="2:5">
      <c r="B382" s="365" t="s">
        <v>139</v>
      </c>
      <c r="C382" s="365" t="s">
        <v>2182</v>
      </c>
      <c r="D382" s="365" t="s">
        <v>3150</v>
      </c>
      <c r="E382" s="366">
        <v>7320</v>
      </c>
    </row>
    <row r="383" spans="2:5">
      <c r="B383" s="8" t="s">
        <v>177</v>
      </c>
      <c r="C383" s="8" t="s">
        <v>2146</v>
      </c>
      <c r="D383" s="8" t="s">
        <v>3215</v>
      </c>
      <c r="E383" s="367">
        <v>7232</v>
      </c>
    </row>
    <row r="384" spans="2:5">
      <c r="B384" s="365" t="s">
        <v>109</v>
      </c>
      <c r="C384" s="365" t="s">
        <v>2185</v>
      </c>
      <c r="D384" s="365" t="s">
        <v>3150</v>
      </c>
      <c r="E384" s="366">
        <v>6811</v>
      </c>
    </row>
    <row r="385" spans="2:5">
      <c r="B385" s="8" t="s">
        <v>792</v>
      </c>
      <c r="C385" s="8" t="s">
        <v>2183</v>
      </c>
      <c r="D385" s="8" t="s">
        <v>3150</v>
      </c>
      <c r="E385" s="367">
        <v>6616</v>
      </c>
    </row>
    <row r="386" spans="2:5">
      <c r="B386" s="365" t="s">
        <v>1963</v>
      </c>
      <c r="C386" s="365" t="s">
        <v>2183</v>
      </c>
      <c r="D386" s="365" t="s">
        <v>3150</v>
      </c>
      <c r="E386" s="366">
        <v>6500</v>
      </c>
    </row>
    <row r="387" spans="2:5">
      <c r="B387" s="8" t="s">
        <v>1095</v>
      </c>
      <c r="C387" s="8" t="s">
        <v>2143</v>
      </c>
      <c r="D387" s="8" t="s">
        <v>3150</v>
      </c>
      <c r="E387" s="367">
        <v>6483</v>
      </c>
    </row>
    <row r="388" spans="2:5">
      <c r="B388" s="365" t="s">
        <v>1880</v>
      </c>
      <c r="C388" s="365" t="s">
        <v>2148</v>
      </c>
      <c r="D388" s="365" t="s">
        <v>3826</v>
      </c>
      <c r="E388" s="366">
        <v>6290</v>
      </c>
    </row>
    <row r="389" spans="2:5">
      <c r="B389" s="8" t="s">
        <v>227</v>
      </c>
      <c r="C389" s="8" t="s">
        <v>2178</v>
      </c>
      <c r="D389" s="8" t="s">
        <v>3153</v>
      </c>
      <c r="E389" s="367">
        <v>6224</v>
      </c>
    </row>
    <row r="390" spans="2:5">
      <c r="B390" s="365" t="s">
        <v>1894</v>
      </c>
      <c r="C390" s="365" t="s">
        <v>2180</v>
      </c>
      <c r="D390" s="365" t="s">
        <v>3150</v>
      </c>
      <c r="E390" s="366">
        <v>6081</v>
      </c>
    </row>
    <row r="391" spans="2:5">
      <c r="B391" s="8" t="s">
        <v>182</v>
      </c>
      <c r="C391" s="8" t="s">
        <v>2185</v>
      </c>
      <c r="D391" s="8" t="s">
        <v>3150</v>
      </c>
      <c r="E391" s="367">
        <v>5996</v>
      </c>
    </row>
    <row r="392" spans="2:5">
      <c r="B392" s="365" t="s">
        <v>28</v>
      </c>
      <c r="C392" s="365" t="s">
        <v>2178</v>
      </c>
      <c r="D392" s="365" t="s">
        <v>3839</v>
      </c>
      <c r="E392" s="366">
        <v>5934</v>
      </c>
    </row>
    <row r="393" spans="2:5">
      <c r="B393" s="8" t="s">
        <v>1849</v>
      </c>
      <c r="C393" s="8" t="s">
        <v>2178</v>
      </c>
      <c r="D393" s="8" t="s">
        <v>3150</v>
      </c>
      <c r="E393" s="367">
        <v>5628</v>
      </c>
    </row>
    <row r="394" spans="2:5">
      <c r="B394" s="365" t="s">
        <v>2059</v>
      </c>
      <c r="C394" s="365" t="s">
        <v>2146</v>
      </c>
      <c r="D394" s="365" t="s">
        <v>3215</v>
      </c>
      <c r="E394" s="366">
        <v>5280</v>
      </c>
    </row>
    <row r="395" spans="2:5">
      <c r="B395" s="8" t="s">
        <v>110</v>
      </c>
      <c r="C395" s="8" t="s">
        <v>2185</v>
      </c>
      <c r="D395" s="8" t="s">
        <v>3150</v>
      </c>
      <c r="E395" s="367">
        <v>5280</v>
      </c>
    </row>
    <row r="396" spans="2:5">
      <c r="B396" s="365" t="s">
        <v>2022</v>
      </c>
      <c r="C396" s="365" t="s">
        <v>2178</v>
      </c>
      <c r="D396" s="365" t="s">
        <v>3150</v>
      </c>
      <c r="E396" s="366">
        <v>5245</v>
      </c>
    </row>
    <row r="397" spans="2:5">
      <c r="B397" s="8" t="s">
        <v>2023</v>
      </c>
      <c r="C397" s="8" t="s">
        <v>2185</v>
      </c>
      <c r="D397" s="8" t="s">
        <v>3150</v>
      </c>
      <c r="E397" s="367">
        <v>5144</v>
      </c>
    </row>
    <row r="398" spans="2:5">
      <c r="B398" s="365" t="s">
        <v>109</v>
      </c>
      <c r="C398" s="365" t="s">
        <v>2178</v>
      </c>
      <c r="D398" s="365" t="s">
        <v>3150</v>
      </c>
      <c r="E398" s="366">
        <v>5114</v>
      </c>
    </row>
    <row r="399" spans="2:5">
      <c r="B399" s="8" t="s">
        <v>717</v>
      </c>
      <c r="C399" s="8" t="s">
        <v>2189</v>
      </c>
      <c r="D399" s="8" t="s">
        <v>3150</v>
      </c>
      <c r="E399" s="367">
        <v>5000</v>
      </c>
    </row>
    <row r="400" spans="2:5">
      <c r="B400" s="365" t="s">
        <v>1862</v>
      </c>
      <c r="C400" s="365" t="s">
        <v>2183</v>
      </c>
      <c r="D400" s="365" t="s">
        <v>3150</v>
      </c>
      <c r="E400" s="366">
        <v>5000</v>
      </c>
    </row>
    <row r="401" spans="2:5">
      <c r="B401" s="8" t="s">
        <v>1837</v>
      </c>
      <c r="C401" s="8" t="s">
        <v>2182</v>
      </c>
      <c r="D401" s="8" t="s">
        <v>3150</v>
      </c>
      <c r="E401" s="367">
        <v>4980</v>
      </c>
    </row>
    <row r="402" spans="2:5">
      <c r="B402" s="365" t="s">
        <v>1911</v>
      </c>
      <c r="C402" s="365" t="s">
        <v>2178</v>
      </c>
      <c r="D402" s="365" t="s">
        <v>3150</v>
      </c>
      <c r="E402" s="366">
        <v>4954</v>
      </c>
    </row>
    <row r="403" spans="2:5">
      <c r="B403" s="8" t="s">
        <v>126</v>
      </c>
      <c r="C403" s="8" t="s">
        <v>2178</v>
      </c>
      <c r="D403" s="8" t="s">
        <v>3150</v>
      </c>
      <c r="E403" s="367">
        <v>4906</v>
      </c>
    </row>
    <row r="404" spans="2:5">
      <c r="B404" s="365" t="s">
        <v>2025</v>
      </c>
      <c r="C404" s="365" t="s">
        <v>2178</v>
      </c>
      <c r="D404" s="365" t="s">
        <v>3150</v>
      </c>
      <c r="E404" s="366">
        <v>4895</v>
      </c>
    </row>
    <row r="405" spans="2:5">
      <c r="B405" s="8" t="s">
        <v>189</v>
      </c>
      <c r="C405" s="8" t="s">
        <v>2182</v>
      </c>
      <c r="D405" s="8" t="s">
        <v>3150</v>
      </c>
      <c r="E405" s="367">
        <v>4860</v>
      </c>
    </row>
    <row r="406" spans="2:5">
      <c r="B406" s="365" t="s">
        <v>2026</v>
      </c>
      <c r="C406" s="365" t="s">
        <v>2178</v>
      </c>
      <c r="D406" s="365" t="s">
        <v>3150</v>
      </c>
      <c r="E406" s="366">
        <v>4858</v>
      </c>
    </row>
    <row r="407" spans="2:5">
      <c r="B407" s="8" t="s">
        <v>126</v>
      </c>
      <c r="C407" s="8" t="s">
        <v>2182</v>
      </c>
      <c r="D407" s="8" t="s">
        <v>3150</v>
      </c>
      <c r="E407" s="367">
        <v>4760</v>
      </c>
    </row>
    <row r="408" spans="2:5">
      <c r="B408" s="365" t="s">
        <v>83</v>
      </c>
      <c r="C408" s="365" t="s">
        <v>2178</v>
      </c>
      <c r="D408" s="365" t="s">
        <v>3154</v>
      </c>
      <c r="E408" s="366">
        <v>4674</v>
      </c>
    </row>
    <row r="409" spans="2:5">
      <c r="B409" s="8" t="s">
        <v>28</v>
      </c>
      <c r="C409" s="8" t="s">
        <v>2178</v>
      </c>
      <c r="D409" s="8" t="s">
        <v>3150</v>
      </c>
      <c r="E409" s="367">
        <v>4672</v>
      </c>
    </row>
    <row r="410" spans="2:5">
      <c r="B410" s="365" t="s">
        <v>158</v>
      </c>
      <c r="C410" s="365" t="s">
        <v>2182</v>
      </c>
      <c r="D410" s="365" t="s">
        <v>3150</v>
      </c>
      <c r="E410" s="366">
        <v>4440</v>
      </c>
    </row>
    <row r="411" spans="2:5">
      <c r="B411" s="8" t="s">
        <v>818</v>
      </c>
      <c r="C411" s="8" t="s">
        <v>2185</v>
      </c>
      <c r="D411" s="8" t="s">
        <v>3150</v>
      </c>
      <c r="E411" s="367">
        <v>4257</v>
      </c>
    </row>
    <row r="412" spans="2:5">
      <c r="B412" s="365" t="s">
        <v>197</v>
      </c>
      <c r="C412" s="365" t="s">
        <v>2185</v>
      </c>
      <c r="D412" s="365" t="s">
        <v>3150</v>
      </c>
      <c r="E412" s="366">
        <v>4221</v>
      </c>
    </row>
    <row r="413" spans="2:5">
      <c r="B413" s="8" t="s">
        <v>2071</v>
      </c>
      <c r="C413" s="8" t="s">
        <v>2146</v>
      </c>
      <c r="D413" s="8" t="s">
        <v>3831</v>
      </c>
      <c r="E413" s="367">
        <v>4214</v>
      </c>
    </row>
    <row r="414" spans="2:5">
      <c r="B414" s="365" t="s">
        <v>1837</v>
      </c>
      <c r="C414" s="365" t="s">
        <v>2143</v>
      </c>
      <c r="D414" s="365" t="s">
        <v>3153</v>
      </c>
      <c r="E414" s="366">
        <v>4109</v>
      </c>
    </row>
    <row r="415" spans="2:5">
      <c r="B415" s="8" t="s">
        <v>103</v>
      </c>
      <c r="C415" s="8" t="s">
        <v>2178</v>
      </c>
      <c r="D415" s="8" t="s">
        <v>3150</v>
      </c>
      <c r="E415" s="367">
        <v>4037</v>
      </c>
    </row>
    <row r="416" spans="2:5">
      <c r="B416" s="365" t="s">
        <v>1880</v>
      </c>
      <c r="C416" s="365" t="s">
        <v>2143</v>
      </c>
      <c r="D416" s="365" t="s">
        <v>3839</v>
      </c>
      <c r="E416" s="366">
        <v>4031</v>
      </c>
    </row>
    <row r="417" spans="2:5">
      <c r="B417" s="8" t="s">
        <v>1845</v>
      </c>
      <c r="C417" s="8" t="s">
        <v>2185</v>
      </c>
      <c r="D417" s="8" t="s">
        <v>3150</v>
      </c>
      <c r="E417" s="367">
        <v>4004</v>
      </c>
    </row>
    <row r="418" spans="2:5">
      <c r="B418" s="365" t="s">
        <v>1931</v>
      </c>
      <c r="C418" s="365" t="s">
        <v>2178</v>
      </c>
      <c r="D418" s="365" t="s">
        <v>3150</v>
      </c>
      <c r="E418" s="366">
        <v>3997</v>
      </c>
    </row>
    <row r="419" spans="2:5">
      <c r="B419" s="8" t="s">
        <v>1904</v>
      </c>
      <c r="C419" s="8" t="s">
        <v>2143</v>
      </c>
      <c r="D419" s="8" t="s">
        <v>3193</v>
      </c>
      <c r="E419" s="367">
        <v>3947</v>
      </c>
    </row>
    <row r="420" spans="2:5">
      <c r="B420" s="365" t="s">
        <v>1830</v>
      </c>
      <c r="C420" s="365" t="s">
        <v>2185</v>
      </c>
      <c r="D420" s="365" t="s">
        <v>3150</v>
      </c>
      <c r="E420" s="366">
        <v>3892</v>
      </c>
    </row>
    <row r="421" spans="2:5">
      <c r="B421" s="8" t="s">
        <v>36</v>
      </c>
      <c r="C421" s="8" t="s">
        <v>2185</v>
      </c>
      <c r="D421" s="8" t="s">
        <v>3150</v>
      </c>
      <c r="E421" s="367">
        <v>3853</v>
      </c>
    </row>
    <row r="422" spans="2:5">
      <c r="B422" s="365" t="s">
        <v>1904</v>
      </c>
      <c r="C422" s="365" t="s">
        <v>2146</v>
      </c>
      <c r="D422" s="365" t="s">
        <v>3830</v>
      </c>
      <c r="E422" s="366">
        <v>3741</v>
      </c>
    </row>
    <row r="423" spans="2:5">
      <c r="B423" s="8" t="s">
        <v>459</v>
      </c>
      <c r="C423" s="8" t="s">
        <v>2178</v>
      </c>
      <c r="D423" s="8" t="s">
        <v>3150</v>
      </c>
      <c r="E423" s="367">
        <v>3701</v>
      </c>
    </row>
    <row r="424" spans="2:5">
      <c r="B424" s="365" t="s">
        <v>721</v>
      </c>
      <c r="C424" s="365" t="s">
        <v>2185</v>
      </c>
      <c r="D424" s="365" t="s">
        <v>3150</v>
      </c>
      <c r="E424" s="366">
        <v>3526</v>
      </c>
    </row>
    <row r="425" spans="2:5">
      <c r="B425" s="8" t="s">
        <v>717</v>
      </c>
      <c r="C425" s="8" t="s">
        <v>2185</v>
      </c>
      <c r="D425" s="8" t="s">
        <v>3150</v>
      </c>
      <c r="E425" s="367">
        <v>3471</v>
      </c>
    </row>
    <row r="426" spans="2:5">
      <c r="B426" s="365" t="s">
        <v>197</v>
      </c>
      <c r="C426" s="365" t="s">
        <v>2189</v>
      </c>
      <c r="D426" s="365" t="s">
        <v>3826</v>
      </c>
      <c r="E426" s="366">
        <v>3465</v>
      </c>
    </row>
    <row r="427" spans="2:5">
      <c r="B427" s="8" t="s">
        <v>1887</v>
      </c>
      <c r="C427" s="8" t="s">
        <v>2143</v>
      </c>
      <c r="D427" s="8" t="s">
        <v>3839</v>
      </c>
      <c r="E427" s="367">
        <v>3436</v>
      </c>
    </row>
    <row r="428" spans="2:5">
      <c r="B428" s="365" t="s">
        <v>1887</v>
      </c>
      <c r="C428" s="365" t="s">
        <v>2143</v>
      </c>
      <c r="D428" s="365" t="s">
        <v>3154</v>
      </c>
      <c r="E428" s="366">
        <v>3367</v>
      </c>
    </row>
    <row r="429" spans="2:5">
      <c r="B429" s="8" t="s">
        <v>1880</v>
      </c>
      <c r="C429" s="8" t="s">
        <v>2143</v>
      </c>
      <c r="D429" s="8" t="s">
        <v>3150</v>
      </c>
      <c r="E429" s="367">
        <v>3332</v>
      </c>
    </row>
    <row r="430" spans="2:5">
      <c r="B430" s="365" t="s">
        <v>1869</v>
      </c>
      <c r="C430" s="365" t="s">
        <v>2146</v>
      </c>
      <c r="D430" s="365" t="s">
        <v>3829</v>
      </c>
      <c r="E430" s="366">
        <v>3205</v>
      </c>
    </row>
    <row r="431" spans="2:5">
      <c r="B431" s="8" t="s">
        <v>197</v>
      </c>
      <c r="C431" s="8" t="s">
        <v>2147</v>
      </c>
      <c r="D431" s="8" t="s">
        <v>3150</v>
      </c>
      <c r="E431" s="367">
        <v>3120</v>
      </c>
    </row>
    <row r="432" spans="2:5">
      <c r="B432" s="365" t="s">
        <v>1880</v>
      </c>
      <c r="C432" s="365" t="s">
        <v>2147</v>
      </c>
      <c r="D432" s="365" t="s">
        <v>3826</v>
      </c>
      <c r="E432" s="366">
        <v>2950</v>
      </c>
    </row>
    <row r="433" spans="2:5">
      <c r="B433" s="8" t="s">
        <v>1865</v>
      </c>
      <c r="C433" s="8" t="s">
        <v>2146</v>
      </c>
      <c r="D433" s="8" t="s">
        <v>3215</v>
      </c>
      <c r="E433" s="367">
        <v>2889</v>
      </c>
    </row>
    <row r="434" spans="2:5">
      <c r="B434" s="365" t="s">
        <v>2760</v>
      </c>
      <c r="C434" s="365" t="s">
        <v>2143</v>
      </c>
      <c r="D434" s="365" t="s">
        <v>3154</v>
      </c>
      <c r="E434" s="366">
        <v>2842</v>
      </c>
    </row>
    <row r="435" spans="2:5">
      <c r="B435" s="8" t="s">
        <v>717</v>
      </c>
      <c r="C435" s="8" t="s">
        <v>2182</v>
      </c>
      <c r="D435" s="8" t="s">
        <v>3150</v>
      </c>
      <c r="E435" s="367">
        <v>2840</v>
      </c>
    </row>
    <row r="436" spans="2:5">
      <c r="B436" s="365" t="s">
        <v>198</v>
      </c>
      <c r="C436" s="365" t="s">
        <v>2178</v>
      </c>
      <c r="D436" s="365" t="s">
        <v>3150</v>
      </c>
      <c r="E436" s="366">
        <v>2775</v>
      </c>
    </row>
    <row r="437" spans="2:5">
      <c r="B437" s="8" t="s">
        <v>2488</v>
      </c>
      <c r="C437" s="8" t="s">
        <v>2178</v>
      </c>
      <c r="D437" s="8" t="s">
        <v>3150</v>
      </c>
      <c r="E437" s="367">
        <v>2775</v>
      </c>
    </row>
    <row r="438" spans="2:5">
      <c r="B438" s="365" t="s">
        <v>1833</v>
      </c>
      <c r="C438" s="365" t="s">
        <v>2178</v>
      </c>
      <c r="D438" s="365" t="s">
        <v>3153</v>
      </c>
      <c r="E438" s="366">
        <v>2762</v>
      </c>
    </row>
    <row r="439" spans="2:5">
      <c r="B439" s="8" t="s">
        <v>1887</v>
      </c>
      <c r="C439" s="8" t="s">
        <v>2146</v>
      </c>
      <c r="D439" s="8" t="s">
        <v>3830</v>
      </c>
      <c r="E439" s="367">
        <v>2746</v>
      </c>
    </row>
    <row r="440" spans="2:5">
      <c r="B440" s="365" t="s">
        <v>189</v>
      </c>
      <c r="C440" s="365" t="s">
        <v>2183</v>
      </c>
      <c r="D440" s="365" t="s">
        <v>3150</v>
      </c>
      <c r="E440" s="366">
        <v>2687</v>
      </c>
    </row>
    <row r="441" spans="2:5">
      <c r="B441" s="8" t="s">
        <v>1972</v>
      </c>
      <c r="C441" s="8" t="s">
        <v>2143</v>
      </c>
      <c r="D441" s="8" t="s">
        <v>3154</v>
      </c>
      <c r="E441" s="367">
        <v>2682</v>
      </c>
    </row>
    <row r="442" spans="2:5">
      <c r="B442" s="365" t="s">
        <v>1924</v>
      </c>
      <c r="C442" s="365" t="s">
        <v>2147</v>
      </c>
      <c r="D442" s="365" t="s">
        <v>3150</v>
      </c>
      <c r="E442" s="366">
        <v>2672</v>
      </c>
    </row>
    <row r="443" spans="2:5">
      <c r="B443" s="8" t="s">
        <v>1884</v>
      </c>
      <c r="C443" s="8" t="s">
        <v>2146</v>
      </c>
      <c r="D443" s="8" t="s">
        <v>3830</v>
      </c>
      <c r="E443" s="367">
        <v>2588</v>
      </c>
    </row>
    <row r="444" spans="2:5">
      <c r="B444" s="365" t="s">
        <v>28</v>
      </c>
      <c r="C444" s="365" t="s">
        <v>2178</v>
      </c>
      <c r="D444" s="365" t="s">
        <v>3153</v>
      </c>
      <c r="E444" s="366">
        <v>2415</v>
      </c>
    </row>
    <row r="445" spans="2:5">
      <c r="B445" s="8" t="s">
        <v>827</v>
      </c>
      <c r="C445" s="8" t="s">
        <v>2182</v>
      </c>
      <c r="D445" s="8" t="s">
        <v>3150</v>
      </c>
      <c r="E445" s="367">
        <v>2400</v>
      </c>
    </row>
    <row r="446" spans="2:5">
      <c r="B446" s="365" t="s">
        <v>103</v>
      </c>
      <c r="C446" s="365" t="s">
        <v>2185</v>
      </c>
      <c r="D446" s="365" t="s">
        <v>3150</v>
      </c>
      <c r="E446" s="366">
        <v>2326</v>
      </c>
    </row>
    <row r="447" spans="2:5">
      <c r="B447" s="8" t="s">
        <v>459</v>
      </c>
      <c r="C447" s="8" t="s">
        <v>2143</v>
      </c>
      <c r="D447" s="8" t="s">
        <v>3150</v>
      </c>
      <c r="E447" s="367">
        <v>2164</v>
      </c>
    </row>
    <row r="448" spans="2:5">
      <c r="B448" s="365" t="s">
        <v>175</v>
      </c>
      <c r="C448" s="365" t="s">
        <v>2185</v>
      </c>
      <c r="D448" s="365" t="s">
        <v>3150</v>
      </c>
      <c r="E448" s="366">
        <v>2085</v>
      </c>
    </row>
    <row r="449" spans="2:5">
      <c r="B449" s="8" t="s">
        <v>1894</v>
      </c>
      <c r="C449" s="8" t="s">
        <v>2182</v>
      </c>
      <c r="D449" s="8" t="s">
        <v>3150</v>
      </c>
      <c r="E449" s="367">
        <v>2040</v>
      </c>
    </row>
    <row r="450" spans="2:5">
      <c r="B450" s="365" t="s">
        <v>3842</v>
      </c>
      <c r="C450" s="365" t="s">
        <v>3841</v>
      </c>
      <c r="D450" s="365" t="s">
        <v>3154</v>
      </c>
      <c r="E450" s="366">
        <v>2013</v>
      </c>
    </row>
    <row r="451" spans="2:5">
      <c r="B451" s="8" t="s">
        <v>532</v>
      </c>
      <c r="C451" s="8" t="s">
        <v>2185</v>
      </c>
      <c r="D451" s="8" t="s">
        <v>3150</v>
      </c>
      <c r="E451" s="367">
        <v>1900</v>
      </c>
    </row>
    <row r="452" spans="2:5">
      <c r="B452" s="365" t="s">
        <v>62</v>
      </c>
      <c r="C452" s="365" t="s">
        <v>2183</v>
      </c>
      <c r="D452" s="365" t="s">
        <v>3150</v>
      </c>
      <c r="E452" s="366">
        <v>1800</v>
      </c>
    </row>
    <row r="453" spans="2:5">
      <c r="B453" s="8" t="s">
        <v>1991</v>
      </c>
      <c r="C453" s="8" t="s">
        <v>2178</v>
      </c>
      <c r="D453" s="8" t="s">
        <v>3154</v>
      </c>
      <c r="E453" s="367">
        <v>1767</v>
      </c>
    </row>
    <row r="454" spans="2:5">
      <c r="B454" s="365" t="s">
        <v>158</v>
      </c>
      <c r="C454" s="365" t="s">
        <v>2183</v>
      </c>
      <c r="D454" s="365" t="s">
        <v>3150</v>
      </c>
      <c r="E454" s="366">
        <v>1720</v>
      </c>
    </row>
    <row r="455" spans="2:5">
      <c r="B455" s="8" t="s">
        <v>182</v>
      </c>
      <c r="C455" s="8" t="s">
        <v>2178</v>
      </c>
      <c r="D455" s="8" t="s">
        <v>3150</v>
      </c>
      <c r="E455" s="367">
        <v>1682</v>
      </c>
    </row>
    <row r="456" spans="2:5">
      <c r="B456" s="365" t="s">
        <v>1862</v>
      </c>
      <c r="C456" s="365" t="s">
        <v>2185</v>
      </c>
      <c r="D456" s="365" t="s">
        <v>3150</v>
      </c>
      <c r="E456" s="366">
        <v>1538</v>
      </c>
    </row>
    <row r="457" spans="2:5">
      <c r="B457" s="8" t="s">
        <v>177</v>
      </c>
      <c r="C457" s="8" t="s">
        <v>2185</v>
      </c>
      <c r="D457" s="8" t="s">
        <v>3150</v>
      </c>
      <c r="E457" s="367">
        <v>1527</v>
      </c>
    </row>
    <row r="458" spans="2:5">
      <c r="B458" s="365" t="s">
        <v>1978</v>
      </c>
      <c r="C458" s="365" t="s">
        <v>2178</v>
      </c>
      <c r="D458" s="365" t="s">
        <v>3150</v>
      </c>
      <c r="E458" s="366">
        <v>1514</v>
      </c>
    </row>
    <row r="459" spans="2:5">
      <c r="B459" s="8" t="s">
        <v>440</v>
      </c>
      <c r="C459" s="8" t="s">
        <v>2178</v>
      </c>
      <c r="D459" s="8" t="s">
        <v>3150</v>
      </c>
      <c r="E459" s="367">
        <v>1430</v>
      </c>
    </row>
    <row r="460" spans="2:5">
      <c r="B460" s="365" t="s">
        <v>119</v>
      </c>
      <c r="C460" s="365" t="s">
        <v>2178</v>
      </c>
      <c r="D460" s="365" t="s">
        <v>3150</v>
      </c>
      <c r="E460" s="366">
        <v>1430</v>
      </c>
    </row>
    <row r="461" spans="2:5">
      <c r="B461" s="8" t="s">
        <v>792</v>
      </c>
      <c r="C461" s="8" t="s">
        <v>2185</v>
      </c>
      <c r="D461" s="8" t="s">
        <v>3150</v>
      </c>
      <c r="E461" s="367">
        <v>1405</v>
      </c>
    </row>
    <row r="462" spans="2:5">
      <c r="B462" s="365" t="s">
        <v>1846</v>
      </c>
      <c r="C462" s="365" t="s">
        <v>2185</v>
      </c>
      <c r="D462" s="365" t="s">
        <v>3150</v>
      </c>
      <c r="E462" s="366">
        <v>1390</v>
      </c>
    </row>
    <row r="463" spans="2:5">
      <c r="B463" s="8" t="s">
        <v>197</v>
      </c>
      <c r="C463" s="8" t="s">
        <v>2183</v>
      </c>
      <c r="D463" s="8" t="s">
        <v>3150</v>
      </c>
      <c r="E463" s="367">
        <v>1351</v>
      </c>
    </row>
    <row r="464" spans="2:5">
      <c r="B464" s="365" t="s">
        <v>2077</v>
      </c>
      <c r="C464" s="365" t="s">
        <v>2178</v>
      </c>
      <c r="D464" s="365" t="s">
        <v>3150</v>
      </c>
      <c r="E464" s="366">
        <v>1332</v>
      </c>
    </row>
    <row r="465" spans="2:5">
      <c r="B465" s="8" t="s">
        <v>1908</v>
      </c>
      <c r="C465" s="8" t="s">
        <v>2146</v>
      </c>
      <c r="D465" s="8" t="s">
        <v>3830</v>
      </c>
      <c r="E465" s="367">
        <v>1297</v>
      </c>
    </row>
    <row r="466" spans="2:5">
      <c r="B466" s="365" t="s">
        <v>2002</v>
      </c>
      <c r="C466" s="365" t="s">
        <v>2178</v>
      </c>
      <c r="D466" s="365" t="s">
        <v>3150</v>
      </c>
      <c r="E466" s="366">
        <v>1235</v>
      </c>
    </row>
    <row r="467" spans="2:5">
      <c r="B467" s="8" t="s">
        <v>1866</v>
      </c>
      <c r="C467" s="8" t="s">
        <v>2185</v>
      </c>
      <c r="D467" s="8" t="s">
        <v>3150</v>
      </c>
      <c r="E467" s="367">
        <v>1211</v>
      </c>
    </row>
    <row r="468" spans="2:5">
      <c r="B468" s="365" t="s">
        <v>1911</v>
      </c>
      <c r="C468" s="365" t="s">
        <v>2178</v>
      </c>
      <c r="D468" s="365" t="s">
        <v>3839</v>
      </c>
      <c r="E468" s="366">
        <v>1147</v>
      </c>
    </row>
    <row r="469" spans="2:5">
      <c r="B469" s="8" t="s">
        <v>102</v>
      </c>
      <c r="C469" s="8" t="s">
        <v>2178</v>
      </c>
      <c r="D469" s="8" t="s">
        <v>3150</v>
      </c>
      <c r="E469" s="367">
        <v>1094</v>
      </c>
    </row>
    <row r="470" spans="2:5">
      <c r="B470" s="365" t="s">
        <v>1848</v>
      </c>
      <c r="C470" s="365" t="s">
        <v>2178</v>
      </c>
      <c r="D470" s="365" t="s">
        <v>3153</v>
      </c>
      <c r="E470" s="366">
        <v>1066</v>
      </c>
    </row>
    <row r="471" spans="2:5">
      <c r="B471" s="8" t="s">
        <v>1829</v>
      </c>
      <c r="C471" s="8" t="s">
        <v>2185</v>
      </c>
      <c r="D471" s="8" t="s">
        <v>3150</v>
      </c>
      <c r="E471" s="367">
        <v>973</v>
      </c>
    </row>
    <row r="472" spans="2:5">
      <c r="B472" s="365" t="s">
        <v>2066</v>
      </c>
      <c r="C472" s="365" t="s">
        <v>2185</v>
      </c>
      <c r="D472" s="365" t="s">
        <v>3150</v>
      </c>
      <c r="E472" s="366">
        <v>926</v>
      </c>
    </row>
    <row r="473" spans="2:5">
      <c r="B473" s="8" t="s">
        <v>792</v>
      </c>
      <c r="C473" s="8" t="s">
        <v>2178</v>
      </c>
      <c r="D473" s="8" t="s">
        <v>3153</v>
      </c>
      <c r="E473" s="367">
        <v>926</v>
      </c>
    </row>
    <row r="474" spans="2:5">
      <c r="B474" s="365" t="s">
        <v>189</v>
      </c>
      <c r="C474" s="365" t="s">
        <v>2178</v>
      </c>
      <c r="D474" s="365" t="s">
        <v>3153</v>
      </c>
      <c r="E474" s="366">
        <v>842</v>
      </c>
    </row>
    <row r="475" spans="2:5">
      <c r="B475" s="8" t="s">
        <v>1857</v>
      </c>
      <c r="C475" s="8" t="s">
        <v>2178</v>
      </c>
      <c r="D475" s="8" t="s">
        <v>3153</v>
      </c>
      <c r="E475" s="367">
        <v>841</v>
      </c>
    </row>
    <row r="476" spans="2:5">
      <c r="B476" s="365" t="s">
        <v>95</v>
      </c>
      <c r="C476" s="365" t="s">
        <v>2185</v>
      </c>
      <c r="D476" s="365" t="s">
        <v>3150</v>
      </c>
      <c r="E476" s="366">
        <v>834</v>
      </c>
    </row>
    <row r="477" spans="2:5">
      <c r="B477" s="8" t="s">
        <v>1863</v>
      </c>
      <c r="C477" s="8" t="s">
        <v>2185</v>
      </c>
      <c r="D477" s="8" t="s">
        <v>3150</v>
      </c>
      <c r="E477" s="367">
        <v>834</v>
      </c>
    </row>
    <row r="478" spans="2:5">
      <c r="B478" s="365" t="s">
        <v>110</v>
      </c>
      <c r="C478" s="365" t="s">
        <v>2146</v>
      </c>
      <c r="D478" s="365" t="s">
        <v>3167</v>
      </c>
      <c r="E478" s="366">
        <v>787</v>
      </c>
    </row>
    <row r="479" spans="2:5">
      <c r="B479" s="8" t="s">
        <v>363</v>
      </c>
      <c r="C479" s="8" t="s">
        <v>2178</v>
      </c>
      <c r="D479" s="8" t="s">
        <v>3150</v>
      </c>
      <c r="E479" s="367">
        <v>765</v>
      </c>
    </row>
    <row r="480" spans="2:5">
      <c r="B480" s="365" t="s">
        <v>1970</v>
      </c>
      <c r="C480" s="365" t="s">
        <v>2185</v>
      </c>
      <c r="D480" s="365" t="s">
        <v>3150</v>
      </c>
      <c r="E480" s="366">
        <v>676</v>
      </c>
    </row>
    <row r="481" spans="2:5">
      <c r="B481" s="8" t="s">
        <v>229</v>
      </c>
      <c r="C481" s="8" t="s">
        <v>2178</v>
      </c>
      <c r="D481" s="8" t="s">
        <v>3153</v>
      </c>
      <c r="E481" s="367">
        <v>673</v>
      </c>
    </row>
    <row r="482" spans="2:5">
      <c r="B482" s="365" t="s">
        <v>792</v>
      </c>
      <c r="C482" s="365" t="s">
        <v>2178</v>
      </c>
      <c r="D482" s="365" t="s">
        <v>3150</v>
      </c>
      <c r="E482" s="366">
        <v>673</v>
      </c>
    </row>
    <row r="483" spans="2:5">
      <c r="B483" s="8" t="s">
        <v>1979</v>
      </c>
      <c r="C483" s="8" t="s">
        <v>2185</v>
      </c>
      <c r="D483" s="8" t="s">
        <v>3150</v>
      </c>
      <c r="E483" s="367">
        <v>651</v>
      </c>
    </row>
    <row r="484" spans="2:5">
      <c r="B484" s="365" t="s">
        <v>90</v>
      </c>
      <c r="C484" s="365" t="s">
        <v>2178</v>
      </c>
      <c r="D484" s="365" t="s">
        <v>3154</v>
      </c>
      <c r="E484" s="366">
        <v>629</v>
      </c>
    </row>
    <row r="485" spans="2:5">
      <c r="B485" s="8" t="s">
        <v>1871</v>
      </c>
      <c r="C485" s="8" t="s">
        <v>2146</v>
      </c>
      <c r="D485" s="8" t="s">
        <v>3215</v>
      </c>
      <c r="E485" s="367">
        <v>617</v>
      </c>
    </row>
    <row r="486" spans="2:5">
      <c r="B486" s="365" t="s">
        <v>177</v>
      </c>
      <c r="C486" s="365" t="s">
        <v>2182</v>
      </c>
      <c r="D486" s="365" t="s">
        <v>3150</v>
      </c>
      <c r="E486" s="366">
        <v>600</v>
      </c>
    </row>
    <row r="487" spans="2:5">
      <c r="B487" s="8" t="s">
        <v>2010</v>
      </c>
      <c r="C487" s="8" t="s">
        <v>2178</v>
      </c>
      <c r="D487" s="8" t="s">
        <v>3154</v>
      </c>
      <c r="E487" s="367">
        <v>584</v>
      </c>
    </row>
    <row r="488" spans="2:5">
      <c r="B488" s="365" t="s">
        <v>440</v>
      </c>
      <c r="C488" s="365" t="s">
        <v>2185</v>
      </c>
      <c r="D488" s="365" t="s">
        <v>3150</v>
      </c>
      <c r="E488" s="366">
        <v>556</v>
      </c>
    </row>
    <row r="489" spans="2:5">
      <c r="B489" s="8" t="s">
        <v>191</v>
      </c>
      <c r="C489" s="8" t="s">
        <v>2185</v>
      </c>
      <c r="D489" s="8" t="s">
        <v>3150</v>
      </c>
      <c r="E489" s="367">
        <v>556</v>
      </c>
    </row>
    <row r="490" spans="2:5">
      <c r="B490" s="365" t="s">
        <v>1916</v>
      </c>
      <c r="C490" s="365" t="s">
        <v>2185</v>
      </c>
      <c r="D490" s="365" t="s">
        <v>3150</v>
      </c>
      <c r="E490" s="366">
        <v>556</v>
      </c>
    </row>
    <row r="491" spans="2:5">
      <c r="B491" s="8" t="s">
        <v>3823</v>
      </c>
      <c r="C491" s="8" t="s">
        <v>2146</v>
      </c>
      <c r="D491" s="8" t="s">
        <v>3829</v>
      </c>
      <c r="E491" s="367">
        <v>530</v>
      </c>
    </row>
    <row r="492" spans="2:5">
      <c r="B492" s="365" t="s">
        <v>2024</v>
      </c>
      <c r="C492" s="365" t="s">
        <v>2178</v>
      </c>
      <c r="D492" s="365" t="s">
        <v>3150</v>
      </c>
      <c r="E492" s="366">
        <v>505</v>
      </c>
    </row>
    <row r="493" spans="2:5">
      <c r="B493" s="8" t="s">
        <v>1952</v>
      </c>
      <c r="C493" s="8" t="s">
        <v>2178</v>
      </c>
      <c r="D493" s="8" t="s">
        <v>3154</v>
      </c>
      <c r="E493" s="367">
        <v>486</v>
      </c>
    </row>
    <row r="494" spans="2:5">
      <c r="B494" s="365" t="s">
        <v>215</v>
      </c>
      <c r="C494" s="365" t="s">
        <v>2178</v>
      </c>
      <c r="D494" s="365" t="s">
        <v>3153</v>
      </c>
      <c r="E494" s="366">
        <v>421</v>
      </c>
    </row>
    <row r="495" spans="2:5">
      <c r="B495" s="8" t="s">
        <v>1857</v>
      </c>
      <c r="C495" s="8" t="s">
        <v>2185</v>
      </c>
      <c r="D495" s="8" t="s">
        <v>3150</v>
      </c>
      <c r="E495" s="367">
        <v>417</v>
      </c>
    </row>
    <row r="496" spans="2:5">
      <c r="B496" s="365" t="s">
        <v>1835</v>
      </c>
      <c r="C496" s="365" t="s">
        <v>2185</v>
      </c>
      <c r="D496" s="365" t="s">
        <v>3150</v>
      </c>
      <c r="E496" s="366">
        <v>417</v>
      </c>
    </row>
    <row r="497" spans="2:5">
      <c r="B497" s="8" t="s">
        <v>1924</v>
      </c>
      <c r="C497" s="8" t="s">
        <v>2180</v>
      </c>
      <c r="D497" s="8" t="s">
        <v>3150</v>
      </c>
      <c r="E497" s="367">
        <v>413</v>
      </c>
    </row>
    <row r="498" spans="2:5">
      <c r="B498" s="365" t="s">
        <v>1831</v>
      </c>
      <c r="C498" s="365" t="s">
        <v>2178</v>
      </c>
      <c r="D498" s="365" t="s">
        <v>3153</v>
      </c>
      <c r="E498" s="366">
        <v>337</v>
      </c>
    </row>
    <row r="499" spans="2:5">
      <c r="B499" s="8" t="s">
        <v>102</v>
      </c>
      <c r="C499" s="8" t="s">
        <v>2178</v>
      </c>
      <c r="D499" s="8" t="s">
        <v>3153</v>
      </c>
      <c r="E499" s="367">
        <v>337</v>
      </c>
    </row>
    <row r="500" spans="2:5">
      <c r="B500" s="365" t="s">
        <v>1865</v>
      </c>
      <c r="C500" s="365" t="s">
        <v>2146</v>
      </c>
      <c r="D500" s="365" t="s">
        <v>3831</v>
      </c>
      <c r="E500" s="366">
        <v>298</v>
      </c>
    </row>
    <row r="501" spans="2:5">
      <c r="B501" s="8" t="s">
        <v>1963</v>
      </c>
      <c r="C501" s="8" t="s">
        <v>2185</v>
      </c>
      <c r="D501" s="8" t="s">
        <v>3150</v>
      </c>
      <c r="E501" s="367">
        <v>278</v>
      </c>
    </row>
    <row r="502" spans="2:5">
      <c r="B502" s="365" t="s">
        <v>1870</v>
      </c>
      <c r="C502" s="365" t="s">
        <v>2185</v>
      </c>
      <c r="D502" s="365" t="s">
        <v>3150</v>
      </c>
      <c r="E502" s="366">
        <v>278</v>
      </c>
    </row>
    <row r="503" spans="2:5">
      <c r="B503" s="8" t="s">
        <v>2093</v>
      </c>
      <c r="C503" s="8" t="s">
        <v>2178</v>
      </c>
      <c r="D503" s="8" t="s">
        <v>3150</v>
      </c>
      <c r="E503" s="367">
        <v>276</v>
      </c>
    </row>
    <row r="504" spans="2:5">
      <c r="B504" s="365" t="s">
        <v>1887</v>
      </c>
      <c r="C504" s="365" t="s">
        <v>2146</v>
      </c>
      <c r="D504" s="365" t="s">
        <v>3831</v>
      </c>
      <c r="E504" s="366">
        <v>260</v>
      </c>
    </row>
    <row r="505" spans="2:5">
      <c r="B505" s="8" t="s">
        <v>197</v>
      </c>
      <c r="C505" s="8" t="s">
        <v>2182</v>
      </c>
      <c r="D505" s="8" t="s">
        <v>3150</v>
      </c>
      <c r="E505" s="367">
        <v>260</v>
      </c>
    </row>
    <row r="506" spans="2:5">
      <c r="B506" s="365" t="s">
        <v>138</v>
      </c>
      <c r="C506" s="365" t="s">
        <v>2178</v>
      </c>
      <c r="D506" s="365" t="s">
        <v>3150</v>
      </c>
      <c r="E506" s="366">
        <v>252</v>
      </c>
    </row>
    <row r="507" spans="2:5">
      <c r="B507" s="8" t="s">
        <v>28</v>
      </c>
      <c r="C507" s="8" t="s">
        <v>2185</v>
      </c>
      <c r="D507" s="8" t="s">
        <v>3150</v>
      </c>
      <c r="E507" s="367">
        <v>159</v>
      </c>
    </row>
    <row r="508" spans="2:5">
      <c r="B508" s="365" t="s">
        <v>2042</v>
      </c>
      <c r="C508" s="365" t="s">
        <v>2185</v>
      </c>
      <c r="D508" s="365" t="s">
        <v>3150</v>
      </c>
      <c r="E508" s="366">
        <v>139</v>
      </c>
    </row>
    <row r="509" spans="2:5">
      <c r="B509" s="8" t="s">
        <v>229</v>
      </c>
      <c r="C509" s="8" t="s">
        <v>2185</v>
      </c>
      <c r="D509" s="8" t="s">
        <v>3150</v>
      </c>
      <c r="E509" s="367">
        <v>139</v>
      </c>
    </row>
    <row r="510" spans="2:5">
      <c r="B510" s="365" t="s">
        <v>96</v>
      </c>
      <c r="C510" s="365" t="s">
        <v>2185</v>
      </c>
      <c r="D510" s="365" t="s">
        <v>3150</v>
      </c>
      <c r="E510" s="366">
        <v>139</v>
      </c>
    </row>
    <row r="511" spans="2:5">
      <c r="B511" s="8" t="s">
        <v>2098</v>
      </c>
      <c r="C511" s="8" t="s">
        <v>2185</v>
      </c>
      <c r="D511" s="8" t="s">
        <v>3150</v>
      </c>
      <c r="E511" s="367">
        <v>139</v>
      </c>
    </row>
    <row r="512" spans="2:5">
      <c r="B512" s="365" t="s">
        <v>1841</v>
      </c>
      <c r="C512" s="365" t="s">
        <v>2185</v>
      </c>
      <c r="D512" s="365" t="s">
        <v>3150</v>
      </c>
      <c r="E512" s="366">
        <v>139</v>
      </c>
    </row>
    <row r="513" spans="2:5">
      <c r="B513" s="8" t="s">
        <v>1928</v>
      </c>
      <c r="C513" s="8" t="s">
        <v>2185</v>
      </c>
      <c r="D513" s="8" t="s">
        <v>3150</v>
      </c>
      <c r="E513" s="367">
        <v>139</v>
      </c>
    </row>
    <row r="514" spans="2:5">
      <c r="B514" s="365" t="s">
        <v>1869</v>
      </c>
      <c r="C514" s="365" t="s">
        <v>2146</v>
      </c>
      <c r="D514" s="365" t="s">
        <v>3831</v>
      </c>
      <c r="E514" s="366">
        <v>83</v>
      </c>
    </row>
    <row r="515" spans="2:5">
      <c r="B515" s="8" t="s">
        <v>1880</v>
      </c>
      <c r="C515" s="8" t="s">
        <v>2182</v>
      </c>
      <c r="D515" s="8" t="s">
        <v>3150</v>
      </c>
      <c r="E515" s="367">
        <v>80</v>
      </c>
    </row>
    <row r="516" spans="2:5">
      <c r="B516" s="365" t="s">
        <v>2063</v>
      </c>
      <c r="C516" s="365" t="s">
        <v>2180</v>
      </c>
      <c r="D516" s="365" t="s">
        <v>3150</v>
      </c>
      <c r="E516" s="366">
        <v>38</v>
      </c>
    </row>
    <row r="517" spans="2:5">
      <c r="B517" s="8" t="s">
        <v>459</v>
      </c>
      <c r="C517" s="8" t="s">
        <v>2180</v>
      </c>
      <c r="D517" s="8" t="s">
        <v>3150</v>
      </c>
      <c r="E517" s="367">
        <v>38</v>
      </c>
    </row>
    <row r="518" spans="2:5">
      <c r="B518" s="365" t="s">
        <v>2121</v>
      </c>
      <c r="C518" s="365" t="s">
        <v>2178</v>
      </c>
      <c r="D518" s="365" t="s">
        <v>3150</v>
      </c>
      <c r="E518" s="366">
        <v>21</v>
      </c>
    </row>
    <row r="519" spans="2:5">
      <c r="E519" s="368">
        <f>SUM(E8:E518)</f>
        <v>741213309</v>
      </c>
    </row>
  </sheetData>
  <autoFilter ref="B7:E518"/>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1"/>
  <dimension ref="A2:N105"/>
  <sheetViews>
    <sheetView tabSelected="1" topLeftCell="A31" zoomScale="70" zoomScaleNormal="70" workbookViewId="0">
      <selection activeCell="C91" sqref="C91"/>
    </sheetView>
  </sheetViews>
  <sheetFormatPr baseColWidth="10" defaultColWidth="11.59765625" defaultRowHeight="13.2"/>
  <cols>
    <col min="1" max="1" width="11.59765625" style="218"/>
    <col min="2" max="2" width="4.69921875" style="222" customWidth="1"/>
    <col min="3" max="3" width="27.296875" style="218" customWidth="1"/>
    <col min="4" max="4" width="11.59765625" style="218"/>
    <col min="5" max="5" width="8.69921875" style="345" customWidth="1"/>
    <col min="6" max="6" width="10.59765625" style="345" customWidth="1"/>
    <col min="7" max="7" width="10" style="345" customWidth="1"/>
    <col min="8" max="8" width="8.8984375" style="218" customWidth="1"/>
    <col min="9" max="9" width="13.69921875" style="218" customWidth="1"/>
    <col min="10" max="10" width="10.296875" style="218" customWidth="1"/>
    <col min="11" max="11" width="6.69921875" style="219" customWidth="1"/>
    <col min="12" max="12" width="8.59765625" style="218" customWidth="1"/>
    <col min="13" max="13" width="13" style="218" customWidth="1"/>
    <col min="14" max="14" width="19.09765625" style="218" bestFit="1" customWidth="1"/>
    <col min="15" max="15" width="11.69921875" style="218" bestFit="1" customWidth="1"/>
    <col min="16" max="16" width="4.8984375" style="218" bestFit="1" customWidth="1"/>
    <col min="17" max="17" width="11.59765625" style="218"/>
    <col min="18" max="18" width="6" style="218" bestFit="1" customWidth="1"/>
    <col min="19" max="19" width="22.69921875" style="218" bestFit="1" customWidth="1"/>
    <col min="20" max="20" width="14.09765625" style="218" bestFit="1" customWidth="1"/>
    <col min="21" max="16384" width="11.59765625" style="218"/>
  </cols>
  <sheetData>
    <row r="2" spans="1:14" ht="16.2">
      <c r="A2" s="10" t="s">
        <v>3245</v>
      </c>
    </row>
    <row r="3" spans="1:14" ht="13.2" customHeight="1"/>
    <row r="4" spans="1:14">
      <c r="E4" s="641"/>
      <c r="F4" s="641"/>
    </row>
    <row r="5" spans="1:14" ht="51" customHeight="1">
      <c r="C5" s="219"/>
      <c r="D5" s="219"/>
      <c r="E5" s="640" t="s">
        <v>3802</v>
      </c>
      <c r="F5" s="643"/>
      <c r="G5" s="638" t="s">
        <v>3820</v>
      </c>
      <c r="H5" s="640"/>
      <c r="I5" s="638" t="s">
        <v>6599</v>
      </c>
      <c r="J5" s="640"/>
      <c r="K5" s="638" t="s">
        <v>3803</v>
      </c>
      <c r="L5" s="639"/>
      <c r="N5" s="219"/>
    </row>
    <row r="6" spans="1:14" ht="27" thickBot="1">
      <c r="C6" s="399" t="s">
        <v>4035</v>
      </c>
      <c r="D6" s="400" t="s">
        <v>3788</v>
      </c>
      <c r="E6" s="401" t="s">
        <v>3790</v>
      </c>
      <c r="F6" s="401" t="s">
        <v>615</v>
      </c>
      <c r="G6" s="402" t="s">
        <v>3790</v>
      </c>
      <c r="H6" s="402" t="s">
        <v>615</v>
      </c>
      <c r="I6" s="402" t="s">
        <v>3790</v>
      </c>
      <c r="J6" s="402" t="s">
        <v>615</v>
      </c>
      <c r="K6" s="402" t="s">
        <v>3790</v>
      </c>
      <c r="L6" s="402" t="s">
        <v>615</v>
      </c>
      <c r="M6" s="403" t="s">
        <v>4031</v>
      </c>
      <c r="N6" s="404" t="s">
        <v>3791</v>
      </c>
    </row>
    <row r="7" spans="1:14" ht="13.8" thickTop="1">
      <c r="C7" s="357" t="s">
        <v>3821</v>
      </c>
      <c r="D7" s="358">
        <v>3</v>
      </c>
      <c r="E7" s="358">
        <v>3</v>
      </c>
      <c r="F7" s="359">
        <f t="shared" ref="F7:F13" si="0">E7/D7</f>
        <v>1</v>
      </c>
      <c r="G7" s="358">
        <f>COUNTIF(F22:F24,"Oui")</f>
        <v>3</v>
      </c>
      <c r="H7" s="359">
        <f>G7/D7</f>
        <v>1</v>
      </c>
      <c r="I7" s="336"/>
      <c r="J7" s="336"/>
      <c r="K7" s="336"/>
      <c r="L7" s="362"/>
      <c r="M7" s="359">
        <v>0.77610006621963734</v>
      </c>
      <c r="N7" s="358" t="s">
        <v>3804</v>
      </c>
    </row>
    <row r="8" spans="1:14">
      <c r="C8" s="218" t="s">
        <v>6598</v>
      </c>
      <c r="D8" s="537">
        <v>9</v>
      </c>
      <c r="E8" s="537">
        <v>9</v>
      </c>
      <c r="F8" s="538">
        <f t="shared" si="0"/>
        <v>1</v>
      </c>
      <c r="G8" s="336"/>
      <c r="H8" s="336"/>
      <c r="I8" s="268">
        <v>6</v>
      </c>
      <c r="J8" s="326">
        <f>I8/D8</f>
        <v>0.66666666666666663</v>
      </c>
      <c r="K8" s="336"/>
      <c r="L8" s="336"/>
      <c r="M8" s="539">
        <v>8.0813922761086315E-2</v>
      </c>
      <c r="N8" s="537" t="s">
        <v>3804</v>
      </c>
    </row>
    <row r="9" spans="1:14">
      <c r="C9" s="518" t="s">
        <v>3189</v>
      </c>
      <c r="D9" s="540">
        <v>4</v>
      </c>
      <c r="E9" s="541">
        <f>COUNTIF('Annexe 31'!$E$26:$E$35,"Oui")</f>
        <v>9</v>
      </c>
      <c r="F9" s="542">
        <f t="shared" si="0"/>
        <v>2.25</v>
      </c>
      <c r="G9" s="336"/>
      <c r="H9" s="336"/>
      <c r="I9" s="541">
        <v>0</v>
      </c>
      <c r="J9" s="542">
        <f>I9/D9</f>
        <v>0</v>
      </c>
      <c r="K9" s="336"/>
      <c r="L9" s="336"/>
      <c r="M9" s="542">
        <v>4.1464917165253579E-2</v>
      </c>
      <c r="N9" s="543" t="s">
        <v>3188</v>
      </c>
    </row>
    <row r="10" spans="1:14">
      <c r="C10" s="218" t="s">
        <v>2404</v>
      </c>
      <c r="D10" s="537">
        <v>9</v>
      </c>
      <c r="E10" s="345">
        <f>COUNTIF(E34:E43,"Oui")</f>
        <v>4</v>
      </c>
      <c r="F10" s="539">
        <f t="shared" si="0"/>
        <v>0.44444444444444442</v>
      </c>
      <c r="G10" s="336"/>
      <c r="H10" s="336"/>
      <c r="I10" s="336"/>
      <c r="J10" s="336"/>
      <c r="K10" s="360">
        <f>COUNTIF(H34:H43,"Oui")</f>
        <v>0</v>
      </c>
      <c r="L10" s="539">
        <f>K10/D10</f>
        <v>0</v>
      </c>
      <c r="M10" s="539">
        <v>7.4055693093895689E-2</v>
      </c>
      <c r="N10" s="361" t="s">
        <v>3188</v>
      </c>
    </row>
    <row r="11" spans="1:14">
      <c r="C11" s="518" t="s">
        <v>2430</v>
      </c>
      <c r="D11" s="540">
        <v>31</v>
      </c>
      <c r="E11" s="541">
        <f>COUNTIF(E45:E91,"Oui")</f>
        <v>18</v>
      </c>
      <c r="F11" s="542">
        <f t="shared" si="0"/>
        <v>0.58064516129032262</v>
      </c>
      <c r="G11" s="336"/>
      <c r="H11" s="336"/>
      <c r="I11" s="336"/>
      <c r="J11" s="336"/>
      <c r="K11" s="544">
        <f>COUNTIF(H45:H91,"Oui")</f>
        <v>0</v>
      </c>
      <c r="L11" s="542">
        <f>K11/D11</f>
        <v>0</v>
      </c>
      <c r="M11" s="542">
        <v>2.39757760304211E-2</v>
      </c>
      <c r="N11" s="543" t="s">
        <v>4030</v>
      </c>
    </row>
    <row r="12" spans="1:14">
      <c r="C12" s="218" t="s">
        <v>3231</v>
      </c>
      <c r="D12" s="537">
        <v>13</v>
      </c>
      <c r="E12" s="345">
        <f>COUNTIF(E93:E105,"Oui")</f>
        <v>9</v>
      </c>
      <c r="F12" s="539">
        <f t="shared" si="0"/>
        <v>0.69230769230769229</v>
      </c>
      <c r="G12" s="336"/>
      <c r="H12" s="336"/>
      <c r="I12" s="336"/>
      <c r="J12" s="336"/>
      <c r="K12" s="360">
        <f>COUNTIF(H93:H105,"Oui")</f>
        <v>0</v>
      </c>
      <c r="L12" s="539">
        <f>K12/D12</f>
        <v>0</v>
      </c>
      <c r="M12" s="539">
        <v>3.5896247297059229E-3</v>
      </c>
      <c r="N12" s="361" t="s">
        <v>4030</v>
      </c>
    </row>
    <row r="13" spans="1:14">
      <c r="C13" s="398" t="s">
        <v>4032</v>
      </c>
      <c r="D13" s="385">
        <f>SUM(D7:D12)</f>
        <v>69</v>
      </c>
      <c r="E13" s="385">
        <f>SUM(E7:E12)</f>
        <v>52</v>
      </c>
      <c r="F13" s="406">
        <f t="shared" si="0"/>
        <v>0.75362318840579712</v>
      </c>
      <c r="G13" s="385">
        <f t="shared" ref="G13:M13" si="1">SUM(G7:G12)</f>
        <v>3</v>
      </c>
      <c r="H13" s="406">
        <f t="shared" si="1"/>
        <v>1</v>
      </c>
      <c r="I13" s="385">
        <f t="shared" si="1"/>
        <v>6</v>
      </c>
      <c r="J13" s="406">
        <f t="shared" si="1"/>
        <v>0.66666666666666663</v>
      </c>
      <c r="K13" s="385">
        <f t="shared" si="1"/>
        <v>0</v>
      </c>
      <c r="L13" s="406">
        <f t="shared" si="1"/>
        <v>0</v>
      </c>
      <c r="M13" s="406">
        <f t="shared" si="1"/>
        <v>1</v>
      </c>
      <c r="N13" s="385" t="s">
        <v>3804</v>
      </c>
    </row>
    <row r="17" spans="2:11" ht="53.4" customHeight="1">
      <c r="B17" s="382"/>
      <c r="C17" s="377"/>
      <c r="E17" s="642" t="s">
        <v>3177</v>
      </c>
      <c r="F17" s="338" t="s">
        <v>3178</v>
      </c>
      <c r="G17" s="338" t="s">
        <v>6529</v>
      </c>
      <c r="H17" s="338" t="s">
        <v>6530</v>
      </c>
      <c r="I17" s="644" t="s">
        <v>3179</v>
      </c>
      <c r="K17" s="218"/>
    </row>
    <row r="18" spans="2:11" ht="79.2">
      <c r="E18" s="642"/>
      <c r="F18" s="350" t="s">
        <v>3180</v>
      </c>
      <c r="G18" s="527" t="s">
        <v>6531</v>
      </c>
      <c r="H18" s="351" t="s">
        <v>3181</v>
      </c>
      <c r="I18" s="645"/>
      <c r="K18" s="218"/>
    </row>
    <row r="19" spans="2:11">
      <c r="B19" s="352" t="s">
        <v>1076</v>
      </c>
      <c r="C19" s="352" t="s">
        <v>3182</v>
      </c>
      <c r="D19" s="375" t="s">
        <v>1084</v>
      </c>
      <c r="E19" s="380" t="s">
        <v>3183</v>
      </c>
      <c r="F19" s="380" t="s">
        <v>3183</v>
      </c>
      <c r="G19" s="380" t="s">
        <v>3183</v>
      </c>
      <c r="H19" s="380" t="s">
        <v>3183</v>
      </c>
      <c r="I19" s="526"/>
      <c r="K19" s="218"/>
    </row>
    <row r="20" spans="2:11">
      <c r="B20" s="353" t="s">
        <v>3184</v>
      </c>
      <c r="C20" s="354"/>
      <c r="D20" s="354"/>
      <c r="E20" s="355"/>
      <c r="F20" s="355"/>
      <c r="G20" s="355"/>
      <c r="H20" s="355"/>
      <c r="K20" s="218"/>
    </row>
    <row r="21" spans="2:11">
      <c r="B21" s="220" t="s">
        <v>3185</v>
      </c>
      <c r="C21" s="221"/>
      <c r="D21" s="221"/>
      <c r="E21" s="356"/>
      <c r="F21" s="356"/>
      <c r="G21" s="356"/>
      <c r="H21" s="356"/>
      <c r="K21" s="218"/>
    </row>
    <row r="22" spans="2:11">
      <c r="B22" s="222">
        <v>1</v>
      </c>
      <c r="C22" s="223" t="s">
        <v>2343</v>
      </c>
      <c r="D22" s="378" t="s">
        <v>3186</v>
      </c>
      <c r="E22" s="379" t="s">
        <v>3186</v>
      </c>
      <c r="F22" s="379" t="s">
        <v>3186</v>
      </c>
      <c r="G22" s="380" t="s">
        <v>3187</v>
      </c>
      <c r="H22" s="380" t="s">
        <v>3187</v>
      </c>
      <c r="I22" s="396" t="s">
        <v>3804</v>
      </c>
      <c r="K22" s="218"/>
    </row>
    <row r="23" spans="2:11">
      <c r="B23" s="222">
        <v>2</v>
      </c>
      <c r="C23" s="223" t="s">
        <v>2333</v>
      </c>
      <c r="D23" s="378" t="s">
        <v>3186</v>
      </c>
      <c r="E23" s="379" t="s">
        <v>3186</v>
      </c>
      <c r="F23" s="379" t="s">
        <v>3186</v>
      </c>
      <c r="G23" s="380" t="s">
        <v>3187</v>
      </c>
      <c r="H23" s="380" t="s">
        <v>3187</v>
      </c>
      <c r="I23" s="396" t="s">
        <v>3804</v>
      </c>
      <c r="K23" s="218"/>
    </row>
    <row r="24" spans="2:11">
      <c r="B24" s="222">
        <v>3</v>
      </c>
      <c r="C24" s="223" t="s">
        <v>1</v>
      </c>
      <c r="D24" s="378" t="s">
        <v>3186</v>
      </c>
      <c r="E24" s="379" t="s">
        <v>3186</v>
      </c>
      <c r="F24" s="379" t="s">
        <v>3186</v>
      </c>
      <c r="G24" s="380" t="s">
        <v>3187</v>
      </c>
      <c r="H24" s="380" t="s">
        <v>3187</v>
      </c>
      <c r="I24" s="396" t="s">
        <v>3804</v>
      </c>
    </row>
    <row r="25" spans="2:11">
      <c r="B25" s="220" t="s">
        <v>3189</v>
      </c>
      <c r="C25" s="221"/>
      <c r="D25" s="221"/>
      <c r="E25" s="356"/>
      <c r="F25" s="356"/>
      <c r="G25" s="356"/>
      <c r="H25" s="356"/>
    </row>
    <row r="26" spans="2:11">
      <c r="B26" s="222">
        <v>1</v>
      </c>
      <c r="C26" s="224" t="s">
        <v>1811</v>
      </c>
      <c r="D26" s="381" t="s">
        <v>1197</v>
      </c>
      <c r="E26" s="380" t="s">
        <v>3187</v>
      </c>
      <c r="F26" s="380" t="s">
        <v>3187</v>
      </c>
      <c r="G26" s="380" t="s">
        <v>3187</v>
      </c>
      <c r="H26" s="380" t="s">
        <v>3187</v>
      </c>
      <c r="I26" s="347" t="s">
        <v>3188</v>
      </c>
    </row>
    <row r="27" spans="2:11">
      <c r="B27" s="222">
        <v>2</v>
      </c>
      <c r="C27" s="224" t="s">
        <v>2423</v>
      </c>
      <c r="D27" s="378" t="s">
        <v>3186</v>
      </c>
      <c r="E27" s="502" t="s">
        <v>1197</v>
      </c>
      <c r="F27" s="380" t="s">
        <v>3187</v>
      </c>
      <c r="G27" s="502" t="s">
        <v>1197</v>
      </c>
      <c r="H27" s="380" t="s">
        <v>3187</v>
      </c>
      <c r="I27" s="397" t="s">
        <v>4030</v>
      </c>
    </row>
    <row r="28" spans="2:11">
      <c r="B28" s="222">
        <v>3</v>
      </c>
      <c r="C28" s="224" t="s">
        <v>2425</v>
      </c>
      <c r="D28" s="378" t="s">
        <v>3186</v>
      </c>
      <c r="E28" s="502" t="s">
        <v>1197</v>
      </c>
      <c r="F28" s="380" t="s">
        <v>3187</v>
      </c>
      <c r="G28" s="502" t="s">
        <v>1197</v>
      </c>
      <c r="H28" s="380" t="s">
        <v>3187</v>
      </c>
      <c r="I28" s="397" t="s">
        <v>4030</v>
      </c>
    </row>
    <row r="29" spans="2:11">
      <c r="B29" s="222">
        <v>4</v>
      </c>
      <c r="C29" s="224" t="s">
        <v>2420</v>
      </c>
      <c r="D29" s="378" t="s">
        <v>3186</v>
      </c>
      <c r="E29" s="382" t="s">
        <v>1197</v>
      </c>
      <c r="F29" s="380" t="s">
        <v>3187</v>
      </c>
      <c r="G29" s="382" t="s">
        <v>1197</v>
      </c>
      <c r="H29" s="380" t="s">
        <v>3187</v>
      </c>
      <c r="I29" s="347" t="s">
        <v>3188</v>
      </c>
    </row>
    <row r="30" spans="2:11">
      <c r="B30" s="222">
        <v>5</v>
      </c>
      <c r="C30" s="224" t="s">
        <v>2428</v>
      </c>
      <c r="D30" s="378" t="s">
        <v>3186</v>
      </c>
      <c r="E30" s="502" t="s">
        <v>1197</v>
      </c>
      <c r="F30" s="380" t="s">
        <v>3187</v>
      </c>
      <c r="G30" s="502" t="s">
        <v>1197</v>
      </c>
      <c r="H30" s="380" t="s">
        <v>3187</v>
      </c>
      <c r="I30" s="397" t="s">
        <v>4030</v>
      </c>
    </row>
    <row r="31" spans="2:11">
      <c r="B31" s="222">
        <v>6</v>
      </c>
      <c r="C31" s="224" t="s">
        <v>2414</v>
      </c>
      <c r="D31" s="381" t="s">
        <v>1197</v>
      </c>
      <c r="E31" s="380" t="s">
        <v>3187</v>
      </c>
      <c r="F31" s="380" t="s">
        <v>3187</v>
      </c>
      <c r="G31" s="380" t="s">
        <v>3187</v>
      </c>
      <c r="H31" s="380" t="s">
        <v>3187</v>
      </c>
      <c r="I31" s="347" t="s">
        <v>3188</v>
      </c>
    </row>
    <row r="32" spans="2:11">
      <c r="B32" s="353" t="s">
        <v>3190</v>
      </c>
      <c r="C32" s="353"/>
      <c r="D32" s="353"/>
      <c r="E32" s="383"/>
      <c r="F32" s="383"/>
      <c r="G32" s="383"/>
      <c r="H32" s="383"/>
    </row>
    <row r="33" spans="2:9">
      <c r="B33" s="220" t="s">
        <v>3191</v>
      </c>
      <c r="C33" s="221"/>
      <c r="D33" s="221"/>
      <c r="E33" s="356"/>
      <c r="F33" s="356"/>
      <c r="G33" s="356"/>
      <c r="H33" s="356"/>
    </row>
    <row r="34" spans="2:9">
      <c r="B34" s="222">
        <v>1</v>
      </c>
      <c r="C34" s="224" t="s">
        <v>3150</v>
      </c>
      <c r="D34" s="378" t="s">
        <v>3186</v>
      </c>
      <c r="E34" s="379" t="s">
        <v>3186</v>
      </c>
      <c r="F34" s="380" t="s">
        <v>3187</v>
      </c>
      <c r="G34" s="380" t="s">
        <v>3187</v>
      </c>
      <c r="H34" s="382" t="s">
        <v>1197</v>
      </c>
      <c r="I34" s="397" t="s">
        <v>4030</v>
      </c>
    </row>
    <row r="35" spans="2:9">
      <c r="B35" s="222">
        <f>B34+1</f>
        <v>2</v>
      </c>
      <c r="C35" s="224" t="s">
        <v>3192</v>
      </c>
      <c r="D35" s="378" t="s">
        <v>3186</v>
      </c>
      <c r="E35" s="379" t="s">
        <v>3186</v>
      </c>
      <c r="F35" s="380" t="s">
        <v>3187</v>
      </c>
      <c r="G35" s="380" t="s">
        <v>3187</v>
      </c>
      <c r="H35" s="382" t="s">
        <v>1197</v>
      </c>
      <c r="I35" s="397" t="s">
        <v>4030</v>
      </c>
    </row>
    <row r="36" spans="2:9">
      <c r="B36" s="222">
        <f t="shared" ref="B36:B43" si="2">B35+1</f>
        <v>3</v>
      </c>
      <c r="C36" s="224" t="s">
        <v>3153</v>
      </c>
      <c r="D36" s="378" t="s">
        <v>3186</v>
      </c>
      <c r="E36" s="502" t="s">
        <v>1197</v>
      </c>
      <c r="F36" s="380" t="s">
        <v>3187</v>
      </c>
      <c r="G36" s="380" t="s">
        <v>3187</v>
      </c>
      <c r="H36" s="382" t="s">
        <v>1197</v>
      </c>
      <c r="I36" s="347" t="s">
        <v>3188</v>
      </c>
    </row>
    <row r="37" spans="2:9">
      <c r="B37" s="222">
        <f t="shared" si="2"/>
        <v>4</v>
      </c>
      <c r="C37" s="224" t="s">
        <v>3193</v>
      </c>
      <c r="D37" s="378" t="s">
        <v>3186</v>
      </c>
      <c r="E37" s="382" t="s">
        <v>1197</v>
      </c>
      <c r="F37" s="380" t="s">
        <v>3187</v>
      </c>
      <c r="G37" s="380" t="s">
        <v>3187</v>
      </c>
      <c r="H37" s="382" t="s">
        <v>1197</v>
      </c>
      <c r="I37" s="347" t="s">
        <v>3188</v>
      </c>
    </row>
    <row r="38" spans="2:9">
      <c r="B38" s="222">
        <f t="shared" si="2"/>
        <v>5</v>
      </c>
      <c r="C38" s="224" t="s">
        <v>3194</v>
      </c>
      <c r="D38" s="378" t="s">
        <v>3186</v>
      </c>
      <c r="E38" s="382" t="s">
        <v>1197</v>
      </c>
      <c r="F38" s="380" t="s">
        <v>3187</v>
      </c>
      <c r="G38" s="380" t="s">
        <v>3187</v>
      </c>
      <c r="H38" s="382" t="s">
        <v>1197</v>
      </c>
      <c r="I38" s="347" t="s">
        <v>3188</v>
      </c>
    </row>
    <row r="39" spans="2:9">
      <c r="B39" s="222">
        <f t="shared" si="2"/>
        <v>6</v>
      </c>
      <c r="C39" s="224" t="s">
        <v>3154</v>
      </c>
      <c r="D39" s="378" t="s">
        <v>3186</v>
      </c>
      <c r="E39" s="379" t="s">
        <v>3186</v>
      </c>
      <c r="F39" s="380" t="s">
        <v>3187</v>
      </c>
      <c r="G39" s="380" t="s">
        <v>3187</v>
      </c>
      <c r="H39" s="382" t="s">
        <v>1197</v>
      </c>
      <c r="I39" s="397" t="s">
        <v>4030</v>
      </c>
    </row>
    <row r="40" spans="2:9">
      <c r="B40" s="222">
        <f t="shared" si="2"/>
        <v>7</v>
      </c>
      <c r="C40" s="224" t="s">
        <v>3173</v>
      </c>
      <c r="D40" s="378" t="s">
        <v>3186</v>
      </c>
      <c r="E40" s="502" t="s">
        <v>1197</v>
      </c>
      <c r="F40" s="380" t="s">
        <v>3187</v>
      </c>
      <c r="G40" s="380" t="s">
        <v>3187</v>
      </c>
      <c r="H40" s="382" t="s">
        <v>1197</v>
      </c>
      <c r="I40" s="347" t="s">
        <v>3188</v>
      </c>
    </row>
    <row r="41" spans="2:9">
      <c r="B41" s="222">
        <f t="shared" si="2"/>
        <v>8</v>
      </c>
      <c r="C41" s="224" t="s">
        <v>3195</v>
      </c>
      <c r="D41" s="378" t="s">
        <v>3186</v>
      </c>
      <c r="E41" s="502" t="s">
        <v>1197</v>
      </c>
      <c r="F41" s="380" t="s">
        <v>3187</v>
      </c>
      <c r="G41" s="380" t="s">
        <v>3187</v>
      </c>
      <c r="H41" s="382" t="s">
        <v>1197</v>
      </c>
      <c r="I41" s="347" t="s">
        <v>3188</v>
      </c>
    </row>
    <row r="42" spans="2:9">
      <c r="B42" s="222">
        <f t="shared" si="2"/>
        <v>9</v>
      </c>
      <c r="C42" s="224" t="s">
        <v>3196</v>
      </c>
      <c r="D42" s="378" t="s">
        <v>3186</v>
      </c>
      <c r="E42" s="379" t="s">
        <v>3186</v>
      </c>
      <c r="F42" s="380" t="s">
        <v>3187</v>
      </c>
      <c r="G42" s="380" t="s">
        <v>3187</v>
      </c>
      <c r="H42" s="382" t="s">
        <v>1197</v>
      </c>
      <c r="I42" s="397" t="s">
        <v>4030</v>
      </c>
    </row>
    <row r="43" spans="2:9">
      <c r="B43" s="222">
        <f t="shared" si="2"/>
        <v>10</v>
      </c>
      <c r="C43" s="224" t="s">
        <v>3197</v>
      </c>
      <c r="D43" s="381" t="s">
        <v>1197</v>
      </c>
      <c r="E43" s="380" t="s">
        <v>3187</v>
      </c>
      <c r="F43" s="380" t="s">
        <v>3187</v>
      </c>
      <c r="G43" s="380" t="s">
        <v>3187</v>
      </c>
      <c r="H43" s="380" t="s">
        <v>3187</v>
      </c>
      <c r="I43" s="347" t="s">
        <v>3188</v>
      </c>
    </row>
    <row r="44" spans="2:9">
      <c r="B44" s="220" t="s">
        <v>2430</v>
      </c>
      <c r="C44" s="220"/>
      <c r="D44" s="220"/>
      <c r="E44" s="384"/>
      <c r="F44" s="384"/>
      <c r="G44" s="384"/>
      <c r="H44" s="384"/>
    </row>
    <row r="45" spans="2:9">
      <c r="B45" s="222">
        <v>1</v>
      </c>
      <c r="C45" s="224" t="s">
        <v>3198</v>
      </c>
      <c r="D45" s="378" t="s">
        <v>3186</v>
      </c>
      <c r="E45" s="502" t="s">
        <v>1197</v>
      </c>
      <c r="F45" s="380" t="s">
        <v>3187</v>
      </c>
      <c r="G45" s="380" t="s">
        <v>3187</v>
      </c>
      <c r="H45" s="382" t="s">
        <v>1197</v>
      </c>
      <c r="I45" s="347" t="s">
        <v>3188</v>
      </c>
    </row>
    <row r="46" spans="2:9">
      <c r="B46" s="222">
        <f>B45+1</f>
        <v>2</v>
      </c>
      <c r="C46" s="224" t="s">
        <v>3149</v>
      </c>
      <c r="D46" s="378" t="s">
        <v>3186</v>
      </c>
      <c r="E46" s="382" t="s">
        <v>1197</v>
      </c>
      <c r="F46" s="380" t="s">
        <v>3187</v>
      </c>
      <c r="G46" s="380" t="s">
        <v>3187</v>
      </c>
      <c r="H46" s="382" t="s">
        <v>1197</v>
      </c>
      <c r="I46" s="347" t="s">
        <v>3188</v>
      </c>
    </row>
    <row r="47" spans="2:9">
      <c r="B47" s="222">
        <f t="shared" ref="B47:B91" si="3">B46+1</f>
        <v>3</v>
      </c>
      <c r="C47" s="224" t="s">
        <v>3165</v>
      </c>
      <c r="D47" s="378" t="s">
        <v>3186</v>
      </c>
      <c r="E47" s="382" t="s">
        <v>1197</v>
      </c>
      <c r="F47" s="380" t="s">
        <v>3187</v>
      </c>
      <c r="G47" s="380" t="s">
        <v>3187</v>
      </c>
      <c r="H47" s="382" t="s">
        <v>1197</v>
      </c>
      <c r="I47" s="347" t="s">
        <v>3188</v>
      </c>
    </row>
    <row r="48" spans="2:9">
      <c r="B48" s="222">
        <f t="shared" si="3"/>
        <v>4</v>
      </c>
      <c r="C48" s="224" t="s">
        <v>3166</v>
      </c>
      <c r="D48" s="378" t="s">
        <v>3186</v>
      </c>
      <c r="E48" s="502" t="s">
        <v>1197</v>
      </c>
      <c r="F48" s="380" t="s">
        <v>3187</v>
      </c>
      <c r="G48" s="380" t="s">
        <v>3187</v>
      </c>
      <c r="H48" s="382" t="s">
        <v>1197</v>
      </c>
      <c r="I48" s="347" t="s">
        <v>3188</v>
      </c>
    </row>
    <row r="49" spans="2:9">
      <c r="B49" s="222">
        <f t="shared" si="3"/>
        <v>5</v>
      </c>
      <c r="C49" s="224" t="s">
        <v>3167</v>
      </c>
      <c r="D49" s="378" t="s">
        <v>3186</v>
      </c>
      <c r="E49" s="382" t="s">
        <v>1197</v>
      </c>
      <c r="F49" s="380" t="s">
        <v>3187</v>
      </c>
      <c r="G49" s="380" t="s">
        <v>3187</v>
      </c>
      <c r="H49" s="382" t="s">
        <v>1197</v>
      </c>
      <c r="I49" s="347" t="s">
        <v>3188</v>
      </c>
    </row>
    <row r="50" spans="2:9">
      <c r="B50" s="222">
        <f t="shared" si="3"/>
        <v>6</v>
      </c>
      <c r="C50" s="224" t="s">
        <v>3199</v>
      </c>
      <c r="D50" s="378" t="s">
        <v>3186</v>
      </c>
      <c r="E50" s="502" t="s">
        <v>1197</v>
      </c>
      <c r="F50" s="380" t="s">
        <v>3187</v>
      </c>
      <c r="G50" s="380" t="s">
        <v>3187</v>
      </c>
      <c r="H50" s="382" t="s">
        <v>1197</v>
      </c>
      <c r="I50" s="347" t="s">
        <v>3188</v>
      </c>
    </row>
    <row r="51" spans="2:9">
      <c r="B51" s="222">
        <f t="shared" si="3"/>
        <v>7</v>
      </c>
      <c r="C51" s="224" t="s">
        <v>3163</v>
      </c>
      <c r="D51" s="378" t="s">
        <v>3186</v>
      </c>
      <c r="E51" s="379" t="s">
        <v>3186</v>
      </c>
      <c r="F51" s="380" t="s">
        <v>3187</v>
      </c>
      <c r="G51" s="380" t="s">
        <v>3187</v>
      </c>
      <c r="H51" s="382" t="s">
        <v>1197</v>
      </c>
      <c r="I51" s="397" t="s">
        <v>4030</v>
      </c>
    </row>
    <row r="52" spans="2:9">
      <c r="B52" s="222">
        <f t="shared" si="3"/>
        <v>8</v>
      </c>
      <c r="C52" s="224" t="s">
        <v>3168</v>
      </c>
      <c r="D52" s="378" t="s">
        <v>3186</v>
      </c>
      <c r="E52" s="379" t="s">
        <v>3186</v>
      </c>
      <c r="F52" s="380" t="s">
        <v>3187</v>
      </c>
      <c r="G52" s="380" t="s">
        <v>3187</v>
      </c>
      <c r="H52" s="382" t="s">
        <v>1197</v>
      </c>
      <c r="I52" s="397" t="s">
        <v>4030</v>
      </c>
    </row>
    <row r="53" spans="2:9">
      <c r="B53" s="222">
        <f t="shared" si="3"/>
        <v>9</v>
      </c>
      <c r="C53" s="224" t="s">
        <v>1282</v>
      </c>
      <c r="D53" s="378" t="s">
        <v>3186</v>
      </c>
      <c r="E53" s="379" t="s">
        <v>3186</v>
      </c>
      <c r="F53" s="380" t="s">
        <v>3187</v>
      </c>
      <c r="G53" s="380" t="s">
        <v>3187</v>
      </c>
      <c r="H53" s="382" t="s">
        <v>1197</v>
      </c>
      <c r="I53" s="397" t="s">
        <v>4030</v>
      </c>
    </row>
    <row r="54" spans="2:9">
      <c r="B54" s="222">
        <f t="shared" si="3"/>
        <v>10</v>
      </c>
      <c r="C54" s="224" t="s">
        <v>3164</v>
      </c>
      <c r="D54" s="378" t="s">
        <v>3186</v>
      </c>
      <c r="E54" s="502" t="s">
        <v>1197</v>
      </c>
      <c r="F54" s="380" t="s">
        <v>3187</v>
      </c>
      <c r="G54" s="380" t="s">
        <v>3187</v>
      </c>
      <c r="H54" s="382" t="s">
        <v>1197</v>
      </c>
      <c r="I54" s="347" t="s">
        <v>3188</v>
      </c>
    </row>
    <row r="55" spans="2:9">
      <c r="B55" s="222">
        <f t="shared" si="3"/>
        <v>11</v>
      </c>
      <c r="C55" s="224" t="s">
        <v>3200</v>
      </c>
      <c r="D55" s="378" t="s">
        <v>3186</v>
      </c>
      <c r="E55" s="379" t="s">
        <v>3186</v>
      </c>
      <c r="F55" s="380" t="s">
        <v>3187</v>
      </c>
      <c r="G55" s="380" t="s">
        <v>3187</v>
      </c>
      <c r="H55" s="382" t="s">
        <v>1197</v>
      </c>
      <c r="I55" s="397" t="s">
        <v>4030</v>
      </c>
    </row>
    <row r="56" spans="2:9">
      <c r="B56" s="222">
        <f t="shared" si="3"/>
        <v>12</v>
      </c>
      <c r="C56" s="224" t="s">
        <v>3201</v>
      </c>
      <c r="D56" s="381" t="s">
        <v>1197</v>
      </c>
      <c r="E56" s="380" t="s">
        <v>3187</v>
      </c>
      <c r="F56" s="380" t="s">
        <v>3187</v>
      </c>
      <c r="G56" s="380" t="s">
        <v>3187</v>
      </c>
      <c r="H56" s="380" t="s">
        <v>3187</v>
      </c>
      <c r="I56" s="347" t="s">
        <v>3188</v>
      </c>
    </row>
    <row r="57" spans="2:9">
      <c r="B57" s="222">
        <f t="shared" si="3"/>
        <v>13</v>
      </c>
      <c r="C57" s="224" t="s">
        <v>3202</v>
      </c>
      <c r="D57" s="504" t="s">
        <v>3186</v>
      </c>
      <c r="E57" s="503" t="s">
        <v>3186</v>
      </c>
      <c r="F57" s="380" t="s">
        <v>3187</v>
      </c>
      <c r="G57" s="380" t="s">
        <v>3187</v>
      </c>
      <c r="H57" s="382" t="s">
        <v>1197</v>
      </c>
      <c r="I57" s="397" t="s">
        <v>4030</v>
      </c>
    </row>
    <row r="58" spans="2:9">
      <c r="B58" s="222">
        <f t="shared" si="3"/>
        <v>14</v>
      </c>
      <c r="C58" s="224" t="s">
        <v>3203</v>
      </c>
      <c r="D58" s="504" t="s">
        <v>3186</v>
      </c>
      <c r="E58" s="503" t="s">
        <v>3186</v>
      </c>
      <c r="F58" s="380" t="s">
        <v>3187</v>
      </c>
      <c r="G58" s="380" t="s">
        <v>3187</v>
      </c>
      <c r="H58" s="382" t="s">
        <v>1197</v>
      </c>
      <c r="I58" s="397" t="s">
        <v>4030</v>
      </c>
    </row>
    <row r="59" spans="2:9">
      <c r="B59" s="222">
        <f t="shared" si="3"/>
        <v>15</v>
      </c>
      <c r="C59" s="224" t="s">
        <v>3204</v>
      </c>
      <c r="D59" s="378" t="s">
        <v>3186</v>
      </c>
      <c r="E59" s="379" t="s">
        <v>3186</v>
      </c>
      <c r="F59" s="380" t="s">
        <v>3187</v>
      </c>
      <c r="G59" s="380" t="s">
        <v>3187</v>
      </c>
      <c r="H59" s="382" t="s">
        <v>1197</v>
      </c>
      <c r="I59" s="397" t="s">
        <v>4030</v>
      </c>
    </row>
    <row r="60" spans="2:9">
      <c r="B60" s="222">
        <f t="shared" si="3"/>
        <v>16</v>
      </c>
      <c r="C60" s="224" t="s">
        <v>3172</v>
      </c>
      <c r="D60" s="378" t="s">
        <v>3186</v>
      </c>
      <c r="E60" s="379" t="s">
        <v>3186</v>
      </c>
      <c r="F60" s="380" t="s">
        <v>3187</v>
      </c>
      <c r="G60" s="380" t="s">
        <v>3187</v>
      </c>
      <c r="H60" s="382" t="s">
        <v>1197</v>
      </c>
      <c r="I60" s="397" t="s">
        <v>4030</v>
      </c>
    </row>
    <row r="61" spans="2:9">
      <c r="B61" s="222">
        <f t="shared" si="3"/>
        <v>17</v>
      </c>
      <c r="C61" s="224" t="s">
        <v>3205</v>
      </c>
      <c r="D61" s="504" t="s">
        <v>3186</v>
      </c>
      <c r="E61" s="503" t="s">
        <v>3186</v>
      </c>
      <c r="F61" s="380" t="s">
        <v>3187</v>
      </c>
      <c r="G61" s="380" t="s">
        <v>3187</v>
      </c>
      <c r="H61" s="382" t="s">
        <v>1197</v>
      </c>
      <c r="I61" s="397" t="s">
        <v>4030</v>
      </c>
    </row>
    <row r="62" spans="2:9">
      <c r="B62" s="222">
        <f t="shared" si="3"/>
        <v>18</v>
      </c>
      <c r="C62" s="224" t="s">
        <v>3206</v>
      </c>
      <c r="D62" s="378" t="s">
        <v>3186</v>
      </c>
      <c r="E62" s="379" t="s">
        <v>3186</v>
      </c>
      <c r="F62" s="380" t="s">
        <v>3187</v>
      </c>
      <c r="G62" s="380" t="s">
        <v>3187</v>
      </c>
      <c r="H62" s="382" t="s">
        <v>1197</v>
      </c>
      <c r="I62" s="397" t="s">
        <v>4030</v>
      </c>
    </row>
    <row r="63" spans="2:9">
      <c r="B63" s="222">
        <f t="shared" si="3"/>
        <v>19</v>
      </c>
      <c r="C63" s="224" t="s">
        <v>3207</v>
      </c>
      <c r="D63" s="378" t="s">
        <v>3186</v>
      </c>
      <c r="E63" s="379" t="s">
        <v>3186</v>
      </c>
      <c r="F63" s="380" t="s">
        <v>3187</v>
      </c>
      <c r="G63" s="380" t="s">
        <v>3187</v>
      </c>
      <c r="H63" s="382" t="s">
        <v>1197</v>
      </c>
      <c r="I63" s="397" t="s">
        <v>4030</v>
      </c>
    </row>
    <row r="64" spans="2:9">
      <c r="B64" s="222">
        <f t="shared" si="3"/>
        <v>20</v>
      </c>
      <c r="C64" s="224" t="s">
        <v>3208</v>
      </c>
      <c r="D64" s="501" t="s">
        <v>1197</v>
      </c>
      <c r="E64" s="380" t="s">
        <v>3187</v>
      </c>
      <c r="F64" s="380" t="s">
        <v>3187</v>
      </c>
      <c r="G64" s="380" t="s">
        <v>3187</v>
      </c>
      <c r="H64" s="380" t="s">
        <v>3187</v>
      </c>
      <c r="I64" s="347" t="s">
        <v>3188</v>
      </c>
    </row>
    <row r="65" spans="2:9">
      <c r="B65" s="222">
        <f t="shared" si="3"/>
        <v>21</v>
      </c>
      <c r="C65" s="224" t="s">
        <v>3209</v>
      </c>
      <c r="D65" s="501" t="s">
        <v>1197</v>
      </c>
      <c r="E65" s="380" t="s">
        <v>3187</v>
      </c>
      <c r="F65" s="380" t="s">
        <v>3187</v>
      </c>
      <c r="G65" s="380" t="s">
        <v>3187</v>
      </c>
      <c r="H65" s="380" t="s">
        <v>3187</v>
      </c>
      <c r="I65" s="347" t="s">
        <v>3188</v>
      </c>
    </row>
    <row r="66" spans="2:9">
      <c r="B66" s="222">
        <f t="shared" si="3"/>
        <v>22</v>
      </c>
      <c r="C66" s="224" t="s">
        <v>3210</v>
      </c>
      <c r="D66" s="501" t="s">
        <v>1197</v>
      </c>
      <c r="E66" s="380" t="s">
        <v>3187</v>
      </c>
      <c r="F66" s="380" t="s">
        <v>3187</v>
      </c>
      <c r="G66" s="380" t="s">
        <v>3187</v>
      </c>
      <c r="H66" s="380" t="s">
        <v>3187</v>
      </c>
      <c r="I66" s="347" t="s">
        <v>3188</v>
      </c>
    </row>
    <row r="67" spans="2:9">
      <c r="B67" s="222">
        <f t="shared" si="3"/>
        <v>23</v>
      </c>
      <c r="C67" s="224" t="s">
        <v>3211</v>
      </c>
      <c r="D67" s="501" t="s">
        <v>1197</v>
      </c>
      <c r="E67" s="380" t="s">
        <v>3187</v>
      </c>
      <c r="F67" s="380" t="s">
        <v>3187</v>
      </c>
      <c r="G67" s="380" t="s">
        <v>3187</v>
      </c>
      <c r="H67" s="380" t="s">
        <v>3187</v>
      </c>
      <c r="I67" s="347" t="s">
        <v>3188</v>
      </c>
    </row>
    <row r="68" spans="2:9">
      <c r="B68" s="222">
        <f t="shared" si="3"/>
        <v>24</v>
      </c>
      <c r="C68" s="224" t="s">
        <v>3171</v>
      </c>
      <c r="D68" s="378" t="s">
        <v>3186</v>
      </c>
      <c r="E68" s="502" t="s">
        <v>1197</v>
      </c>
      <c r="F68" s="380" t="s">
        <v>3187</v>
      </c>
      <c r="G68" s="380" t="s">
        <v>3187</v>
      </c>
      <c r="H68" s="382" t="s">
        <v>1197</v>
      </c>
      <c r="I68" s="347" t="s">
        <v>3188</v>
      </c>
    </row>
    <row r="69" spans="2:9">
      <c r="B69" s="222">
        <f t="shared" si="3"/>
        <v>25</v>
      </c>
      <c r="C69" s="224" t="s">
        <v>3158</v>
      </c>
      <c r="D69" s="378" t="s">
        <v>3186</v>
      </c>
      <c r="E69" s="379" t="s">
        <v>3186</v>
      </c>
      <c r="F69" s="380" t="s">
        <v>3187</v>
      </c>
      <c r="G69" s="380" t="s">
        <v>3187</v>
      </c>
      <c r="H69" s="382" t="s">
        <v>1197</v>
      </c>
      <c r="I69" s="397" t="s">
        <v>4030</v>
      </c>
    </row>
    <row r="70" spans="2:9">
      <c r="B70" s="222">
        <f t="shared" si="3"/>
        <v>26</v>
      </c>
      <c r="C70" s="224" t="s">
        <v>3212</v>
      </c>
      <c r="D70" s="378" t="s">
        <v>3186</v>
      </c>
      <c r="E70" s="379" t="s">
        <v>3186</v>
      </c>
      <c r="F70" s="380" t="s">
        <v>3187</v>
      </c>
      <c r="G70" s="380" t="s">
        <v>3187</v>
      </c>
      <c r="H70" s="382" t="s">
        <v>1197</v>
      </c>
      <c r="I70" s="397" t="s">
        <v>4030</v>
      </c>
    </row>
    <row r="71" spans="2:9">
      <c r="B71" s="222">
        <f t="shared" si="3"/>
        <v>27</v>
      </c>
      <c r="C71" s="224" t="s">
        <v>3159</v>
      </c>
      <c r="D71" s="378" t="s">
        <v>3186</v>
      </c>
      <c r="E71" s="379" t="s">
        <v>3186</v>
      </c>
      <c r="F71" s="380" t="s">
        <v>3187</v>
      </c>
      <c r="G71" s="380" t="s">
        <v>3187</v>
      </c>
      <c r="H71" s="382" t="s">
        <v>1197</v>
      </c>
      <c r="I71" s="397" t="s">
        <v>4030</v>
      </c>
    </row>
    <row r="72" spans="2:9">
      <c r="B72" s="222">
        <f t="shared" si="3"/>
        <v>28</v>
      </c>
      <c r="C72" s="224" t="s">
        <v>3174</v>
      </c>
      <c r="D72" s="378" t="s">
        <v>3186</v>
      </c>
      <c r="E72" s="502" t="s">
        <v>1197</v>
      </c>
      <c r="F72" s="380" t="s">
        <v>3187</v>
      </c>
      <c r="G72" s="380" t="s">
        <v>3187</v>
      </c>
      <c r="H72" s="382" t="s">
        <v>1197</v>
      </c>
      <c r="I72" s="347" t="s">
        <v>3188</v>
      </c>
    </row>
    <row r="73" spans="2:9">
      <c r="B73" s="222">
        <f t="shared" si="3"/>
        <v>29</v>
      </c>
      <c r="C73" s="224" t="s">
        <v>3213</v>
      </c>
      <c r="D73" s="378" t="s">
        <v>3186</v>
      </c>
      <c r="E73" s="502" t="s">
        <v>1197</v>
      </c>
      <c r="F73" s="380" t="s">
        <v>3187</v>
      </c>
      <c r="G73" s="380" t="s">
        <v>3187</v>
      </c>
      <c r="H73" s="382" t="s">
        <v>1197</v>
      </c>
      <c r="I73" s="347" t="s">
        <v>3188</v>
      </c>
    </row>
    <row r="74" spans="2:9">
      <c r="B74" s="222">
        <f t="shared" si="3"/>
        <v>30</v>
      </c>
      <c r="C74" s="224" t="s">
        <v>3214</v>
      </c>
      <c r="D74" s="378" t="s">
        <v>3186</v>
      </c>
      <c r="E74" s="503" t="s">
        <v>3186</v>
      </c>
      <c r="F74" s="380" t="s">
        <v>3187</v>
      </c>
      <c r="G74" s="380" t="s">
        <v>3187</v>
      </c>
      <c r="H74" s="382" t="s">
        <v>1197</v>
      </c>
      <c r="I74" s="397" t="s">
        <v>4030</v>
      </c>
    </row>
    <row r="75" spans="2:9">
      <c r="B75" s="222">
        <f t="shared" si="3"/>
        <v>31</v>
      </c>
      <c r="C75" s="224" t="s">
        <v>3215</v>
      </c>
      <c r="D75" s="378" t="s">
        <v>3186</v>
      </c>
      <c r="E75" s="379" t="s">
        <v>3186</v>
      </c>
      <c r="F75" s="380" t="s">
        <v>3187</v>
      </c>
      <c r="G75" s="380" t="s">
        <v>3187</v>
      </c>
      <c r="H75" s="382" t="s">
        <v>1197</v>
      </c>
      <c r="I75" s="397" t="s">
        <v>4030</v>
      </c>
    </row>
    <row r="76" spans="2:9">
      <c r="B76" s="222">
        <f t="shared" si="3"/>
        <v>32</v>
      </c>
      <c r="C76" s="224" t="s">
        <v>3216</v>
      </c>
      <c r="D76" s="381" t="s">
        <v>1197</v>
      </c>
      <c r="E76" s="380" t="s">
        <v>3187</v>
      </c>
      <c r="F76" s="380" t="s">
        <v>3187</v>
      </c>
      <c r="G76" s="380" t="s">
        <v>3187</v>
      </c>
      <c r="H76" s="380" t="s">
        <v>3187</v>
      </c>
      <c r="I76" s="347" t="s">
        <v>3188</v>
      </c>
    </row>
    <row r="77" spans="2:9">
      <c r="B77" s="222">
        <f t="shared" si="3"/>
        <v>33</v>
      </c>
      <c r="C77" s="224" t="s">
        <v>3217</v>
      </c>
      <c r="D77" s="381" t="s">
        <v>1197</v>
      </c>
      <c r="E77" s="380" t="s">
        <v>3187</v>
      </c>
      <c r="F77" s="380" t="s">
        <v>3187</v>
      </c>
      <c r="G77" s="380" t="s">
        <v>3187</v>
      </c>
      <c r="H77" s="380" t="s">
        <v>3187</v>
      </c>
      <c r="I77" s="347" t="s">
        <v>3188</v>
      </c>
    </row>
    <row r="78" spans="2:9">
      <c r="B78" s="222">
        <f t="shared" si="3"/>
        <v>34</v>
      </c>
      <c r="C78" s="224" t="s">
        <v>3218</v>
      </c>
      <c r="D78" s="501" t="s">
        <v>1197</v>
      </c>
      <c r="E78" s="380" t="s">
        <v>3187</v>
      </c>
      <c r="F78" s="380" t="s">
        <v>3187</v>
      </c>
      <c r="G78" s="380" t="s">
        <v>3187</v>
      </c>
      <c r="H78" s="380" t="s">
        <v>3187</v>
      </c>
      <c r="I78" s="347" t="s">
        <v>3188</v>
      </c>
    </row>
    <row r="79" spans="2:9">
      <c r="B79" s="222">
        <f t="shared" si="3"/>
        <v>35</v>
      </c>
      <c r="C79" s="224" t="s">
        <v>3170</v>
      </c>
      <c r="D79" s="528" t="s">
        <v>1197</v>
      </c>
      <c r="E79" s="380" t="s">
        <v>3187</v>
      </c>
      <c r="F79" s="380" t="s">
        <v>3187</v>
      </c>
      <c r="G79" s="380" t="s">
        <v>3187</v>
      </c>
      <c r="H79" s="380" t="s">
        <v>3187</v>
      </c>
      <c r="I79" s="347" t="s">
        <v>3188</v>
      </c>
    </row>
    <row r="80" spans="2:9">
      <c r="B80" s="222">
        <f t="shared" si="3"/>
        <v>36</v>
      </c>
      <c r="C80" s="224" t="s">
        <v>3219</v>
      </c>
      <c r="D80" s="504" t="s">
        <v>3186</v>
      </c>
      <c r="E80" s="382" t="s">
        <v>1197</v>
      </c>
      <c r="F80" s="380" t="s">
        <v>3187</v>
      </c>
      <c r="G80" s="380" t="s">
        <v>3187</v>
      </c>
      <c r="H80" s="382" t="s">
        <v>1197</v>
      </c>
      <c r="I80" s="347" t="s">
        <v>3188</v>
      </c>
    </row>
    <row r="81" spans="2:9">
      <c r="B81" s="222">
        <f t="shared" si="3"/>
        <v>37</v>
      </c>
      <c r="C81" s="224" t="s">
        <v>3220</v>
      </c>
      <c r="D81" s="381" t="s">
        <v>1197</v>
      </c>
      <c r="E81" s="380" t="s">
        <v>3187</v>
      </c>
      <c r="F81" s="380" t="s">
        <v>3187</v>
      </c>
      <c r="G81" s="380" t="s">
        <v>3187</v>
      </c>
      <c r="H81" s="380" t="s">
        <v>3187</v>
      </c>
      <c r="I81" s="347" t="s">
        <v>3188</v>
      </c>
    </row>
    <row r="82" spans="2:9">
      <c r="B82" s="222">
        <f t="shared" si="3"/>
        <v>38</v>
      </c>
      <c r="C82" s="224" t="s">
        <v>3221</v>
      </c>
      <c r="D82" s="504" t="s">
        <v>3186</v>
      </c>
      <c r="E82" s="503" t="s">
        <v>3186</v>
      </c>
      <c r="F82" s="380" t="s">
        <v>3187</v>
      </c>
      <c r="G82" s="380" t="s">
        <v>3187</v>
      </c>
      <c r="H82" s="382" t="s">
        <v>1197</v>
      </c>
      <c r="I82" s="397" t="s">
        <v>4030</v>
      </c>
    </row>
    <row r="83" spans="2:9">
      <c r="B83" s="222">
        <f t="shared" si="3"/>
        <v>39</v>
      </c>
      <c r="C83" s="224" t="s">
        <v>3222</v>
      </c>
      <c r="D83" s="381" t="s">
        <v>1197</v>
      </c>
      <c r="E83" s="380" t="s">
        <v>3187</v>
      </c>
      <c r="F83" s="380" t="s">
        <v>3187</v>
      </c>
      <c r="G83" s="380" t="s">
        <v>3187</v>
      </c>
      <c r="H83" s="380" t="s">
        <v>3187</v>
      </c>
      <c r="I83" s="347" t="s">
        <v>3188</v>
      </c>
    </row>
    <row r="84" spans="2:9">
      <c r="B84" s="222">
        <f t="shared" si="3"/>
        <v>40</v>
      </c>
      <c r="C84" s="224" t="s">
        <v>3223</v>
      </c>
      <c r="D84" s="381" t="s">
        <v>1197</v>
      </c>
      <c r="E84" s="380" t="s">
        <v>3187</v>
      </c>
      <c r="F84" s="380" t="s">
        <v>3187</v>
      </c>
      <c r="G84" s="380" t="s">
        <v>3187</v>
      </c>
      <c r="H84" s="380" t="s">
        <v>3187</v>
      </c>
      <c r="I84" s="347" t="s">
        <v>3188</v>
      </c>
    </row>
    <row r="85" spans="2:9">
      <c r="B85" s="222">
        <f t="shared" si="3"/>
        <v>41</v>
      </c>
      <c r="C85" s="224" t="s">
        <v>3224</v>
      </c>
      <c r="D85" s="381" t="s">
        <v>1197</v>
      </c>
      <c r="E85" s="380" t="s">
        <v>3187</v>
      </c>
      <c r="F85" s="380" t="s">
        <v>3187</v>
      </c>
      <c r="G85" s="380" t="s">
        <v>3187</v>
      </c>
      <c r="H85" s="380" t="s">
        <v>3187</v>
      </c>
      <c r="I85" s="347" t="s">
        <v>3188</v>
      </c>
    </row>
    <row r="86" spans="2:9">
      <c r="B86" s="222">
        <f t="shared" si="3"/>
        <v>42</v>
      </c>
      <c r="C86" s="224" t="s">
        <v>3225</v>
      </c>
      <c r="D86" s="504" t="s">
        <v>3186</v>
      </c>
      <c r="E86" s="382" t="s">
        <v>1197</v>
      </c>
      <c r="F86" s="380" t="s">
        <v>3187</v>
      </c>
      <c r="G86" s="380" t="s">
        <v>3187</v>
      </c>
      <c r="H86" s="382" t="s">
        <v>1197</v>
      </c>
      <c r="I86" s="347" t="s">
        <v>3188</v>
      </c>
    </row>
    <row r="87" spans="2:9">
      <c r="B87" s="222">
        <f t="shared" si="3"/>
        <v>43</v>
      </c>
      <c r="C87" s="224" t="s">
        <v>3226</v>
      </c>
      <c r="D87" s="378" t="s">
        <v>3186</v>
      </c>
      <c r="E87" s="379" t="s">
        <v>3186</v>
      </c>
      <c r="F87" s="380" t="s">
        <v>3187</v>
      </c>
      <c r="G87" s="380" t="s">
        <v>3187</v>
      </c>
      <c r="H87" s="382" t="s">
        <v>1197</v>
      </c>
      <c r="I87" s="397" t="s">
        <v>4030</v>
      </c>
    </row>
    <row r="88" spans="2:9">
      <c r="B88" s="222">
        <f t="shared" si="3"/>
        <v>44</v>
      </c>
      <c r="C88" s="224" t="s">
        <v>3227</v>
      </c>
      <c r="D88" s="504" t="s">
        <v>3186</v>
      </c>
      <c r="E88" s="382" t="s">
        <v>1197</v>
      </c>
      <c r="F88" s="380" t="s">
        <v>3187</v>
      </c>
      <c r="G88" s="380" t="s">
        <v>3187</v>
      </c>
      <c r="H88" s="382" t="s">
        <v>1197</v>
      </c>
      <c r="I88" s="347" t="s">
        <v>3188</v>
      </c>
    </row>
    <row r="89" spans="2:9">
      <c r="B89" s="222">
        <f t="shared" si="3"/>
        <v>45</v>
      </c>
      <c r="C89" s="224" t="s">
        <v>3228</v>
      </c>
      <c r="D89" s="381" t="s">
        <v>1197</v>
      </c>
      <c r="E89" s="380" t="s">
        <v>3187</v>
      </c>
      <c r="F89" s="380" t="s">
        <v>3187</v>
      </c>
      <c r="G89" s="380" t="s">
        <v>3187</v>
      </c>
      <c r="H89" s="380" t="s">
        <v>3187</v>
      </c>
      <c r="I89" s="347" t="s">
        <v>3188</v>
      </c>
    </row>
    <row r="90" spans="2:9">
      <c r="B90" s="222">
        <f t="shared" si="3"/>
        <v>46</v>
      </c>
      <c r="C90" s="224" t="s">
        <v>3229</v>
      </c>
      <c r="D90" s="381" t="s">
        <v>1197</v>
      </c>
      <c r="E90" s="380" t="s">
        <v>3187</v>
      </c>
      <c r="F90" s="380" t="s">
        <v>3187</v>
      </c>
      <c r="G90" s="380" t="s">
        <v>3187</v>
      </c>
      <c r="H90" s="380" t="s">
        <v>3187</v>
      </c>
      <c r="I90" s="347" t="s">
        <v>3188</v>
      </c>
    </row>
    <row r="91" spans="2:9">
      <c r="B91" s="222">
        <f t="shared" si="3"/>
        <v>47</v>
      </c>
      <c r="C91" s="224" t="s">
        <v>3230</v>
      </c>
      <c r="D91" s="381" t="s">
        <v>1197</v>
      </c>
      <c r="E91" s="380" t="s">
        <v>3187</v>
      </c>
      <c r="F91" s="380" t="s">
        <v>3187</v>
      </c>
      <c r="G91" s="380" t="s">
        <v>3187</v>
      </c>
      <c r="H91" s="380" t="s">
        <v>3187</v>
      </c>
      <c r="I91" s="347" t="s">
        <v>3188</v>
      </c>
    </row>
    <row r="92" spans="2:9">
      <c r="B92" s="220" t="s">
        <v>3231</v>
      </c>
      <c r="C92" s="220"/>
      <c r="D92" s="220"/>
      <c r="E92" s="384"/>
      <c r="F92" s="384"/>
      <c r="G92" s="384"/>
      <c r="H92" s="384"/>
      <c r="I92" s="384"/>
    </row>
    <row r="93" spans="2:9">
      <c r="B93" s="222">
        <v>1</v>
      </c>
      <c r="C93" s="224" t="s">
        <v>3232</v>
      </c>
      <c r="D93" s="378" t="s">
        <v>3186</v>
      </c>
      <c r="E93" s="379" t="s">
        <v>3186</v>
      </c>
      <c r="F93" s="380" t="s">
        <v>3187</v>
      </c>
      <c r="G93" s="380" t="s">
        <v>3187</v>
      </c>
      <c r="H93" s="382" t="s">
        <v>1197</v>
      </c>
      <c r="I93" s="397" t="s">
        <v>4030</v>
      </c>
    </row>
    <row r="94" spans="2:9">
      <c r="B94" s="222">
        <f>B93+1</f>
        <v>2</v>
      </c>
      <c r="C94" s="224" t="s">
        <v>3233</v>
      </c>
      <c r="D94" s="378" t="s">
        <v>3186</v>
      </c>
      <c r="E94" s="379" t="s">
        <v>3186</v>
      </c>
      <c r="F94" s="380" t="s">
        <v>3187</v>
      </c>
      <c r="G94" s="380" t="s">
        <v>3187</v>
      </c>
      <c r="H94" s="382" t="s">
        <v>1197</v>
      </c>
      <c r="I94" s="397" t="s">
        <v>4030</v>
      </c>
    </row>
    <row r="95" spans="2:9">
      <c r="B95" s="222">
        <f t="shared" ref="B95:B105" si="4">B94+1</f>
        <v>3</v>
      </c>
      <c r="C95" s="224" t="s">
        <v>3234</v>
      </c>
      <c r="D95" s="378" t="s">
        <v>3186</v>
      </c>
      <c r="E95" s="379" t="s">
        <v>3186</v>
      </c>
      <c r="F95" s="380" t="s">
        <v>3187</v>
      </c>
      <c r="G95" s="380" t="s">
        <v>3187</v>
      </c>
      <c r="H95" s="382" t="s">
        <v>1197</v>
      </c>
      <c r="I95" s="397" t="s">
        <v>4030</v>
      </c>
    </row>
    <row r="96" spans="2:9">
      <c r="B96" s="222">
        <f t="shared" si="4"/>
        <v>4</v>
      </c>
      <c r="C96" s="224" t="s">
        <v>3235</v>
      </c>
      <c r="D96" s="378" t="s">
        <v>3186</v>
      </c>
      <c r="E96" s="379" t="s">
        <v>3186</v>
      </c>
      <c r="F96" s="380" t="s">
        <v>3187</v>
      </c>
      <c r="G96" s="380" t="s">
        <v>3187</v>
      </c>
      <c r="H96" s="382" t="s">
        <v>1197</v>
      </c>
      <c r="I96" s="397" t="s">
        <v>4030</v>
      </c>
    </row>
    <row r="97" spans="2:9">
      <c r="B97" s="222">
        <f t="shared" si="4"/>
        <v>5</v>
      </c>
      <c r="C97" s="224" t="s">
        <v>3236</v>
      </c>
      <c r="D97" s="378" t="s">
        <v>3186</v>
      </c>
      <c r="E97" s="382" t="s">
        <v>1197</v>
      </c>
      <c r="F97" s="380" t="s">
        <v>3187</v>
      </c>
      <c r="G97" s="380" t="s">
        <v>3187</v>
      </c>
      <c r="H97" s="382" t="s">
        <v>1197</v>
      </c>
      <c r="I97" s="347" t="s">
        <v>3188</v>
      </c>
    </row>
    <row r="98" spans="2:9">
      <c r="B98" s="222">
        <f t="shared" si="4"/>
        <v>6</v>
      </c>
      <c r="C98" s="224" t="s">
        <v>3237</v>
      </c>
      <c r="D98" s="378" t="s">
        <v>3186</v>
      </c>
      <c r="E98" s="379" t="s">
        <v>3186</v>
      </c>
      <c r="F98" s="380" t="s">
        <v>3187</v>
      </c>
      <c r="G98" s="380" t="s">
        <v>3187</v>
      </c>
      <c r="H98" s="382" t="s">
        <v>1197</v>
      </c>
      <c r="I98" s="397" t="s">
        <v>4030</v>
      </c>
    </row>
    <row r="99" spans="2:9">
      <c r="B99" s="222">
        <f t="shared" si="4"/>
        <v>7</v>
      </c>
      <c r="C99" s="224" t="s">
        <v>3238</v>
      </c>
      <c r="D99" s="378" t="s">
        <v>3186</v>
      </c>
      <c r="E99" s="379" t="s">
        <v>3186</v>
      </c>
      <c r="F99" s="380" t="s">
        <v>3187</v>
      </c>
      <c r="G99" s="380" t="s">
        <v>3187</v>
      </c>
      <c r="H99" s="382" t="s">
        <v>1197</v>
      </c>
      <c r="I99" s="397" t="s">
        <v>4030</v>
      </c>
    </row>
    <row r="100" spans="2:9">
      <c r="B100" s="222">
        <f t="shared" si="4"/>
        <v>8</v>
      </c>
      <c r="C100" s="224" t="s">
        <v>3239</v>
      </c>
      <c r="D100" s="378" t="s">
        <v>3186</v>
      </c>
      <c r="E100" s="379" t="s">
        <v>3186</v>
      </c>
      <c r="F100" s="380" t="s">
        <v>3187</v>
      </c>
      <c r="G100" s="380" t="s">
        <v>3187</v>
      </c>
      <c r="H100" s="382" t="s">
        <v>1197</v>
      </c>
      <c r="I100" s="397" t="s">
        <v>4030</v>
      </c>
    </row>
    <row r="101" spans="2:9">
      <c r="B101" s="222">
        <f t="shared" si="4"/>
        <v>9</v>
      </c>
      <c r="C101" s="224" t="s">
        <v>3240</v>
      </c>
      <c r="D101" s="378" t="s">
        <v>3186</v>
      </c>
      <c r="E101" s="502" t="s">
        <v>1197</v>
      </c>
      <c r="F101" s="380" t="s">
        <v>3187</v>
      </c>
      <c r="G101" s="380" t="s">
        <v>3187</v>
      </c>
      <c r="H101" s="382" t="s">
        <v>1197</v>
      </c>
      <c r="I101" s="347" t="s">
        <v>3188</v>
      </c>
    </row>
    <row r="102" spans="2:9">
      <c r="B102" s="222">
        <f t="shared" si="4"/>
        <v>10</v>
      </c>
      <c r="C102" s="224" t="s">
        <v>3241</v>
      </c>
      <c r="D102" s="378" t="s">
        <v>3186</v>
      </c>
      <c r="E102" s="379" t="s">
        <v>3186</v>
      </c>
      <c r="F102" s="380" t="s">
        <v>3187</v>
      </c>
      <c r="G102" s="380" t="s">
        <v>3187</v>
      </c>
      <c r="H102" s="382" t="s">
        <v>1197</v>
      </c>
      <c r="I102" s="397" t="s">
        <v>4030</v>
      </c>
    </row>
    <row r="103" spans="2:9">
      <c r="B103" s="222">
        <f t="shared" si="4"/>
        <v>11</v>
      </c>
      <c r="C103" s="224" t="s">
        <v>3242</v>
      </c>
      <c r="D103" s="378" t="s">
        <v>3186</v>
      </c>
      <c r="E103" s="379" t="s">
        <v>3186</v>
      </c>
      <c r="F103" s="380" t="s">
        <v>3187</v>
      </c>
      <c r="G103" s="380" t="s">
        <v>3187</v>
      </c>
      <c r="H103" s="382" t="s">
        <v>1197</v>
      </c>
      <c r="I103" s="397" t="s">
        <v>4030</v>
      </c>
    </row>
    <row r="104" spans="2:9">
      <c r="B104" s="222">
        <f t="shared" si="4"/>
        <v>12</v>
      </c>
      <c r="C104" s="224" t="s">
        <v>3243</v>
      </c>
      <c r="D104" s="378" t="s">
        <v>3186</v>
      </c>
      <c r="E104" s="502" t="s">
        <v>1197</v>
      </c>
      <c r="F104" s="380" t="s">
        <v>3187</v>
      </c>
      <c r="G104" s="380" t="s">
        <v>3187</v>
      </c>
      <c r="H104" s="382" t="s">
        <v>1197</v>
      </c>
      <c r="I104" s="347" t="s">
        <v>3188</v>
      </c>
    </row>
    <row r="105" spans="2:9">
      <c r="B105" s="222">
        <f t="shared" si="4"/>
        <v>13</v>
      </c>
      <c r="C105" s="224" t="s">
        <v>3244</v>
      </c>
      <c r="D105" s="378" t="s">
        <v>3186</v>
      </c>
      <c r="E105" s="382" t="s">
        <v>1197</v>
      </c>
      <c r="F105" s="380" t="s">
        <v>3187</v>
      </c>
      <c r="G105" s="380" t="s">
        <v>3187</v>
      </c>
      <c r="H105" s="382" t="s">
        <v>1197</v>
      </c>
      <c r="I105" s="347" t="s">
        <v>3188</v>
      </c>
    </row>
  </sheetData>
  <autoFilter ref="B20:H105"/>
  <mergeCells count="7">
    <mergeCell ref="K5:L5"/>
    <mergeCell ref="I5:J5"/>
    <mergeCell ref="G5:H5"/>
    <mergeCell ref="E4:F4"/>
    <mergeCell ref="E17:E18"/>
    <mergeCell ref="E5:F5"/>
    <mergeCell ref="I17:I18"/>
  </mergeCells>
  <dataValidations count="1">
    <dataValidation type="list" allowBlank="1" showInputMessage="1" showErrorMessage="1" sqref="B17 E22:H24 E34:H43 E93:H105 D79:E79 E26:H31 E80:E91 E45:E78 F45:H91">
      <formula1>"Oui,Non,N/a"</formula1>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2"/>
  <dimension ref="A2:S189"/>
  <sheetViews>
    <sheetView zoomScale="70" zoomScaleNormal="70" workbookViewId="0">
      <selection activeCell="M12" sqref="M12"/>
    </sheetView>
  </sheetViews>
  <sheetFormatPr baseColWidth="10" defaultColWidth="11.59765625" defaultRowHeight="13.2"/>
  <cols>
    <col min="1" max="1" width="7.8984375" style="269" customWidth="1"/>
    <col min="2" max="2" width="15.09765625" style="269" customWidth="1"/>
    <col min="3" max="3" width="20.8984375" style="320" customWidth="1"/>
    <col min="4" max="4" width="20.3984375" style="238" customWidth="1"/>
    <col min="5" max="5" width="16" style="238" customWidth="1"/>
    <col min="6" max="6" width="21.296875" style="238" customWidth="1"/>
    <col min="7" max="7" width="11.09765625" style="238" bestFit="1" customWidth="1"/>
    <col min="8" max="8" width="21.59765625" style="238" bestFit="1" customWidth="1"/>
    <col min="9" max="9" width="11.09765625" style="238" bestFit="1" customWidth="1"/>
    <col min="10" max="10" width="7.69921875" style="238" bestFit="1" customWidth="1"/>
    <col min="11" max="11" width="8.69921875" style="238" customWidth="1"/>
    <col min="12" max="12" width="7.69921875" style="238" bestFit="1" customWidth="1"/>
    <col min="13" max="13" width="21.59765625" style="343" customWidth="1"/>
    <col min="14" max="14" width="14.69921875" style="238" bestFit="1" customWidth="1"/>
    <col min="15" max="15" width="21" style="238" bestFit="1" customWidth="1"/>
    <col min="16" max="16" width="15.59765625" style="238" bestFit="1" customWidth="1"/>
    <col min="17" max="18" width="11.59765625" style="269"/>
    <col min="19" max="19" width="14.59765625" style="269" bestFit="1" customWidth="1"/>
    <col min="20" max="20" width="11.69921875" style="269" bestFit="1" customWidth="1"/>
    <col min="21" max="21" width="30.3984375" style="269" bestFit="1" customWidth="1"/>
    <col min="22" max="22" width="7.3984375" style="269" bestFit="1" customWidth="1"/>
    <col min="23" max="23" width="4.296875" style="269" bestFit="1" customWidth="1"/>
    <col min="24" max="24" width="6" style="269" bestFit="1" customWidth="1"/>
    <col min="25" max="25" width="7.59765625" style="269" bestFit="1" customWidth="1"/>
    <col min="26" max="26" width="8.296875" style="269" customWidth="1"/>
    <col min="27" max="27" width="9.296875" style="269" customWidth="1"/>
    <col min="28" max="28" width="4.8984375" style="269" bestFit="1" customWidth="1"/>
    <col min="29" max="29" width="7.59765625" style="269" bestFit="1" customWidth="1"/>
    <col min="30" max="30" width="4.8984375" style="269" bestFit="1" customWidth="1"/>
    <col min="31" max="31" width="6.8984375" style="269" bestFit="1" customWidth="1"/>
    <col min="32" max="32" width="6.296875" style="269" customWidth="1"/>
    <col min="33" max="33" width="9.8984375" style="269" customWidth="1"/>
    <col min="34" max="34" width="4.8984375" style="269" bestFit="1" customWidth="1"/>
    <col min="35" max="35" width="7.8984375" style="269" bestFit="1" customWidth="1"/>
    <col min="36" max="36" width="11.09765625" style="269" bestFit="1" customWidth="1"/>
    <col min="37" max="16384" width="11.59765625" style="269"/>
  </cols>
  <sheetData>
    <row r="2" spans="1:17" ht="16.2">
      <c r="A2" s="10" t="s">
        <v>3775</v>
      </c>
    </row>
    <row r="5" spans="1:17" ht="13.2" customHeight="1">
      <c r="C5" s="269"/>
      <c r="D5" s="269"/>
      <c r="E5" s="269"/>
      <c r="F5" s="269"/>
      <c r="G5" s="405"/>
    </row>
    <row r="6" spans="1:17">
      <c r="B6" s="664" t="s">
        <v>3791</v>
      </c>
      <c r="C6" s="666" t="s">
        <v>3793</v>
      </c>
      <c r="D6" s="666"/>
      <c r="E6" s="666" t="s">
        <v>3794</v>
      </c>
      <c r="F6" s="666"/>
      <c r="G6" s="666" t="s">
        <v>4034</v>
      </c>
      <c r="H6" s="666"/>
    </row>
    <row r="7" spans="1:17" ht="13.8" thickBot="1">
      <c r="B7" s="665"/>
      <c r="C7" s="332" t="s">
        <v>3790</v>
      </c>
      <c r="D7" s="332" t="s">
        <v>4033</v>
      </c>
      <c r="E7" s="332" t="s">
        <v>3790</v>
      </c>
      <c r="F7" s="332" t="s">
        <v>4033</v>
      </c>
      <c r="G7" s="332" t="s">
        <v>3790</v>
      </c>
      <c r="H7" s="332" t="s">
        <v>4033</v>
      </c>
    </row>
    <row r="8" spans="1:17" ht="13.8" thickTop="1">
      <c r="B8" s="269" t="s">
        <v>3188</v>
      </c>
      <c r="C8" s="269">
        <f>COUNTIF($Q$20:$Q$26,"Faible")</f>
        <v>1</v>
      </c>
      <c r="D8" s="337">
        <f>SUMIF($Q$20:$Q$26,"Faible",$P$20:$P$26)</f>
        <v>1.8452671916493679E-4</v>
      </c>
      <c r="E8" s="269">
        <f>COUNTIF($Q$28:$Q$134,"Faible")</f>
        <v>44</v>
      </c>
      <c r="F8" s="337">
        <f>SUMIF($Q$28:$Q$134,"Faible",$P$28:$P$134)</f>
        <v>7.5404935725834579E-2</v>
      </c>
      <c r="G8" s="380">
        <f>C8+E8</f>
        <v>45</v>
      </c>
      <c r="H8" s="326">
        <f>D8+F8</f>
        <v>7.5589462444999519E-2</v>
      </c>
    </row>
    <row r="9" spans="1:17">
      <c r="B9" s="269" t="s">
        <v>4030</v>
      </c>
      <c r="C9" s="269">
        <f>COUNTIF($Q$20:$Q$26,"Moyen")</f>
        <v>0</v>
      </c>
      <c r="D9" s="337">
        <f>SUMIF($Q$20:$Q$26,"Moyen",$P$20:$P$26)</f>
        <v>0</v>
      </c>
      <c r="E9" s="269">
        <f>COUNTIF($Q$28:$Q$134,"Moyen")</f>
        <v>36</v>
      </c>
      <c r="F9" s="337">
        <f>SUMIF($Q$28:$Q$134,"Moyen",$P$28:$P$134)</f>
        <v>0.33336655472890647</v>
      </c>
      <c r="G9" s="380">
        <f t="shared" ref="G9:G10" si="0">C9+E9</f>
        <v>36</v>
      </c>
      <c r="H9" s="326">
        <f t="shared" ref="G9:H11" si="1">D9+F9</f>
        <v>0.33336655472890647</v>
      </c>
    </row>
    <row r="10" spans="1:17">
      <c r="B10" s="269" t="s">
        <v>3804</v>
      </c>
      <c r="C10" s="269">
        <f>COUNTIF($Q$20:$Q$26,"Elevé")</f>
        <v>6</v>
      </c>
      <c r="D10" s="337">
        <f>SUMIF($Q$20:$Q$26,"Elevé",$P$20:$P$26)</f>
        <v>4.4457045212773882E-2</v>
      </c>
      <c r="E10" s="269">
        <f>COUNTIF($Q$28:$Q$134,"Elevé")</f>
        <v>27</v>
      </c>
      <c r="F10" s="337">
        <f>SUMIF($Q$28:$Q$134,"Elevé",$P$28:$P$134)</f>
        <v>0.54658693761332022</v>
      </c>
      <c r="G10" s="380">
        <f t="shared" si="0"/>
        <v>33</v>
      </c>
      <c r="H10" s="326">
        <f t="shared" si="1"/>
        <v>0.59104398282609405</v>
      </c>
    </row>
    <row r="11" spans="1:17">
      <c r="B11" s="398" t="s">
        <v>4032</v>
      </c>
      <c r="C11" s="398">
        <f>SUM(C8:C10)</f>
        <v>7</v>
      </c>
      <c r="D11" s="406">
        <f>SUM(D8:D10)</f>
        <v>4.4641571931938823E-2</v>
      </c>
      <c r="E11" s="398">
        <f>SUM(E8:E10)</f>
        <v>107</v>
      </c>
      <c r="F11" s="406">
        <f>SUM(F8:F10)</f>
        <v>0.95535842806806126</v>
      </c>
      <c r="G11" s="385">
        <f t="shared" si="1"/>
        <v>114</v>
      </c>
      <c r="H11" s="406" t="s">
        <v>3804</v>
      </c>
    </row>
    <row r="14" spans="1:17" ht="13.2" customHeight="1">
      <c r="F14" s="667" t="s">
        <v>3176</v>
      </c>
      <c r="G14" s="667"/>
      <c r="H14" s="667"/>
      <c r="I14" s="667"/>
      <c r="J14" s="667"/>
      <c r="K14" s="667"/>
      <c r="L14" s="667"/>
      <c r="M14" s="667"/>
      <c r="N14" s="667"/>
      <c r="O14" s="667"/>
      <c r="P14" s="269"/>
    </row>
    <row r="15" spans="1:17" ht="27" customHeight="1">
      <c r="F15" s="658" t="s">
        <v>3776</v>
      </c>
      <c r="G15" s="660" t="s">
        <v>3777</v>
      </c>
      <c r="H15" s="661"/>
      <c r="I15" s="662" t="s">
        <v>3776</v>
      </c>
      <c r="J15" s="663"/>
      <c r="K15" s="663"/>
      <c r="L15" s="663"/>
      <c r="M15" s="663"/>
      <c r="N15" s="663"/>
      <c r="O15" s="663"/>
      <c r="P15" s="644" t="s">
        <v>4031</v>
      </c>
      <c r="Q15" s="646" t="s">
        <v>3179</v>
      </c>
    </row>
    <row r="16" spans="1:17">
      <c r="F16" s="659"/>
      <c r="G16" s="648" t="s">
        <v>3177</v>
      </c>
      <c r="H16" s="648" t="s">
        <v>3778</v>
      </c>
      <c r="I16" s="648" t="s">
        <v>3177</v>
      </c>
      <c r="J16" s="650" t="s">
        <v>3779</v>
      </c>
      <c r="K16" s="650" t="s">
        <v>3780</v>
      </c>
      <c r="L16" s="652" t="s">
        <v>3781</v>
      </c>
      <c r="M16" s="653"/>
      <c r="N16" s="656" t="s">
        <v>3782</v>
      </c>
      <c r="O16" s="657"/>
      <c r="P16" s="645"/>
      <c r="Q16" s="647"/>
    </row>
    <row r="17" spans="2:19" ht="26.4">
      <c r="F17" s="659"/>
      <c r="G17" s="649"/>
      <c r="H17" s="649"/>
      <c r="I17" s="649"/>
      <c r="J17" s="651"/>
      <c r="K17" s="651"/>
      <c r="L17" s="654"/>
      <c r="M17" s="655"/>
      <c r="N17" s="321" t="s">
        <v>3783</v>
      </c>
      <c r="O17" s="321" t="s">
        <v>3784</v>
      </c>
      <c r="P17" s="645"/>
      <c r="Q17" s="647"/>
      <c r="S17" s="326"/>
    </row>
    <row r="18" spans="2:19">
      <c r="B18" s="331" t="s">
        <v>1076</v>
      </c>
      <c r="C18" s="331" t="s">
        <v>3785</v>
      </c>
      <c r="D18" s="346" t="s">
        <v>3786</v>
      </c>
      <c r="E18" s="346" t="s">
        <v>1084</v>
      </c>
      <c r="F18" s="322" t="s">
        <v>3183</v>
      </c>
      <c r="G18" s="322" t="s">
        <v>3183</v>
      </c>
      <c r="H18" s="322" t="s">
        <v>3183</v>
      </c>
      <c r="I18" s="323" t="s">
        <v>3183</v>
      </c>
      <c r="J18" s="323" t="s">
        <v>3183</v>
      </c>
      <c r="K18" s="323" t="s">
        <v>3183</v>
      </c>
      <c r="L18" s="322" t="s">
        <v>3183</v>
      </c>
      <c r="M18" s="341" t="s">
        <v>3787</v>
      </c>
      <c r="N18" s="323" t="s">
        <v>3183</v>
      </c>
      <c r="O18" s="341"/>
      <c r="P18" s="645"/>
      <c r="Q18" s="647"/>
    </row>
    <row r="19" spans="2:19">
      <c r="B19" s="333" t="s">
        <v>3792</v>
      </c>
      <c r="C19" s="334"/>
      <c r="D19" s="335"/>
      <c r="E19" s="335"/>
      <c r="F19" s="335"/>
      <c r="G19" s="335"/>
      <c r="H19" s="335"/>
      <c r="I19" s="335"/>
      <c r="J19" s="335"/>
      <c r="K19" s="335"/>
      <c r="L19" s="335"/>
      <c r="M19" s="335"/>
      <c r="N19" s="335"/>
      <c r="O19" s="335"/>
      <c r="P19" s="335"/>
      <c r="Q19" s="335"/>
    </row>
    <row r="20" spans="2:19" ht="26.4">
      <c r="B20" s="268">
        <v>1</v>
      </c>
      <c r="C20" s="320" t="s">
        <v>1023</v>
      </c>
      <c r="D20" s="238" t="s">
        <v>3789</v>
      </c>
      <c r="E20" s="387" t="s">
        <v>3186</v>
      </c>
      <c r="F20" s="388" t="s">
        <v>3186</v>
      </c>
      <c r="G20" s="390"/>
      <c r="H20" s="390"/>
      <c r="I20" s="388" t="s">
        <v>3186</v>
      </c>
      <c r="J20" s="388" t="s">
        <v>3186</v>
      </c>
      <c r="K20" s="327" t="s">
        <v>1197</v>
      </c>
      <c r="L20" s="327" t="s">
        <v>1197</v>
      </c>
      <c r="M20" s="342"/>
      <c r="N20" s="330" t="s">
        <v>3187</v>
      </c>
      <c r="O20" s="325"/>
      <c r="P20" s="326">
        <v>1.4518818200250531E-2</v>
      </c>
      <c r="Q20" s="505" t="s">
        <v>3804</v>
      </c>
    </row>
    <row r="21" spans="2:19" ht="26.4">
      <c r="B21" s="268">
        <v>2</v>
      </c>
      <c r="C21" s="320" t="s">
        <v>1027</v>
      </c>
      <c r="D21" s="238" t="s">
        <v>3789</v>
      </c>
      <c r="E21" s="387" t="s">
        <v>3186</v>
      </c>
      <c r="F21" s="388" t="s">
        <v>3186</v>
      </c>
      <c r="G21" s="390"/>
      <c r="H21" s="390"/>
      <c r="I21" s="388" t="s">
        <v>3186</v>
      </c>
      <c r="J21" s="388" t="s">
        <v>3186</v>
      </c>
      <c r="K21" s="327" t="s">
        <v>1197</v>
      </c>
      <c r="L21" s="327" t="s">
        <v>1197</v>
      </c>
      <c r="M21" s="342"/>
      <c r="N21" s="330" t="s">
        <v>3187</v>
      </c>
      <c r="O21" s="325"/>
      <c r="P21" s="326">
        <v>1.3227517274592888E-2</v>
      </c>
      <c r="Q21" s="505" t="s">
        <v>3804</v>
      </c>
    </row>
    <row r="22" spans="2:19">
      <c r="B22" s="268">
        <v>3</v>
      </c>
      <c r="C22" s="320" t="s">
        <v>3795</v>
      </c>
      <c r="D22" s="238" t="s">
        <v>3789</v>
      </c>
      <c r="E22" s="387" t="s">
        <v>3186</v>
      </c>
      <c r="F22" s="388" t="s">
        <v>3186</v>
      </c>
      <c r="G22" s="390"/>
      <c r="H22" s="390"/>
      <c r="I22" s="388" t="s">
        <v>3186</v>
      </c>
      <c r="J22" s="388" t="s">
        <v>3186</v>
      </c>
      <c r="K22" s="327" t="s">
        <v>1197</v>
      </c>
      <c r="L22" s="327" t="s">
        <v>1197</v>
      </c>
      <c r="M22" s="342"/>
      <c r="N22" s="330" t="s">
        <v>3187</v>
      </c>
      <c r="O22" s="325"/>
      <c r="P22" s="326">
        <v>5.9427074552923804E-3</v>
      </c>
      <c r="Q22" s="505" t="s">
        <v>3804</v>
      </c>
    </row>
    <row r="23" spans="2:19" ht="26.4">
      <c r="B23" s="268">
        <v>4</v>
      </c>
      <c r="C23" s="320" t="s">
        <v>1032</v>
      </c>
      <c r="D23" s="238" t="s">
        <v>3789</v>
      </c>
      <c r="E23" s="387" t="s">
        <v>3186</v>
      </c>
      <c r="F23" s="388" t="s">
        <v>3186</v>
      </c>
      <c r="G23" s="390"/>
      <c r="H23" s="390"/>
      <c r="I23" s="388" t="s">
        <v>3186</v>
      </c>
      <c r="J23" s="388" t="s">
        <v>3186</v>
      </c>
      <c r="K23" s="327" t="s">
        <v>1197</v>
      </c>
      <c r="L23" s="327" t="s">
        <v>1197</v>
      </c>
      <c r="M23" s="342"/>
      <c r="N23" s="330" t="s">
        <v>3187</v>
      </c>
      <c r="O23" s="325"/>
      <c r="P23" s="326">
        <v>5.7849309017375394E-3</v>
      </c>
      <c r="Q23" s="505" t="s">
        <v>3804</v>
      </c>
    </row>
    <row r="24" spans="2:19">
      <c r="B24" s="268">
        <v>5</v>
      </c>
      <c r="C24" s="320" t="s">
        <v>1035</v>
      </c>
      <c r="D24" s="238" t="s">
        <v>3789</v>
      </c>
      <c r="E24" s="387" t="s">
        <v>3186</v>
      </c>
      <c r="F24" s="388" t="s">
        <v>3186</v>
      </c>
      <c r="G24" s="390"/>
      <c r="H24" s="390"/>
      <c r="I24" s="388" t="s">
        <v>3186</v>
      </c>
      <c r="J24" s="388" t="s">
        <v>3186</v>
      </c>
      <c r="K24" s="327" t="s">
        <v>1197</v>
      </c>
      <c r="L24" s="327" t="s">
        <v>1197</v>
      </c>
      <c r="M24" s="342"/>
      <c r="N24" s="330" t="s">
        <v>3187</v>
      </c>
      <c r="O24" s="325"/>
      <c r="P24" s="326">
        <v>4.9682129703345476E-3</v>
      </c>
      <c r="Q24" s="505" t="s">
        <v>3804</v>
      </c>
    </row>
    <row r="25" spans="2:19">
      <c r="B25" s="268">
        <v>6</v>
      </c>
      <c r="C25" s="320" t="s">
        <v>1039</v>
      </c>
      <c r="D25" s="238" t="s">
        <v>3789</v>
      </c>
      <c r="E25" s="387" t="s">
        <v>3186</v>
      </c>
      <c r="F25" s="324"/>
      <c r="G25" s="324"/>
      <c r="H25" s="324"/>
      <c r="I25" s="327" t="s">
        <v>1197</v>
      </c>
      <c r="J25" s="327" t="s">
        <v>1197</v>
      </c>
      <c r="K25" s="327" t="s">
        <v>1197</v>
      </c>
      <c r="L25" s="329"/>
      <c r="M25" s="342"/>
      <c r="N25" s="330" t="s">
        <v>3187</v>
      </c>
      <c r="O25" s="325"/>
      <c r="P25" s="326">
        <v>1.8452671916493679E-4</v>
      </c>
      <c r="Q25" s="347" t="s">
        <v>3188</v>
      </c>
    </row>
    <row r="26" spans="2:19" ht="39.6">
      <c r="B26" s="339">
        <v>7</v>
      </c>
      <c r="C26" s="344" t="s">
        <v>2134</v>
      </c>
      <c r="D26" s="348" t="s">
        <v>2384</v>
      </c>
      <c r="E26" s="387" t="s">
        <v>3186</v>
      </c>
      <c r="F26" s="388" t="s">
        <v>3186</v>
      </c>
      <c r="G26" s="390"/>
      <c r="H26" s="390"/>
      <c r="I26" s="392" t="s">
        <v>3186</v>
      </c>
      <c r="J26" s="329" t="s">
        <v>3187</v>
      </c>
      <c r="K26" s="388" t="s">
        <v>3186</v>
      </c>
      <c r="L26" s="388" t="s">
        <v>3186</v>
      </c>
      <c r="M26" s="342" t="s">
        <v>6510</v>
      </c>
      <c r="N26" s="328" t="s">
        <v>1197</v>
      </c>
      <c r="O26" s="325"/>
      <c r="P26" s="395">
        <v>1.4858410565995012E-5</v>
      </c>
      <c r="Q26" s="505" t="s">
        <v>3804</v>
      </c>
    </row>
    <row r="27" spans="2:19">
      <c r="B27" s="340" t="s">
        <v>3794</v>
      </c>
      <c r="C27" s="334"/>
      <c r="D27" s="335"/>
      <c r="E27" s="335"/>
      <c r="F27" s="335"/>
      <c r="G27" s="335"/>
      <c r="H27" s="335"/>
      <c r="I27" s="335"/>
      <c r="J27" s="335"/>
      <c r="K27" s="335"/>
      <c r="L27" s="335"/>
      <c r="M27" s="335"/>
      <c r="N27" s="335"/>
      <c r="O27" s="335"/>
      <c r="P27" s="394"/>
      <c r="Q27" s="498"/>
    </row>
    <row r="28" spans="2:19" ht="26.4">
      <c r="B28" s="339">
        <v>1</v>
      </c>
      <c r="C28" s="344" t="s">
        <v>1837</v>
      </c>
      <c r="D28" s="348" t="s">
        <v>2384</v>
      </c>
      <c r="E28" s="387" t="s">
        <v>3186</v>
      </c>
      <c r="F28" s="388" t="s">
        <v>3186</v>
      </c>
      <c r="G28" s="390"/>
      <c r="H28" s="390"/>
      <c r="I28" s="327" t="s">
        <v>1197</v>
      </c>
      <c r="J28" s="327" t="s">
        <v>1197</v>
      </c>
      <c r="K28" s="388" t="s">
        <v>3186</v>
      </c>
      <c r="L28" s="388" t="s">
        <v>3186</v>
      </c>
      <c r="M28" s="342" t="s">
        <v>6510</v>
      </c>
      <c r="N28" s="388" t="s">
        <v>3186</v>
      </c>
      <c r="O28" s="349" t="s">
        <v>3796</v>
      </c>
      <c r="P28" s="326">
        <v>2.2221919405386596E-2</v>
      </c>
      <c r="Q28" s="397" t="s">
        <v>4030</v>
      </c>
    </row>
    <row r="29" spans="2:19" ht="26.4">
      <c r="B29" s="339">
        <v>2</v>
      </c>
      <c r="C29" s="344" t="s">
        <v>1866</v>
      </c>
      <c r="D29" s="348" t="s">
        <v>2384</v>
      </c>
      <c r="E29" s="387" t="s">
        <v>3186</v>
      </c>
      <c r="F29" s="388" t="s">
        <v>3186</v>
      </c>
      <c r="G29" s="390"/>
      <c r="H29" s="390"/>
      <c r="I29" s="388" t="s">
        <v>3186</v>
      </c>
      <c r="J29" s="327" t="s">
        <v>1197</v>
      </c>
      <c r="K29" s="327" t="s">
        <v>1197</v>
      </c>
      <c r="L29" s="388" t="s">
        <v>3186</v>
      </c>
      <c r="M29" s="342" t="s">
        <v>6511</v>
      </c>
      <c r="N29" s="328" t="s">
        <v>1197</v>
      </c>
      <c r="O29" s="325"/>
      <c r="P29" s="326">
        <v>4.3581402788616253E-4</v>
      </c>
      <c r="Q29" s="397" t="s">
        <v>4030</v>
      </c>
    </row>
    <row r="30" spans="2:19" ht="39.6">
      <c r="B30" s="339">
        <v>3</v>
      </c>
      <c r="C30" s="344" t="s">
        <v>1863</v>
      </c>
      <c r="D30" s="348" t="s">
        <v>2384</v>
      </c>
      <c r="E30" s="387" t="s">
        <v>3186</v>
      </c>
      <c r="F30" s="388" t="s">
        <v>3186</v>
      </c>
      <c r="G30" s="390"/>
      <c r="H30" s="390"/>
      <c r="I30" s="388" t="s">
        <v>3186</v>
      </c>
      <c r="J30" s="327" t="s">
        <v>1197</v>
      </c>
      <c r="K30" s="388" t="s">
        <v>3186</v>
      </c>
      <c r="L30" s="388" t="s">
        <v>3186</v>
      </c>
      <c r="M30" s="342" t="s">
        <v>6510</v>
      </c>
      <c r="N30" s="328" t="s">
        <v>1197</v>
      </c>
      <c r="O30" s="325"/>
      <c r="P30" s="326">
        <v>1.4179471364158236E-3</v>
      </c>
      <c r="Q30" s="505" t="s">
        <v>3804</v>
      </c>
    </row>
    <row r="31" spans="2:19" ht="39.6">
      <c r="B31" s="339">
        <v>4</v>
      </c>
      <c r="C31" s="344" t="s">
        <v>1886</v>
      </c>
      <c r="D31" s="348" t="s">
        <v>2384</v>
      </c>
      <c r="E31" s="387" t="s">
        <v>3186</v>
      </c>
      <c r="F31" s="388" t="s">
        <v>3186</v>
      </c>
      <c r="G31" s="390"/>
      <c r="H31" s="390"/>
      <c r="I31" s="388" t="s">
        <v>3186</v>
      </c>
      <c r="J31" s="327" t="s">
        <v>1197</v>
      </c>
      <c r="K31" s="388" t="s">
        <v>3186</v>
      </c>
      <c r="L31" s="388" t="s">
        <v>3186</v>
      </c>
      <c r="M31" s="342" t="s">
        <v>3797</v>
      </c>
      <c r="N31" s="328" t="s">
        <v>1197</v>
      </c>
      <c r="O31" s="325"/>
      <c r="P31" s="326">
        <v>7.3161760252276158E-5</v>
      </c>
      <c r="Q31" s="505" t="s">
        <v>3804</v>
      </c>
    </row>
    <row r="32" spans="2:19" ht="39.6">
      <c r="B32" s="339">
        <v>5</v>
      </c>
      <c r="C32" s="344" t="s">
        <v>1891</v>
      </c>
      <c r="D32" s="348" t="s">
        <v>2384</v>
      </c>
      <c r="E32" s="387" t="s">
        <v>3186</v>
      </c>
      <c r="F32" s="388" t="s">
        <v>3186</v>
      </c>
      <c r="G32" s="390"/>
      <c r="H32" s="390"/>
      <c r="I32" s="327" t="s">
        <v>1197</v>
      </c>
      <c r="J32" s="327" t="s">
        <v>1197</v>
      </c>
      <c r="K32" s="327" t="s">
        <v>1197</v>
      </c>
      <c r="L32" s="327" t="s">
        <v>1197</v>
      </c>
      <c r="M32" s="342"/>
      <c r="N32" s="328" t="s">
        <v>1197</v>
      </c>
      <c r="O32" s="325"/>
      <c r="P32" s="395">
        <v>4.3857423412233182E-5</v>
      </c>
      <c r="Q32" s="347" t="s">
        <v>3188</v>
      </c>
    </row>
    <row r="33" spans="2:19" ht="26.4">
      <c r="B33" s="339">
        <v>6</v>
      </c>
      <c r="C33" s="344" t="s">
        <v>1896</v>
      </c>
      <c r="D33" s="348" t="s">
        <v>2384</v>
      </c>
      <c r="E33" s="387" t="s">
        <v>3186</v>
      </c>
      <c r="F33" s="388" t="s">
        <v>3186</v>
      </c>
      <c r="G33" s="390"/>
      <c r="H33" s="390"/>
      <c r="I33" s="388" t="s">
        <v>3186</v>
      </c>
      <c r="J33" s="327" t="s">
        <v>1197</v>
      </c>
      <c r="K33" s="388" t="s">
        <v>3186</v>
      </c>
      <c r="L33" s="388" t="s">
        <v>3186</v>
      </c>
      <c r="M33" s="342" t="s">
        <v>3798</v>
      </c>
      <c r="N33" s="328" t="s">
        <v>1197</v>
      </c>
      <c r="O33" s="325"/>
      <c r="P33" s="395">
        <v>2.4147109398779275E-5</v>
      </c>
      <c r="Q33" s="505" t="s">
        <v>3804</v>
      </c>
    </row>
    <row r="34" spans="2:19" ht="39.6">
      <c r="B34" s="339">
        <v>7</v>
      </c>
      <c r="C34" s="344" t="s">
        <v>1916</v>
      </c>
      <c r="D34" s="348" t="s">
        <v>2384</v>
      </c>
      <c r="E34" s="387" t="s">
        <v>3186</v>
      </c>
      <c r="F34" s="388" t="s">
        <v>3186</v>
      </c>
      <c r="G34" s="390"/>
      <c r="H34" s="390"/>
      <c r="I34" s="388" t="s">
        <v>3186</v>
      </c>
      <c r="J34" s="327" t="s">
        <v>1197</v>
      </c>
      <c r="K34" s="327" t="s">
        <v>1197</v>
      </c>
      <c r="L34" s="327" t="s">
        <v>1197</v>
      </c>
      <c r="M34" s="342" t="s">
        <v>3798</v>
      </c>
      <c r="N34" s="328" t="s">
        <v>1197</v>
      </c>
      <c r="O34" s="325"/>
      <c r="P34" s="326">
        <v>2.6134131988945382E-5</v>
      </c>
      <c r="Q34" s="397" t="s">
        <v>4030</v>
      </c>
    </row>
    <row r="35" spans="2:19" ht="26.4">
      <c r="B35" s="339">
        <v>8</v>
      </c>
      <c r="C35" s="344" t="s">
        <v>1869</v>
      </c>
      <c r="D35" s="348" t="s">
        <v>2384</v>
      </c>
      <c r="E35" s="387" t="s">
        <v>3186</v>
      </c>
      <c r="F35" s="388" t="s">
        <v>3186</v>
      </c>
      <c r="G35" s="390"/>
      <c r="H35" s="390"/>
      <c r="I35" s="327" t="s">
        <v>1197</v>
      </c>
      <c r="J35" s="327" t="s">
        <v>1197</v>
      </c>
      <c r="K35" s="327" t="s">
        <v>1197</v>
      </c>
      <c r="L35" s="327" t="s">
        <v>1197</v>
      </c>
      <c r="M35" s="342"/>
      <c r="N35" s="328" t="s">
        <v>1197</v>
      </c>
      <c r="O35" s="325"/>
      <c r="P35" s="326">
        <v>2.9699241871740655E-4</v>
      </c>
      <c r="Q35" s="347" t="s">
        <v>3188</v>
      </c>
    </row>
    <row r="36" spans="2:19" ht="26.4">
      <c r="B36" s="268">
        <v>9</v>
      </c>
      <c r="C36" s="320" t="s">
        <v>1829</v>
      </c>
      <c r="D36" s="238" t="s">
        <v>3789</v>
      </c>
      <c r="E36" s="387" t="s">
        <v>3186</v>
      </c>
      <c r="F36" s="388" t="s">
        <v>3186</v>
      </c>
      <c r="G36" s="390"/>
      <c r="H36" s="390"/>
      <c r="I36" s="388" t="s">
        <v>3186</v>
      </c>
      <c r="J36" s="327" t="s">
        <v>1197</v>
      </c>
      <c r="K36" s="388" t="s">
        <v>3186</v>
      </c>
      <c r="L36" s="327" t="s">
        <v>1197</v>
      </c>
      <c r="M36" s="342"/>
      <c r="N36" s="330" t="s">
        <v>3187</v>
      </c>
      <c r="O36" s="325"/>
      <c r="P36" s="326">
        <v>0.1725027154012175</v>
      </c>
      <c r="Q36" s="505" t="s">
        <v>3804</v>
      </c>
    </row>
    <row r="37" spans="2:19" ht="26.4">
      <c r="B37" s="268">
        <v>10</v>
      </c>
      <c r="C37" s="320" t="s">
        <v>1830</v>
      </c>
      <c r="D37" s="238" t="s">
        <v>3789</v>
      </c>
      <c r="E37" s="387" t="s">
        <v>3186</v>
      </c>
      <c r="F37" s="388" t="s">
        <v>3186</v>
      </c>
      <c r="G37" s="390"/>
      <c r="H37" s="390"/>
      <c r="I37" s="388" t="s">
        <v>3186</v>
      </c>
      <c r="J37" s="327" t="s">
        <v>1197</v>
      </c>
      <c r="K37" s="388" t="s">
        <v>3186</v>
      </c>
      <c r="L37" s="388" t="s">
        <v>3186</v>
      </c>
      <c r="M37" s="342" t="s">
        <v>3798</v>
      </c>
      <c r="N37" s="330" t="s">
        <v>3187</v>
      </c>
      <c r="O37" s="325"/>
      <c r="P37" s="326">
        <v>0.13312000879386129</v>
      </c>
      <c r="Q37" s="505" t="s">
        <v>3804</v>
      </c>
    </row>
    <row r="38" spans="2:19" ht="26.4">
      <c r="B38" s="268">
        <v>11</v>
      </c>
      <c r="C38" s="320" t="s">
        <v>1831</v>
      </c>
      <c r="D38" s="238" t="s">
        <v>3789</v>
      </c>
      <c r="E38" s="387" t="s">
        <v>3186</v>
      </c>
      <c r="F38" s="388" t="s">
        <v>3186</v>
      </c>
      <c r="G38" s="390"/>
      <c r="H38" s="390"/>
      <c r="I38" s="388" t="s">
        <v>3186</v>
      </c>
      <c r="J38" s="327" t="s">
        <v>1197</v>
      </c>
      <c r="K38" s="388" t="s">
        <v>3186</v>
      </c>
      <c r="L38" s="388" t="s">
        <v>3186</v>
      </c>
      <c r="M38" s="342" t="s">
        <v>4026</v>
      </c>
      <c r="N38" s="330" t="s">
        <v>3187</v>
      </c>
      <c r="O38" s="325"/>
      <c r="P38" s="326">
        <v>9.5839376132695969E-2</v>
      </c>
      <c r="Q38" s="505" t="s">
        <v>3804</v>
      </c>
      <c r="S38" s="506"/>
    </row>
    <row r="39" spans="2:19" ht="39.6">
      <c r="B39" s="268">
        <v>12</v>
      </c>
      <c r="C39" s="320" t="s">
        <v>1832</v>
      </c>
      <c r="D39" s="238" t="s">
        <v>3789</v>
      </c>
      <c r="E39" s="387" t="s">
        <v>3186</v>
      </c>
      <c r="F39" s="388" t="s">
        <v>3186</v>
      </c>
      <c r="G39" s="390"/>
      <c r="H39" s="390"/>
      <c r="I39" s="388" t="s">
        <v>3186</v>
      </c>
      <c r="J39" s="327" t="s">
        <v>1197</v>
      </c>
      <c r="K39" s="327" t="s">
        <v>1197</v>
      </c>
      <c r="L39" s="327" t="s">
        <v>1197</v>
      </c>
      <c r="M39" s="342" t="s">
        <v>4025</v>
      </c>
      <c r="N39" s="330" t="s">
        <v>3187</v>
      </c>
      <c r="O39" s="325"/>
      <c r="P39" s="326">
        <v>7.1083994432117728E-2</v>
      </c>
      <c r="Q39" s="397" t="s">
        <v>4030</v>
      </c>
    </row>
    <row r="40" spans="2:19" ht="26.4">
      <c r="B40" s="268">
        <v>13</v>
      </c>
      <c r="C40" s="320" t="s">
        <v>3799</v>
      </c>
      <c r="D40" s="238" t="s">
        <v>3789</v>
      </c>
      <c r="E40" s="387" t="s">
        <v>3186</v>
      </c>
      <c r="F40" s="388" t="s">
        <v>3186</v>
      </c>
      <c r="G40" s="390"/>
      <c r="H40" s="390"/>
      <c r="I40" s="388" t="s">
        <v>3186</v>
      </c>
      <c r="J40" s="388" t="s">
        <v>3186</v>
      </c>
      <c r="K40" s="327" t="s">
        <v>1197</v>
      </c>
      <c r="L40" s="327" t="s">
        <v>1197</v>
      </c>
      <c r="M40" s="342"/>
      <c r="N40" s="330" t="s">
        <v>3187</v>
      </c>
      <c r="O40" s="325"/>
      <c r="P40" s="326">
        <v>6.7026958019855712E-2</v>
      </c>
      <c r="Q40" s="505" t="s">
        <v>3804</v>
      </c>
    </row>
    <row r="41" spans="2:19">
      <c r="B41" s="268">
        <v>14</v>
      </c>
      <c r="C41" s="320" t="s">
        <v>192</v>
      </c>
      <c r="D41" s="238" t="s">
        <v>3789</v>
      </c>
      <c r="E41" s="387" t="s">
        <v>3186</v>
      </c>
      <c r="F41" s="388" t="s">
        <v>3186</v>
      </c>
      <c r="G41" s="390"/>
      <c r="H41" s="390"/>
      <c r="I41" s="388" t="s">
        <v>3186</v>
      </c>
      <c r="J41" s="327" t="s">
        <v>1197</v>
      </c>
      <c r="K41" s="327" t="s">
        <v>1197</v>
      </c>
      <c r="L41" s="327" t="s">
        <v>1197</v>
      </c>
      <c r="M41" s="342"/>
      <c r="N41" s="330" t="s">
        <v>3187</v>
      </c>
      <c r="O41" s="325"/>
      <c r="P41" s="326">
        <v>4.2035231036535337E-2</v>
      </c>
      <c r="Q41" s="397" t="s">
        <v>4030</v>
      </c>
    </row>
    <row r="42" spans="2:19">
      <c r="B42" s="268">
        <v>15</v>
      </c>
      <c r="C42" s="320" t="s">
        <v>1834</v>
      </c>
      <c r="D42" s="238" t="s">
        <v>3789</v>
      </c>
      <c r="E42" s="387" t="s">
        <v>3186</v>
      </c>
      <c r="F42" s="388" t="s">
        <v>3186</v>
      </c>
      <c r="G42" s="390"/>
      <c r="H42" s="390"/>
      <c r="I42" s="327" t="s">
        <v>1197</v>
      </c>
      <c r="J42" s="327" t="s">
        <v>1197</v>
      </c>
      <c r="K42" s="388" t="s">
        <v>3186</v>
      </c>
      <c r="L42" s="388" t="s">
        <v>3186</v>
      </c>
      <c r="M42" s="342" t="s">
        <v>4025</v>
      </c>
      <c r="N42" s="330" t="s">
        <v>3187</v>
      </c>
      <c r="O42" s="325"/>
      <c r="P42" s="326">
        <v>3.5208567948389238E-2</v>
      </c>
      <c r="Q42" s="397" t="s">
        <v>4030</v>
      </c>
    </row>
    <row r="43" spans="2:19" ht="26.4">
      <c r="B43" s="268">
        <v>16</v>
      </c>
      <c r="C43" s="320" t="s">
        <v>656</v>
      </c>
      <c r="D43" s="238" t="s">
        <v>3789</v>
      </c>
      <c r="E43" s="387" t="s">
        <v>3186</v>
      </c>
      <c r="F43" s="388" t="s">
        <v>3186</v>
      </c>
      <c r="G43" s="390"/>
      <c r="H43" s="390"/>
      <c r="I43" s="388" t="s">
        <v>3186</v>
      </c>
      <c r="J43" s="388" t="s">
        <v>3186</v>
      </c>
      <c r="K43" s="327" t="s">
        <v>1197</v>
      </c>
      <c r="L43" s="327" t="s">
        <v>1197</v>
      </c>
      <c r="M43" s="342" t="s">
        <v>3800</v>
      </c>
      <c r="N43" s="330" t="s">
        <v>3187</v>
      </c>
      <c r="O43" s="325"/>
      <c r="P43" s="326">
        <v>2.7701751819462204E-4</v>
      </c>
      <c r="Q43" s="505" t="s">
        <v>3804</v>
      </c>
    </row>
    <row r="44" spans="2:19">
      <c r="B44" s="268">
        <v>17</v>
      </c>
      <c r="C44" s="320" t="s">
        <v>1835</v>
      </c>
      <c r="D44" s="238" t="s">
        <v>3789</v>
      </c>
      <c r="E44" s="387" t="s">
        <v>3186</v>
      </c>
      <c r="F44" s="388" t="s">
        <v>3186</v>
      </c>
      <c r="G44" s="390"/>
      <c r="H44" s="390"/>
      <c r="I44" s="388" t="s">
        <v>3186</v>
      </c>
      <c r="J44" s="327" t="s">
        <v>1197</v>
      </c>
      <c r="K44" s="388" t="s">
        <v>3186</v>
      </c>
      <c r="L44" s="388" t="s">
        <v>3186</v>
      </c>
      <c r="M44" s="342" t="s">
        <v>4025</v>
      </c>
      <c r="N44" s="330" t="s">
        <v>3187</v>
      </c>
      <c r="O44" s="325"/>
      <c r="P44" s="326">
        <v>2.4287413576196556E-2</v>
      </c>
      <c r="Q44" s="505" t="s">
        <v>3804</v>
      </c>
    </row>
    <row r="45" spans="2:19" ht="26.4">
      <c r="B45" s="268">
        <v>18</v>
      </c>
      <c r="C45" s="320" t="s">
        <v>1836</v>
      </c>
      <c r="D45" s="238" t="s">
        <v>3789</v>
      </c>
      <c r="E45" s="387" t="s">
        <v>3186</v>
      </c>
      <c r="F45" s="388" t="s">
        <v>3186</v>
      </c>
      <c r="G45" s="390"/>
      <c r="H45" s="390"/>
      <c r="I45" s="388" t="s">
        <v>3186</v>
      </c>
      <c r="J45" s="327" t="s">
        <v>1197</v>
      </c>
      <c r="K45" s="327" t="s">
        <v>1197</v>
      </c>
      <c r="L45" s="388" t="s">
        <v>3186</v>
      </c>
      <c r="M45" s="342" t="s">
        <v>6600</v>
      </c>
      <c r="N45" s="330" t="s">
        <v>3187</v>
      </c>
      <c r="O45" s="325"/>
      <c r="P45" s="326">
        <v>2.1369966449869958E-2</v>
      </c>
      <c r="Q45" s="397" t="s">
        <v>4030</v>
      </c>
    </row>
    <row r="46" spans="2:19" ht="26.4">
      <c r="B46" s="268">
        <v>19</v>
      </c>
      <c r="C46" s="320" t="s">
        <v>1838</v>
      </c>
      <c r="D46" s="238" t="s">
        <v>3789</v>
      </c>
      <c r="E46" s="387" t="s">
        <v>3186</v>
      </c>
      <c r="F46" s="388" t="s">
        <v>3186</v>
      </c>
      <c r="G46" s="390"/>
      <c r="H46" s="390"/>
      <c r="I46" s="327" t="s">
        <v>1197</v>
      </c>
      <c r="J46" s="327" t="s">
        <v>1197</v>
      </c>
      <c r="K46" s="388" t="s">
        <v>3186</v>
      </c>
      <c r="L46" s="388" t="s">
        <v>3186</v>
      </c>
      <c r="M46" s="342" t="s">
        <v>4027</v>
      </c>
      <c r="N46" s="330" t="s">
        <v>3187</v>
      </c>
      <c r="O46" s="325"/>
      <c r="P46" s="326">
        <v>1.9074797241551082E-2</v>
      </c>
      <c r="Q46" s="397" t="s">
        <v>4030</v>
      </c>
    </row>
    <row r="47" spans="2:19" ht="26.4">
      <c r="B47" s="268">
        <v>20</v>
      </c>
      <c r="C47" s="320" t="s">
        <v>1839</v>
      </c>
      <c r="D47" s="238" t="s">
        <v>3789</v>
      </c>
      <c r="E47" s="387" t="s">
        <v>3186</v>
      </c>
      <c r="F47" s="388" t="s">
        <v>3186</v>
      </c>
      <c r="G47" s="390"/>
      <c r="H47" s="390"/>
      <c r="I47" s="388" t="s">
        <v>3186</v>
      </c>
      <c r="J47" s="327" t="s">
        <v>1197</v>
      </c>
      <c r="K47" s="327" t="s">
        <v>1197</v>
      </c>
      <c r="L47" s="327" t="s">
        <v>1197</v>
      </c>
      <c r="M47" s="342" t="s">
        <v>3798</v>
      </c>
      <c r="N47" s="330" t="s">
        <v>3187</v>
      </c>
      <c r="O47" s="325"/>
      <c r="P47" s="326">
        <v>1.6379190574956591E-2</v>
      </c>
      <c r="Q47" s="397" t="s">
        <v>4030</v>
      </c>
    </row>
    <row r="48" spans="2:19">
      <c r="B48" s="268">
        <v>21</v>
      </c>
      <c r="C48" s="320" t="s">
        <v>96</v>
      </c>
      <c r="D48" s="238" t="s">
        <v>3789</v>
      </c>
      <c r="E48" s="387" t="s">
        <v>3186</v>
      </c>
      <c r="F48" s="388" t="s">
        <v>3186</v>
      </c>
      <c r="G48" s="390"/>
      <c r="H48" s="390"/>
      <c r="I48" s="327" t="s">
        <v>1197</v>
      </c>
      <c r="J48" s="327" t="s">
        <v>1197</v>
      </c>
      <c r="K48" s="327" t="s">
        <v>1197</v>
      </c>
      <c r="L48" s="327" t="s">
        <v>1197</v>
      </c>
      <c r="M48" s="342"/>
      <c r="N48" s="330" t="s">
        <v>3187</v>
      </c>
      <c r="O48" s="325"/>
      <c r="P48" s="326">
        <v>8.1330654683449011E-3</v>
      </c>
      <c r="Q48" s="347" t="s">
        <v>3188</v>
      </c>
    </row>
    <row r="49" spans="2:17" ht="26.4">
      <c r="B49" s="268">
        <v>22</v>
      </c>
      <c r="C49" s="320" t="s">
        <v>99</v>
      </c>
      <c r="D49" s="238" t="s">
        <v>3789</v>
      </c>
      <c r="E49" s="387" t="s">
        <v>3186</v>
      </c>
      <c r="F49" s="388" t="s">
        <v>3186</v>
      </c>
      <c r="G49" s="390"/>
      <c r="H49" s="390"/>
      <c r="I49" s="388" t="s">
        <v>3186</v>
      </c>
      <c r="J49" s="388" t="s">
        <v>3186</v>
      </c>
      <c r="K49" s="327" t="s">
        <v>1197</v>
      </c>
      <c r="L49" s="327" t="s">
        <v>1197</v>
      </c>
      <c r="M49" s="342"/>
      <c r="N49" s="330" t="s">
        <v>3187</v>
      </c>
      <c r="O49" s="325"/>
      <c r="P49" s="326">
        <v>1.2700977830733033E-2</v>
      </c>
      <c r="Q49" s="505" t="s">
        <v>3804</v>
      </c>
    </row>
    <row r="50" spans="2:17" ht="26.4">
      <c r="B50" s="268">
        <v>23</v>
      </c>
      <c r="C50" s="320" t="s">
        <v>1840</v>
      </c>
      <c r="D50" s="238" t="s">
        <v>3789</v>
      </c>
      <c r="E50" s="387" t="s">
        <v>3186</v>
      </c>
      <c r="F50" s="388" t="s">
        <v>3186</v>
      </c>
      <c r="G50" s="390"/>
      <c r="H50" s="390"/>
      <c r="I50" s="327" t="s">
        <v>1197</v>
      </c>
      <c r="J50" s="327" t="s">
        <v>1197</v>
      </c>
      <c r="K50" s="327" t="s">
        <v>1197</v>
      </c>
      <c r="L50" s="327" t="s">
        <v>1197</v>
      </c>
      <c r="M50" s="342"/>
      <c r="N50" s="330" t="s">
        <v>3187</v>
      </c>
      <c r="O50" s="325"/>
      <c r="P50" s="326">
        <v>1.2519540255729749E-2</v>
      </c>
      <c r="Q50" s="347" t="s">
        <v>3188</v>
      </c>
    </row>
    <row r="51" spans="2:17">
      <c r="B51" s="268">
        <v>24</v>
      </c>
      <c r="C51" s="320" t="s">
        <v>102</v>
      </c>
      <c r="D51" s="238" t="s">
        <v>3789</v>
      </c>
      <c r="E51" s="387" t="s">
        <v>3186</v>
      </c>
      <c r="F51" s="388" t="s">
        <v>3186</v>
      </c>
      <c r="G51" s="390"/>
      <c r="H51" s="390"/>
      <c r="I51" s="327" t="s">
        <v>1197</v>
      </c>
      <c r="J51" s="327" t="s">
        <v>1197</v>
      </c>
      <c r="K51" s="388" t="s">
        <v>3186</v>
      </c>
      <c r="L51" s="327" t="s">
        <v>1197</v>
      </c>
      <c r="M51" s="342"/>
      <c r="N51" s="330" t="s">
        <v>3187</v>
      </c>
      <c r="O51" s="325"/>
      <c r="P51" s="326">
        <v>1.3753859383316087E-2</v>
      </c>
      <c r="Q51" s="397" t="s">
        <v>4030</v>
      </c>
    </row>
    <row r="52" spans="2:17">
      <c r="B52" s="268">
        <v>25</v>
      </c>
      <c r="C52" s="320" t="s">
        <v>17</v>
      </c>
      <c r="D52" s="238" t="s">
        <v>3789</v>
      </c>
      <c r="E52" s="387" t="s">
        <v>3186</v>
      </c>
      <c r="F52" s="388" t="s">
        <v>3186</v>
      </c>
      <c r="G52" s="390"/>
      <c r="H52" s="390"/>
      <c r="I52" s="388" t="s">
        <v>3186</v>
      </c>
      <c r="J52" s="327" t="s">
        <v>1197</v>
      </c>
      <c r="K52" s="327" t="s">
        <v>1197</v>
      </c>
      <c r="L52" s="327" t="s">
        <v>1197</v>
      </c>
      <c r="M52" s="342"/>
      <c r="N52" s="330" t="s">
        <v>3187</v>
      </c>
      <c r="O52" s="325"/>
      <c r="P52" s="326">
        <v>1.112071985160064E-2</v>
      </c>
      <c r="Q52" s="397" t="s">
        <v>4030</v>
      </c>
    </row>
    <row r="53" spans="2:17" ht="26.4">
      <c r="B53" s="268">
        <v>26</v>
      </c>
      <c r="C53" s="320" t="s">
        <v>229</v>
      </c>
      <c r="D53" s="238" t="s">
        <v>3789</v>
      </c>
      <c r="E53" s="387" t="s">
        <v>3186</v>
      </c>
      <c r="F53" s="388" t="s">
        <v>3186</v>
      </c>
      <c r="G53" s="390"/>
      <c r="H53" s="390"/>
      <c r="I53" s="388" t="s">
        <v>3186</v>
      </c>
      <c r="J53" s="327" t="s">
        <v>1197</v>
      </c>
      <c r="K53" s="388" t="s">
        <v>3186</v>
      </c>
      <c r="L53" s="327" t="s">
        <v>1197</v>
      </c>
      <c r="M53" s="342"/>
      <c r="N53" s="330" t="s">
        <v>3187</v>
      </c>
      <c r="O53" s="325"/>
      <c r="P53" s="326">
        <v>1.2759911575729907E-2</v>
      </c>
      <c r="Q53" s="505" t="s">
        <v>3804</v>
      </c>
    </row>
    <row r="54" spans="2:17">
      <c r="B54" s="268">
        <v>27</v>
      </c>
      <c r="C54" s="320" t="s">
        <v>62</v>
      </c>
      <c r="D54" s="238" t="s">
        <v>3789</v>
      </c>
      <c r="E54" s="387" t="s">
        <v>3186</v>
      </c>
      <c r="F54" s="388" t="s">
        <v>3186</v>
      </c>
      <c r="G54" s="390"/>
      <c r="H54" s="390"/>
      <c r="I54" s="327" t="s">
        <v>1197</v>
      </c>
      <c r="J54" s="327" t="s">
        <v>1197</v>
      </c>
      <c r="K54" s="327" t="s">
        <v>1197</v>
      </c>
      <c r="L54" s="327" t="s">
        <v>1197</v>
      </c>
      <c r="M54" s="342"/>
      <c r="N54" s="330" t="s">
        <v>3187</v>
      </c>
      <c r="O54" s="325"/>
      <c r="P54" s="326">
        <v>1.2215759729260435E-2</v>
      </c>
      <c r="Q54" s="347" t="s">
        <v>3188</v>
      </c>
    </row>
    <row r="55" spans="2:17" ht="26.4">
      <c r="B55" s="268">
        <v>28</v>
      </c>
      <c r="C55" s="320" t="s">
        <v>717</v>
      </c>
      <c r="D55" s="238" t="s">
        <v>3789</v>
      </c>
      <c r="E55" s="387" t="s">
        <v>3186</v>
      </c>
      <c r="F55" s="388" t="s">
        <v>3186</v>
      </c>
      <c r="G55" s="390"/>
      <c r="H55" s="390"/>
      <c r="I55" s="388" t="s">
        <v>3186</v>
      </c>
      <c r="J55" s="327" t="s">
        <v>1197</v>
      </c>
      <c r="K55" s="327" t="s">
        <v>1197</v>
      </c>
      <c r="L55" s="388" t="s">
        <v>3186</v>
      </c>
      <c r="M55" s="342" t="s">
        <v>6512</v>
      </c>
      <c r="N55" s="330" t="s">
        <v>3187</v>
      </c>
      <c r="O55" s="325"/>
      <c r="P55" s="326">
        <v>9.0995262451780915E-3</v>
      </c>
      <c r="Q55" s="397" t="s">
        <v>4030</v>
      </c>
    </row>
    <row r="56" spans="2:17" ht="26.4">
      <c r="B56" s="268">
        <v>29</v>
      </c>
      <c r="C56" s="320" t="s">
        <v>721</v>
      </c>
      <c r="D56" s="238" t="s">
        <v>3789</v>
      </c>
      <c r="E56" s="387" t="s">
        <v>3186</v>
      </c>
      <c r="F56" s="388" t="s">
        <v>3186</v>
      </c>
      <c r="G56" s="390"/>
      <c r="H56" s="390"/>
      <c r="I56" s="388" t="s">
        <v>3186</v>
      </c>
      <c r="J56" s="327" t="s">
        <v>1197</v>
      </c>
      <c r="K56" s="327" t="s">
        <v>1197</v>
      </c>
      <c r="L56" s="327" t="s">
        <v>1197</v>
      </c>
      <c r="M56" s="342"/>
      <c r="N56" s="330" t="s">
        <v>3187</v>
      </c>
      <c r="O56" s="325"/>
      <c r="P56" s="326">
        <v>9.486815162490286E-3</v>
      </c>
      <c r="Q56" s="397" t="s">
        <v>4030</v>
      </c>
    </row>
    <row r="57" spans="2:17" ht="26.4">
      <c r="B57" s="268">
        <v>30</v>
      </c>
      <c r="C57" s="320" t="s">
        <v>1843</v>
      </c>
      <c r="D57" s="238" t="s">
        <v>3789</v>
      </c>
      <c r="E57" s="387" t="s">
        <v>3186</v>
      </c>
      <c r="F57" s="388" t="s">
        <v>3186</v>
      </c>
      <c r="G57" s="390"/>
      <c r="H57" s="390"/>
      <c r="I57" s="388" t="s">
        <v>3186</v>
      </c>
      <c r="J57" s="388" t="s">
        <v>3186</v>
      </c>
      <c r="K57" s="327" t="s">
        <v>1197</v>
      </c>
      <c r="L57" s="327" t="s">
        <v>1197</v>
      </c>
      <c r="M57" s="342"/>
      <c r="N57" s="330" t="s">
        <v>3187</v>
      </c>
      <c r="O57" s="325"/>
      <c r="P57" s="326">
        <v>8.6443226937070617E-3</v>
      </c>
      <c r="Q57" s="505" t="s">
        <v>3804</v>
      </c>
    </row>
    <row r="58" spans="2:17" ht="26.4">
      <c r="B58" s="268">
        <v>31</v>
      </c>
      <c r="C58" s="320" t="s">
        <v>1842</v>
      </c>
      <c r="D58" s="238" t="s">
        <v>3789</v>
      </c>
      <c r="E58" s="387" t="s">
        <v>3186</v>
      </c>
      <c r="F58" s="388" t="s">
        <v>3186</v>
      </c>
      <c r="G58" s="390"/>
      <c r="H58" s="390"/>
      <c r="I58" s="388" t="s">
        <v>3186</v>
      </c>
      <c r="J58" s="327" t="s">
        <v>1197</v>
      </c>
      <c r="K58" s="327" t="s">
        <v>1197</v>
      </c>
      <c r="L58" s="327" t="s">
        <v>1197</v>
      </c>
      <c r="M58" s="342"/>
      <c r="N58" s="330" t="s">
        <v>3187</v>
      </c>
      <c r="O58" s="325"/>
      <c r="P58" s="326">
        <v>9.1892572522511099E-3</v>
      </c>
      <c r="Q58" s="397" t="s">
        <v>4030</v>
      </c>
    </row>
    <row r="59" spans="2:17" ht="26.4">
      <c r="B59" s="268">
        <v>32</v>
      </c>
      <c r="C59" s="320" t="s">
        <v>1844</v>
      </c>
      <c r="D59" s="238" t="s">
        <v>3789</v>
      </c>
      <c r="E59" s="387" t="s">
        <v>3186</v>
      </c>
      <c r="F59" s="388" t="s">
        <v>3186</v>
      </c>
      <c r="G59" s="390"/>
      <c r="H59" s="390"/>
      <c r="I59" s="388" t="s">
        <v>3186</v>
      </c>
      <c r="J59" s="327" t="s">
        <v>1197</v>
      </c>
      <c r="K59" s="327" t="s">
        <v>1197</v>
      </c>
      <c r="L59" s="327" t="s">
        <v>1197</v>
      </c>
      <c r="M59" s="342"/>
      <c r="N59" s="330" t="s">
        <v>3187</v>
      </c>
      <c r="O59" s="325"/>
      <c r="P59" s="326">
        <v>7.4211856603759686E-3</v>
      </c>
      <c r="Q59" s="397" t="s">
        <v>4030</v>
      </c>
    </row>
    <row r="60" spans="2:17" ht="39.6">
      <c r="B60" s="268">
        <v>33</v>
      </c>
      <c r="C60" s="320" t="s">
        <v>1845</v>
      </c>
      <c r="D60" s="238" t="s">
        <v>3789</v>
      </c>
      <c r="E60" s="387" t="s">
        <v>3186</v>
      </c>
      <c r="F60" s="388" t="s">
        <v>3186</v>
      </c>
      <c r="G60" s="390"/>
      <c r="H60" s="390"/>
      <c r="I60" s="327" t="s">
        <v>1197</v>
      </c>
      <c r="J60" s="327" t="s">
        <v>1197</v>
      </c>
      <c r="K60" s="388" t="s">
        <v>3186</v>
      </c>
      <c r="L60" s="327" t="s">
        <v>1197</v>
      </c>
      <c r="M60" s="342"/>
      <c r="N60" s="330" t="s">
        <v>3187</v>
      </c>
      <c r="O60" s="325"/>
      <c r="P60" s="326">
        <v>7.1252564209567538E-3</v>
      </c>
      <c r="Q60" s="397" t="s">
        <v>4030</v>
      </c>
    </row>
    <row r="61" spans="2:17" ht="26.4">
      <c r="B61" s="268">
        <v>34</v>
      </c>
      <c r="C61" s="320" t="s">
        <v>1847</v>
      </c>
      <c r="D61" s="238" t="s">
        <v>3789</v>
      </c>
      <c r="E61" s="387" t="s">
        <v>3186</v>
      </c>
      <c r="F61" s="388" t="s">
        <v>3186</v>
      </c>
      <c r="G61" s="390"/>
      <c r="H61" s="390"/>
      <c r="I61" s="327" t="s">
        <v>1197</v>
      </c>
      <c r="J61" s="327" t="s">
        <v>1197</v>
      </c>
      <c r="K61" s="388" t="s">
        <v>3186</v>
      </c>
      <c r="L61" s="327" t="s">
        <v>1197</v>
      </c>
      <c r="M61" s="342"/>
      <c r="N61" s="330" t="s">
        <v>3187</v>
      </c>
      <c r="O61" s="325"/>
      <c r="P61" s="326">
        <v>6.4684825534689653E-3</v>
      </c>
      <c r="Q61" s="397" t="s">
        <v>4030</v>
      </c>
    </row>
    <row r="62" spans="2:17">
      <c r="B62" s="268">
        <v>35</v>
      </c>
      <c r="C62" s="320" t="s">
        <v>747</v>
      </c>
      <c r="D62" s="238" t="s">
        <v>3789</v>
      </c>
      <c r="E62" s="387" t="s">
        <v>3186</v>
      </c>
      <c r="F62" s="388" t="s">
        <v>3186</v>
      </c>
      <c r="G62" s="390"/>
      <c r="H62" s="390"/>
      <c r="I62" s="388" t="s">
        <v>3186</v>
      </c>
      <c r="J62" s="327" t="s">
        <v>1197</v>
      </c>
      <c r="K62" s="327" t="s">
        <v>1197</v>
      </c>
      <c r="L62" s="327" t="s">
        <v>1197</v>
      </c>
      <c r="M62" s="342"/>
      <c r="N62" s="330" t="s">
        <v>3187</v>
      </c>
      <c r="O62" s="325"/>
      <c r="P62" s="326">
        <v>5.7717369281219417E-3</v>
      </c>
      <c r="Q62" s="397" t="s">
        <v>4030</v>
      </c>
    </row>
    <row r="63" spans="2:17" ht="26.4">
      <c r="B63" s="268">
        <v>36</v>
      </c>
      <c r="C63" s="320" t="s">
        <v>1841</v>
      </c>
      <c r="D63" s="238" t="s">
        <v>3789</v>
      </c>
      <c r="E63" s="387" t="s">
        <v>3186</v>
      </c>
      <c r="F63" s="388" t="s">
        <v>3186</v>
      </c>
      <c r="G63" s="390"/>
      <c r="H63" s="390"/>
      <c r="I63" s="327" t="s">
        <v>1197</v>
      </c>
      <c r="J63" s="327" t="s">
        <v>1197</v>
      </c>
      <c r="K63" s="327" t="s">
        <v>1197</v>
      </c>
      <c r="L63" s="327" t="s">
        <v>1197</v>
      </c>
      <c r="M63" s="342"/>
      <c r="N63" s="330" t="s">
        <v>3187</v>
      </c>
      <c r="O63" s="325"/>
      <c r="P63" s="326">
        <v>1.062997912816502E-2</v>
      </c>
      <c r="Q63" s="347" t="s">
        <v>3188</v>
      </c>
    </row>
    <row r="64" spans="2:17">
      <c r="B64" s="268">
        <v>37</v>
      </c>
      <c r="C64" s="320" t="s">
        <v>131</v>
      </c>
      <c r="D64" s="238" t="s">
        <v>3789</v>
      </c>
      <c r="E64" s="387" t="s">
        <v>3186</v>
      </c>
      <c r="F64" s="388" t="s">
        <v>3186</v>
      </c>
      <c r="G64" s="390"/>
      <c r="H64" s="390"/>
      <c r="I64" s="388" t="s">
        <v>3186</v>
      </c>
      <c r="J64" s="327" t="s">
        <v>1197</v>
      </c>
      <c r="K64" s="327" t="s">
        <v>1197</v>
      </c>
      <c r="L64" s="327" t="s">
        <v>1197</v>
      </c>
      <c r="M64" s="342"/>
      <c r="N64" s="330" t="s">
        <v>3187</v>
      </c>
      <c r="O64" s="330"/>
      <c r="P64" s="326">
        <v>5.5237267083636209E-7</v>
      </c>
      <c r="Q64" s="397" t="s">
        <v>4030</v>
      </c>
    </row>
    <row r="65" spans="2:17" ht="26.4">
      <c r="B65" s="268">
        <v>38</v>
      </c>
      <c r="C65" s="320" t="s">
        <v>1848</v>
      </c>
      <c r="D65" s="238" t="s">
        <v>3789</v>
      </c>
      <c r="E65" s="387" t="s">
        <v>3186</v>
      </c>
      <c r="F65" s="388" t="s">
        <v>3186</v>
      </c>
      <c r="G65" s="390"/>
      <c r="H65" s="390"/>
      <c r="I65" s="388" t="s">
        <v>3186</v>
      </c>
      <c r="J65" s="388" t="s">
        <v>3186</v>
      </c>
      <c r="K65" s="327" t="s">
        <v>1197</v>
      </c>
      <c r="L65" s="327" t="s">
        <v>1197</v>
      </c>
      <c r="M65" s="342"/>
      <c r="N65" s="330" t="s">
        <v>3187</v>
      </c>
      <c r="O65" s="325"/>
      <c r="P65" s="326">
        <v>5.5062019949154986E-3</v>
      </c>
      <c r="Q65" s="505" t="s">
        <v>3804</v>
      </c>
    </row>
    <row r="66" spans="2:17" ht="26.4">
      <c r="B66" s="268">
        <v>39</v>
      </c>
      <c r="C66" s="320" t="s">
        <v>1849</v>
      </c>
      <c r="D66" s="238" t="s">
        <v>3789</v>
      </c>
      <c r="E66" s="387" t="s">
        <v>3186</v>
      </c>
      <c r="F66" s="388" t="s">
        <v>3186</v>
      </c>
      <c r="G66" s="390"/>
      <c r="H66" s="390"/>
      <c r="I66" s="388" t="s">
        <v>3186</v>
      </c>
      <c r="J66" s="327" t="s">
        <v>1197</v>
      </c>
      <c r="K66" s="327" t="s">
        <v>1197</v>
      </c>
      <c r="L66" s="327" t="s">
        <v>1197</v>
      </c>
      <c r="M66" s="342"/>
      <c r="N66" s="330" t="s">
        <v>3187</v>
      </c>
      <c r="O66" s="325"/>
      <c r="P66" s="326">
        <v>5.1052240399814697E-3</v>
      </c>
      <c r="Q66" s="397" t="s">
        <v>4030</v>
      </c>
    </row>
    <row r="67" spans="2:17" ht="39.6">
      <c r="B67" s="268">
        <v>40</v>
      </c>
      <c r="C67" s="320" t="s">
        <v>1846</v>
      </c>
      <c r="D67" s="238" t="s">
        <v>3789</v>
      </c>
      <c r="E67" s="387" t="s">
        <v>3186</v>
      </c>
      <c r="F67" s="388" t="s">
        <v>3186</v>
      </c>
      <c r="G67" s="390"/>
      <c r="H67" s="390"/>
      <c r="I67" s="388" t="s">
        <v>3186</v>
      </c>
      <c r="J67" s="327" t="s">
        <v>1197</v>
      </c>
      <c r="K67" s="327" t="s">
        <v>1197</v>
      </c>
      <c r="L67" s="388" t="s">
        <v>3186</v>
      </c>
      <c r="M67" s="342" t="s">
        <v>4028</v>
      </c>
      <c r="N67" s="330" t="s">
        <v>3187</v>
      </c>
      <c r="O67" s="325"/>
      <c r="P67" s="326">
        <v>6.6631852200692175E-3</v>
      </c>
      <c r="Q67" s="397" t="s">
        <v>4030</v>
      </c>
    </row>
    <row r="68" spans="2:17" ht="26.4">
      <c r="B68" s="268">
        <v>41</v>
      </c>
      <c r="C68" s="320" t="s">
        <v>1851</v>
      </c>
      <c r="D68" s="238" t="s">
        <v>3789</v>
      </c>
      <c r="E68" s="387" t="s">
        <v>3186</v>
      </c>
      <c r="F68" s="388" t="s">
        <v>3186</v>
      </c>
      <c r="G68" s="390"/>
      <c r="H68" s="390"/>
      <c r="I68" s="327" t="s">
        <v>1197</v>
      </c>
      <c r="J68" s="327" t="s">
        <v>1197</v>
      </c>
      <c r="K68" s="327" t="s">
        <v>1197</v>
      </c>
      <c r="L68" s="327" t="s">
        <v>1197</v>
      </c>
      <c r="M68" s="342"/>
      <c r="N68" s="330" t="s">
        <v>3187</v>
      </c>
      <c r="O68" s="325"/>
      <c r="P68" s="326">
        <v>4.6258482461551389E-3</v>
      </c>
      <c r="Q68" s="347" t="s">
        <v>3188</v>
      </c>
    </row>
    <row r="69" spans="2:17">
      <c r="B69" s="268">
        <v>42</v>
      </c>
      <c r="C69" s="320" t="s">
        <v>1854</v>
      </c>
      <c r="D69" s="238" t="s">
        <v>3789</v>
      </c>
      <c r="E69" s="386" t="s">
        <v>1197</v>
      </c>
      <c r="F69" s="329" t="s">
        <v>3187</v>
      </c>
      <c r="G69" s="329"/>
      <c r="H69" s="329"/>
      <c r="I69" s="329"/>
      <c r="J69" s="329"/>
      <c r="K69" s="329"/>
      <c r="L69" s="329"/>
      <c r="M69" s="342"/>
      <c r="N69" s="330"/>
      <c r="O69" s="325"/>
      <c r="P69" s="326">
        <v>3.9286125281559163E-3</v>
      </c>
      <c r="Q69" s="347" t="s">
        <v>3188</v>
      </c>
    </row>
    <row r="70" spans="2:17" ht="26.4">
      <c r="B70" s="268">
        <v>43</v>
      </c>
      <c r="C70" s="320" t="s">
        <v>1853</v>
      </c>
      <c r="D70" s="238" t="s">
        <v>3789</v>
      </c>
      <c r="E70" s="387" t="s">
        <v>3186</v>
      </c>
      <c r="F70" s="388" t="s">
        <v>3186</v>
      </c>
      <c r="G70" s="390"/>
      <c r="H70" s="390"/>
      <c r="I70" s="327" t="s">
        <v>1197</v>
      </c>
      <c r="J70" s="327" t="s">
        <v>1197</v>
      </c>
      <c r="K70" s="327" t="s">
        <v>1197</v>
      </c>
      <c r="L70" s="327" t="s">
        <v>1197</v>
      </c>
      <c r="M70" s="342"/>
      <c r="N70" s="330" t="s">
        <v>3187</v>
      </c>
      <c r="O70" s="325"/>
      <c r="P70" s="326">
        <v>4.8025635871954435E-3</v>
      </c>
      <c r="Q70" s="347" t="s">
        <v>3188</v>
      </c>
    </row>
    <row r="71" spans="2:17" ht="39.6">
      <c r="B71" s="268">
        <v>44</v>
      </c>
      <c r="C71" s="320" t="s">
        <v>1852</v>
      </c>
      <c r="D71" s="238" t="s">
        <v>3789</v>
      </c>
      <c r="E71" s="387" t="s">
        <v>3186</v>
      </c>
      <c r="F71" s="388" t="s">
        <v>3186</v>
      </c>
      <c r="G71" s="390"/>
      <c r="H71" s="390"/>
      <c r="I71" s="388" t="s">
        <v>3186</v>
      </c>
      <c r="J71" s="327" t="s">
        <v>1197</v>
      </c>
      <c r="K71" s="327" t="s">
        <v>1197</v>
      </c>
      <c r="L71" s="327" t="s">
        <v>1197</v>
      </c>
      <c r="M71" s="342" t="s">
        <v>3801</v>
      </c>
      <c r="N71" s="330" t="s">
        <v>3187</v>
      </c>
      <c r="O71" s="325"/>
      <c r="P71" s="326">
        <v>4.8401956325141828E-3</v>
      </c>
      <c r="Q71" s="397" t="s">
        <v>4030</v>
      </c>
    </row>
    <row r="72" spans="2:17">
      <c r="B72" s="268">
        <v>45</v>
      </c>
      <c r="C72" s="320" t="s">
        <v>139</v>
      </c>
      <c r="D72" s="238" t="s">
        <v>3789</v>
      </c>
      <c r="E72" s="387" t="s">
        <v>3186</v>
      </c>
      <c r="F72" s="388" t="s">
        <v>3186</v>
      </c>
      <c r="G72" s="390"/>
      <c r="H72" s="390"/>
      <c r="I72" s="388" t="s">
        <v>3186</v>
      </c>
      <c r="J72" s="327" t="s">
        <v>1197</v>
      </c>
      <c r="K72" s="388" t="s">
        <v>3186</v>
      </c>
      <c r="L72" s="327" t="s">
        <v>1197</v>
      </c>
      <c r="M72" s="342"/>
      <c r="N72" s="330" t="s">
        <v>3187</v>
      </c>
      <c r="O72" s="325"/>
      <c r="P72" s="326">
        <v>4.3843785330990237E-3</v>
      </c>
      <c r="Q72" s="505" t="s">
        <v>3804</v>
      </c>
    </row>
    <row r="73" spans="2:17" ht="52.8">
      <c r="B73" s="268">
        <v>46</v>
      </c>
      <c r="C73" s="320" t="s">
        <v>549</v>
      </c>
      <c r="D73" s="238" t="s">
        <v>3789</v>
      </c>
      <c r="E73" s="387" t="s">
        <v>3186</v>
      </c>
      <c r="F73" s="388" t="s">
        <v>3186</v>
      </c>
      <c r="G73" s="390"/>
      <c r="H73" s="390"/>
      <c r="I73" s="327" t="s">
        <v>1197</v>
      </c>
      <c r="J73" s="327" t="s">
        <v>1197</v>
      </c>
      <c r="K73" s="327" t="s">
        <v>1197</v>
      </c>
      <c r="L73" s="327" t="s">
        <v>1197</v>
      </c>
      <c r="M73" s="342" t="s">
        <v>4029</v>
      </c>
      <c r="N73" s="330" t="s">
        <v>3187</v>
      </c>
      <c r="O73" s="325"/>
      <c r="P73" s="326">
        <v>3.2758962522149238E-3</v>
      </c>
      <c r="Q73" s="347" t="s">
        <v>3188</v>
      </c>
    </row>
    <row r="74" spans="2:17">
      <c r="B74" s="268">
        <v>47</v>
      </c>
      <c r="C74" s="320" t="s">
        <v>2449</v>
      </c>
      <c r="D74" s="238" t="s">
        <v>3789</v>
      </c>
      <c r="E74" s="386" t="s">
        <v>1197</v>
      </c>
      <c r="F74" s="329" t="s">
        <v>3187</v>
      </c>
      <c r="G74" s="329"/>
      <c r="H74" s="329"/>
      <c r="I74" s="329"/>
      <c r="J74" s="329"/>
      <c r="K74" s="329"/>
      <c r="L74" s="329"/>
      <c r="M74" s="342"/>
      <c r="N74" s="330"/>
      <c r="O74" s="325"/>
      <c r="P74" s="326">
        <v>2.122711417732211E-3</v>
      </c>
      <c r="Q74" s="347" t="s">
        <v>3188</v>
      </c>
    </row>
    <row r="75" spans="2:17" ht="26.4">
      <c r="B75" s="268">
        <v>48</v>
      </c>
      <c r="C75" s="320" t="s">
        <v>227</v>
      </c>
      <c r="D75" s="238" t="s">
        <v>3789</v>
      </c>
      <c r="E75" s="387" t="s">
        <v>3186</v>
      </c>
      <c r="F75" s="388" t="s">
        <v>3186</v>
      </c>
      <c r="G75" s="390"/>
      <c r="H75" s="390"/>
      <c r="I75" s="327" t="s">
        <v>1197</v>
      </c>
      <c r="J75" s="327" t="s">
        <v>1197</v>
      </c>
      <c r="K75" s="327" t="s">
        <v>1197</v>
      </c>
      <c r="L75" s="327" t="s">
        <v>1197</v>
      </c>
      <c r="M75" s="342"/>
      <c r="N75" s="330" t="s">
        <v>3187</v>
      </c>
      <c r="O75" s="325"/>
      <c r="P75" s="326">
        <v>3.5480983235583619E-3</v>
      </c>
      <c r="Q75" s="347" t="s">
        <v>3188</v>
      </c>
    </row>
    <row r="76" spans="2:17">
      <c r="B76" s="268">
        <v>49</v>
      </c>
      <c r="C76" s="320" t="s">
        <v>792</v>
      </c>
      <c r="D76" s="238" t="s">
        <v>3789</v>
      </c>
      <c r="E76" s="387" t="s">
        <v>3186</v>
      </c>
      <c r="F76" s="388" t="s">
        <v>3186</v>
      </c>
      <c r="G76" s="390"/>
      <c r="H76" s="390"/>
      <c r="I76" s="388" t="s">
        <v>3186</v>
      </c>
      <c r="J76" s="388" t="s">
        <v>3186</v>
      </c>
      <c r="K76" s="327" t="s">
        <v>1197</v>
      </c>
      <c r="L76" s="327" t="s">
        <v>1197</v>
      </c>
      <c r="M76" s="342"/>
      <c r="N76" s="330" t="s">
        <v>3187</v>
      </c>
      <c r="O76" s="325"/>
      <c r="P76" s="326">
        <v>2.3714772833042363E-3</v>
      </c>
      <c r="Q76" s="505" t="s">
        <v>3804</v>
      </c>
    </row>
    <row r="77" spans="2:17">
      <c r="B77" s="268">
        <v>50</v>
      </c>
      <c r="C77" s="320" t="s">
        <v>1856</v>
      </c>
      <c r="D77" s="238" t="s">
        <v>3789</v>
      </c>
      <c r="E77" s="386" t="s">
        <v>1197</v>
      </c>
      <c r="F77" s="329" t="s">
        <v>3187</v>
      </c>
      <c r="G77" s="329"/>
      <c r="H77" s="329"/>
      <c r="I77" s="329"/>
      <c r="J77" s="329"/>
      <c r="K77" s="329"/>
      <c r="L77" s="329"/>
      <c r="M77" s="342"/>
      <c r="N77" s="330"/>
      <c r="O77" s="325"/>
      <c r="P77" s="326">
        <v>2.2782436811254439E-3</v>
      </c>
      <c r="Q77" s="347" t="s">
        <v>3188</v>
      </c>
    </row>
    <row r="78" spans="2:17" ht="26.4">
      <c r="B78" s="268">
        <v>51</v>
      </c>
      <c r="C78" s="320" t="s">
        <v>1862</v>
      </c>
      <c r="D78" s="238" t="s">
        <v>3789</v>
      </c>
      <c r="E78" s="387" t="s">
        <v>3186</v>
      </c>
      <c r="F78" s="388" t="s">
        <v>3186</v>
      </c>
      <c r="G78" s="390"/>
      <c r="H78" s="390"/>
      <c r="I78" s="388" t="s">
        <v>3186</v>
      </c>
      <c r="J78" s="327" t="s">
        <v>1197</v>
      </c>
      <c r="K78" s="327" t="s">
        <v>1197</v>
      </c>
      <c r="L78" s="327" t="s">
        <v>1197</v>
      </c>
      <c r="M78" s="342"/>
      <c r="N78" s="330" t="s">
        <v>3187</v>
      </c>
      <c r="O78" s="330"/>
      <c r="P78" s="326">
        <v>2.3137243729844438E-3</v>
      </c>
      <c r="Q78" s="397" t="s">
        <v>4030</v>
      </c>
    </row>
    <row r="79" spans="2:17" ht="26.4">
      <c r="B79" s="268">
        <v>52</v>
      </c>
      <c r="C79" s="320" t="s">
        <v>1860</v>
      </c>
      <c r="D79" s="238" t="s">
        <v>3789</v>
      </c>
      <c r="E79" s="387" t="s">
        <v>3186</v>
      </c>
      <c r="F79" s="388" t="s">
        <v>3186</v>
      </c>
      <c r="G79" s="390"/>
      <c r="H79" s="390"/>
      <c r="I79" s="327" t="s">
        <v>1197</v>
      </c>
      <c r="J79" s="327" t="s">
        <v>1197</v>
      </c>
      <c r="K79" s="327" t="s">
        <v>1197</v>
      </c>
      <c r="L79" s="327" t="s">
        <v>1197</v>
      </c>
      <c r="M79" s="342"/>
      <c r="N79" s="330" t="s">
        <v>3187</v>
      </c>
      <c r="O79" s="325"/>
      <c r="P79" s="326">
        <v>1.3809261533641968E-3</v>
      </c>
      <c r="Q79" s="347" t="s">
        <v>3188</v>
      </c>
    </row>
    <row r="80" spans="2:17">
      <c r="B80" s="268">
        <v>53</v>
      </c>
      <c r="C80" s="320" t="s">
        <v>1857</v>
      </c>
      <c r="D80" s="238" t="s">
        <v>3789</v>
      </c>
      <c r="E80" s="387" t="s">
        <v>3186</v>
      </c>
      <c r="F80" s="388" t="s">
        <v>3186</v>
      </c>
      <c r="G80" s="390"/>
      <c r="H80" s="390"/>
      <c r="I80" s="388" t="s">
        <v>3186</v>
      </c>
      <c r="J80" s="327" t="s">
        <v>1197</v>
      </c>
      <c r="K80" s="327" t="s">
        <v>1197</v>
      </c>
      <c r="L80" s="327" t="s">
        <v>1197</v>
      </c>
      <c r="M80" s="342"/>
      <c r="N80" s="330" t="s">
        <v>3187</v>
      </c>
      <c r="O80" s="325"/>
      <c r="P80" s="326">
        <v>1.8578340841903982E-3</v>
      </c>
      <c r="Q80" s="397" t="s">
        <v>4030</v>
      </c>
    </row>
    <row r="81" spans="2:17" ht="26.4">
      <c r="B81" s="268">
        <v>54</v>
      </c>
      <c r="C81" s="320" t="s">
        <v>158</v>
      </c>
      <c r="D81" s="238" t="s">
        <v>3789</v>
      </c>
      <c r="E81" s="387" t="s">
        <v>3186</v>
      </c>
      <c r="F81" s="388" t="s">
        <v>3186</v>
      </c>
      <c r="G81" s="390"/>
      <c r="H81" s="390"/>
      <c r="I81" s="388" t="s">
        <v>3186</v>
      </c>
      <c r="J81" s="327" t="s">
        <v>1197</v>
      </c>
      <c r="K81" s="327" t="s">
        <v>1197</v>
      </c>
      <c r="L81" s="327" t="s">
        <v>1197</v>
      </c>
      <c r="M81" s="342"/>
      <c r="N81" s="330" t="s">
        <v>3187</v>
      </c>
      <c r="O81" s="325"/>
      <c r="P81" s="326">
        <v>1.8022956359079884E-3</v>
      </c>
      <c r="Q81" s="397" t="s">
        <v>4030</v>
      </c>
    </row>
    <row r="82" spans="2:17" ht="26.4">
      <c r="B82" s="268">
        <v>55</v>
      </c>
      <c r="C82" s="320" t="s">
        <v>189</v>
      </c>
      <c r="D82" s="238" t="s">
        <v>3789</v>
      </c>
      <c r="E82" s="387" t="s">
        <v>3186</v>
      </c>
      <c r="F82" s="388" t="s">
        <v>3186</v>
      </c>
      <c r="G82" s="390"/>
      <c r="H82" s="390"/>
      <c r="I82" s="327" t="s">
        <v>1197</v>
      </c>
      <c r="J82" s="327" t="s">
        <v>1197</v>
      </c>
      <c r="K82" s="327" t="s">
        <v>1197</v>
      </c>
      <c r="L82" s="327" t="s">
        <v>1197</v>
      </c>
      <c r="M82" s="342"/>
      <c r="N82" s="330" t="s">
        <v>3187</v>
      </c>
      <c r="O82" s="325"/>
      <c r="P82" s="326">
        <v>1.355882128841147E-3</v>
      </c>
      <c r="Q82" s="347" t="s">
        <v>3188</v>
      </c>
    </row>
    <row r="83" spans="2:17" ht="39.6">
      <c r="B83" s="268">
        <v>56</v>
      </c>
      <c r="C83" s="320" t="s">
        <v>1865</v>
      </c>
      <c r="D83" s="238" t="s">
        <v>3789</v>
      </c>
      <c r="E83" s="387" t="s">
        <v>3186</v>
      </c>
      <c r="F83" s="388" t="s">
        <v>3186</v>
      </c>
      <c r="G83" s="390"/>
      <c r="H83" s="390"/>
      <c r="I83" s="388" t="s">
        <v>3186</v>
      </c>
      <c r="J83" s="327" t="s">
        <v>1197</v>
      </c>
      <c r="K83" s="327" t="s">
        <v>1197</v>
      </c>
      <c r="L83" s="327" t="s">
        <v>1197</v>
      </c>
      <c r="M83" s="342"/>
      <c r="N83" s="330" t="s">
        <v>3187</v>
      </c>
      <c r="O83" s="325"/>
      <c r="P83" s="326">
        <v>7.1076484373285031E-4</v>
      </c>
      <c r="Q83" s="397" t="s">
        <v>4030</v>
      </c>
    </row>
    <row r="84" spans="2:17">
      <c r="B84" s="268">
        <v>57</v>
      </c>
      <c r="C84" s="320" t="s">
        <v>126</v>
      </c>
      <c r="D84" s="238" t="s">
        <v>3789</v>
      </c>
      <c r="E84" s="387" t="s">
        <v>3186</v>
      </c>
      <c r="F84" s="388" t="s">
        <v>3186</v>
      </c>
      <c r="G84" s="390"/>
      <c r="H84" s="390"/>
      <c r="I84" s="388" t="s">
        <v>3186</v>
      </c>
      <c r="J84" s="388" t="s">
        <v>3186</v>
      </c>
      <c r="K84" s="327" t="s">
        <v>1197</v>
      </c>
      <c r="L84" s="327" t="s">
        <v>1197</v>
      </c>
      <c r="M84" s="342"/>
      <c r="N84" s="330" t="s">
        <v>3187</v>
      </c>
      <c r="O84" s="325"/>
      <c r="P84" s="326">
        <v>1.3714430193512781E-3</v>
      </c>
      <c r="Q84" s="505" t="s">
        <v>3804</v>
      </c>
    </row>
    <row r="85" spans="2:17">
      <c r="B85" s="268">
        <v>58</v>
      </c>
      <c r="C85" s="320" t="s">
        <v>818</v>
      </c>
      <c r="D85" s="238" t="s">
        <v>3789</v>
      </c>
      <c r="E85" s="387" t="s">
        <v>3186</v>
      </c>
      <c r="F85" s="388" t="s">
        <v>3186</v>
      </c>
      <c r="G85" s="390"/>
      <c r="H85" s="390"/>
      <c r="I85" s="388" t="s">
        <v>3186</v>
      </c>
      <c r="J85" s="327" t="s">
        <v>1197</v>
      </c>
      <c r="K85" s="388" t="s">
        <v>3186</v>
      </c>
      <c r="L85" s="327" t="s">
        <v>1197</v>
      </c>
      <c r="M85" s="342"/>
      <c r="N85" s="330" t="s">
        <v>3187</v>
      </c>
      <c r="O85" s="325"/>
      <c r="P85" s="326">
        <v>8.8044737592806615E-4</v>
      </c>
      <c r="Q85" s="505" t="s">
        <v>3804</v>
      </c>
    </row>
    <row r="86" spans="2:17" ht="39.6">
      <c r="B86" s="268">
        <v>59</v>
      </c>
      <c r="C86" s="320" t="s">
        <v>175</v>
      </c>
      <c r="D86" s="238" t="s">
        <v>3789</v>
      </c>
      <c r="E86" s="387" t="s">
        <v>3186</v>
      </c>
      <c r="F86" s="388" t="s">
        <v>3186</v>
      </c>
      <c r="G86" s="390"/>
      <c r="H86" s="390"/>
      <c r="I86" s="393" t="s">
        <v>3186</v>
      </c>
      <c r="J86" s="327" t="s">
        <v>1197</v>
      </c>
      <c r="K86" s="388" t="s">
        <v>3186</v>
      </c>
      <c r="L86" s="388" t="s">
        <v>3186</v>
      </c>
      <c r="M86" s="342" t="s">
        <v>3801</v>
      </c>
      <c r="N86" s="330" t="s">
        <v>3187</v>
      </c>
      <c r="O86" s="325"/>
      <c r="P86" s="326">
        <v>1.0889139266470509E-3</v>
      </c>
      <c r="Q86" s="505" t="s">
        <v>3804</v>
      </c>
    </row>
    <row r="87" spans="2:17">
      <c r="B87" s="268">
        <v>60</v>
      </c>
      <c r="C87" s="320" t="s">
        <v>95</v>
      </c>
      <c r="D87" s="238" t="s">
        <v>3789</v>
      </c>
      <c r="E87" s="387" t="s">
        <v>3186</v>
      </c>
      <c r="F87" s="388" t="s">
        <v>3186</v>
      </c>
      <c r="G87" s="390"/>
      <c r="H87" s="390"/>
      <c r="I87" s="388" t="s">
        <v>3186</v>
      </c>
      <c r="J87" s="327" t="s">
        <v>1197</v>
      </c>
      <c r="K87" s="388" t="s">
        <v>3186</v>
      </c>
      <c r="L87" s="388" t="s">
        <v>3186</v>
      </c>
      <c r="M87" s="342"/>
      <c r="N87" s="330" t="s">
        <v>3187</v>
      </c>
      <c r="O87" s="325"/>
      <c r="P87" s="326">
        <v>1.0127222642020695E-3</v>
      </c>
      <c r="Q87" s="505" t="s">
        <v>3804</v>
      </c>
    </row>
    <row r="88" spans="2:17">
      <c r="B88" s="268">
        <v>61</v>
      </c>
      <c r="C88" s="320" t="s">
        <v>827</v>
      </c>
      <c r="D88" s="238" t="s">
        <v>3789</v>
      </c>
      <c r="E88" s="387" t="s">
        <v>3186</v>
      </c>
      <c r="F88" s="388" t="s">
        <v>3186</v>
      </c>
      <c r="G88" s="390"/>
      <c r="H88" s="390"/>
      <c r="I88" s="327" t="s">
        <v>1197</v>
      </c>
      <c r="J88" s="327" t="s">
        <v>1197</v>
      </c>
      <c r="K88" s="327" t="s">
        <v>1197</v>
      </c>
      <c r="L88" s="327" t="s">
        <v>1197</v>
      </c>
      <c r="M88" s="342"/>
      <c r="N88" s="330" t="s">
        <v>3187</v>
      </c>
      <c r="O88" s="325"/>
      <c r="P88" s="326">
        <v>1.1498936600167018E-3</v>
      </c>
      <c r="Q88" s="347" t="s">
        <v>3188</v>
      </c>
    </row>
    <row r="89" spans="2:17" ht="26.4">
      <c r="B89" s="268">
        <v>62</v>
      </c>
      <c r="C89" s="320" t="s">
        <v>177</v>
      </c>
      <c r="D89" s="238" t="s">
        <v>3789</v>
      </c>
      <c r="E89" s="387" t="s">
        <v>3186</v>
      </c>
      <c r="F89" s="388" t="s">
        <v>3186</v>
      </c>
      <c r="G89" s="390"/>
      <c r="H89" s="390"/>
      <c r="I89" s="388" t="s">
        <v>3186</v>
      </c>
      <c r="J89" s="327" t="s">
        <v>1197</v>
      </c>
      <c r="K89" s="327" t="s">
        <v>1197</v>
      </c>
      <c r="L89" s="327" t="s">
        <v>1197</v>
      </c>
      <c r="M89" s="342"/>
      <c r="N89" s="330" t="s">
        <v>3187</v>
      </c>
      <c r="O89" s="325"/>
      <c r="P89" s="326">
        <v>7.1895970658421087E-4</v>
      </c>
      <c r="Q89" s="397" t="s">
        <v>4030</v>
      </c>
    </row>
    <row r="90" spans="2:17">
      <c r="B90" s="268">
        <v>63</v>
      </c>
      <c r="C90" s="320" t="s">
        <v>182</v>
      </c>
      <c r="D90" s="238" t="s">
        <v>3789</v>
      </c>
      <c r="E90" s="387" t="s">
        <v>3186</v>
      </c>
      <c r="F90" s="388" t="s">
        <v>3186</v>
      </c>
      <c r="G90" s="390"/>
      <c r="H90" s="390"/>
      <c r="I90" s="388" t="s">
        <v>3186</v>
      </c>
      <c r="J90" s="327" t="s">
        <v>1197</v>
      </c>
      <c r="K90" s="327" t="s">
        <v>1197</v>
      </c>
      <c r="L90" s="327" t="s">
        <v>1197</v>
      </c>
      <c r="M90" s="342"/>
      <c r="N90" s="330" t="s">
        <v>3187</v>
      </c>
      <c r="O90" s="325"/>
      <c r="P90" s="326">
        <v>8.7433785800228054E-4</v>
      </c>
      <c r="Q90" s="397" t="s">
        <v>4030</v>
      </c>
    </row>
    <row r="91" spans="2:17">
      <c r="B91" s="268">
        <v>64</v>
      </c>
      <c r="C91" s="320" t="s">
        <v>173</v>
      </c>
      <c r="D91" s="238" t="s">
        <v>3789</v>
      </c>
      <c r="E91" s="387" t="s">
        <v>3186</v>
      </c>
      <c r="F91" s="388" t="s">
        <v>3186</v>
      </c>
      <c r="G91" s="390"/>
      <c r="H91" s="390"/>
      <c r="I91" s="388" t="s">
        <v>3186</v>
      </c>
      <c r="J91" s="327" t="s">
        <v>1197</v>
      </c>
      <c r="K91" s="388" t="s">
        <v>3186</v>
      </c>
      <c r="L91" s="327" t="s">
        <v>1197</v>
      </c>
      <c r="M91" s="342"/>
      <c r="N91" s="330" t="s">
        <v>3187</v>
      </c>
      <c r="O91" s="325"/>
      <c r="P91" s="326">
        <v>4.4923088387444234E-4</v>
      </c>
      <c r="Q91" s="505" t="s">
        <v>3804</v>
      </c>
    </row>
    <row r="92" spans="2:17">
      <c r="B92" s="268">
        <v>65</v>
      </c>
      <c r="C92" s="320" t="s">
        <v>144</v>
      </c>
      <c r="D92" s="238" t="s">
        <v>3789</v>
      </c>
      <c r="E92" s="386" t="s">
        <v>1197</v>
      </c>
      <c r="F92" s="329" t="s">
        <v>3187</v>
      </c>
      <c r="G92" s="329"/>
      <c r="H92" s="329"/>
      <c r="I92" s="329"/>
      <c r="J92" s="329"/>
      <c r="K92" s="329"/>
      <c r="L92" s="329"/>
      <c r="M92" s="342"/>
      <c r="N92" s="330"/>
      <c r="O92" s="325"/>
      <c r="P92" s="326">
        <v>4.0644782530698589E-4</v>
      </c>
      <c r="Q92" s="347" t="s">
        <v>3188</v>
      </c>
    </row>
    <row r="93" spans="2:17" ht="26.4">
      <c r="B93" s="268">
        <v>66</v>
      </c>
      <c r="C93" s="320" t="s">
        <v>440</v>
      </c>
      <c r="D93" s="238" t="s">
        <v>3789</v>
      </c>
      <c r="E93" s="387" t="s">
        <v>3186</v>
      </c>
      <c r="F93" s="388" t="s">
        <v>3186</v>
      </c>
      <c r="G93" s="390"/>
      <c r="H93" s="390"/>
      <c r="I93" s="327" t="s">
        <v>1197</v>
      </c>
      <c r="J93" s="327" t="s">
        <v>1197</v>
      </c>
      <c r="K93" s="327" t="s">
        <v>1197</v>
      </c>
      <c r="L93" s="327" t="s">
        <v>1197</v>
      </c>
      <c r="M93" s="342"/>
      <c r="N93" s="330" t="s">
        <v>3187</v>
      </c>
      <c r="O93" s="325"/>
      <c r="P93" s="326">
        <v>2.8203430488432559E-4</v>
      </c>
      <c r="Q93" s="347" t="s">
        <v>3188</v>
      </c>
    </row>
    <row r="94" spans="2:17" ht="26.4">
      <c r="B94" s="268">
        <v>67</v>
      </c>
      <c r="C94" s="320" t="s">
        <v>459</v>
      </c>
      <c r="D94" s="238" t="s">
        <v>3789</v>
      </c>
      <c r="E94" s="387" t="s">
        <v>3186</v>
      </c>
      <c r="F94" s="388" t="s">
        <v>3186</v>
      </c>
      <c r="G94" s="390"/>
      <c r="H94" s="390"/>
      <c r="I94" s="388" t="s">
        <v>3186</v>
      </c>
      <c r="J94" s="327" t="s">
        <v>1197</v>
      </c>
      <c r="K94" s="327" t="s">
        <v>1197</v>
      </c>
      <c r="L94" s="327" t="s">
        <v>1197</v>
      </c>
      <c r="M94" s="342"/>
      <c r="N94" s="330" t="s">
        <v>3187</v>
      </c>
      <c r="O94" s="325"/>
      <c r="P94" s="326">
        <v>2.7968741149910962E-4</v>
      </c>
      <c r="Q94" s="397" t="s">
        <v>4030</v>
      </c>
    </row>
    <row r="95" spans="2:17" ht="26.4">
      <c r="B95" s="268">
        <v>68</v>
      </c>
      <c r="C95" s="320" t="s">
        <v>1864</v>
      </c>
      <c r="D95" s="238" t="s">
        <v>3789</v>
      </c>
      <c r="E95" s="387" t="s">
        <v>3186</v>
      </c>
      <c r="F95" s="388" t="s">
        <v>3186</v>
      </c>
      <c r="G95" s="390"/>
      <c r="H95" s="390"/>
      <c r="I95" s="327" t="s">
        <v>1197</v>
      </c>
      <c r="J95" s="327" t="s">
        <v>1197</v>
      </c>
      <c r="K95" s="327" t="s">
        <v>1197</v>
      </c>
      <c r="L95" s="327" t="s">
        <v>1197</v>
      </c>
      <c r="M95" s="342"/>
      <c r="N95" s="330" t="s">
        <v>3187</v>
      </c>
      <c r="O95" s="325"/>
      <c r="P95" s="326">
        <v>4.6039033085018164E-4</v>
      </c>
      <c r="Q95" s="347" t="s">
        <v>3188</v>
      </c>
    </row>
    <row r="96" spans="2:17" ht="26.4">
      <c r="B96" s="268">
        <v>69</v>
      </c>
      <c r="C96" s="320" t="s">
        <v>107</v>
      </c>
      <c r="D96" s="238" t="s">
        <v>3789</v>
      </c>
      <c r="E96" s="386" t="s">
        <v>1197</v>
      </c>
      <c r="F96" s="329" t="s">
        <v>3187</v>
      </c>
      <c r="G96" s="329"/>
      <c r="H96" s="329"/>
      <c r="I96" s="329"/>
      <c r="J96" s="329"/>
      <c r="K96" s="329"/>
      <c r="L96" s="329"/>
      <c r="M96" s="342"/>
      <c r="N96" s="330"/>
      <c r="O96" s="325"/>
      <c r="P96" s="326">
        <v>4.1617966511494866E-5</v>
      </c>
      <c r="Q96" s="347" t="s">
        <v>3188</v>
      </c>
    </row>
    <row r="97" spans="2:17">
      <c r="B97" s="268">
        <v>70</v>
      </c>
      <c r="C97" s="320" t="s">
        <v>1879</v>
      </c>
      <c r="D97" s="238" t="s">
        <v>3789</v>
      </c>
      <c r="E97" s="387" t="s">
        <v>3186</v>
      </c>
      <c r="F97" s="388" t="s">
        <v>3186</v>
      </c>
      <c r="G97" s="390"/>
      <c r="H97" s="390"/>
      <c r="I97" s="388" t="s">
        <v>3186</v>
      </c>
      <c r="J97" s="327" t="s">
        <v>1197</v>
      </c>
      <c r="K97" s="327" t="s">
        <v>1197</v>
      </c>
      <c r="L97" s="327" t="s">
        <v>1197</v>
      </c>
      <c r="M97" s="342"/>
      <c r="N97" s="330" t="s">
        <v>3187</v>
      </c>
      <c r="O97" s="325"/>
      <c r="P97" s="326">
        <v>4.8332608698181682E-7</v>
      </c>
      <c r="Q97" s="397" t="s">
        <v>4030</v>
      </c>
    </row>
    <row r="98" spans="2:17">
      <c r="B98" s="268">
        <v>71</v>
      </c>
      <c r="C98" s="320" t="s">
        <v>28</v>
      </c>
      <c r="D98" s="238" t="s">
        <v>3789</v>
      </c>
      <c r="E98" s="387" t="s">
        <v>3186</v>
      </c>
      <c r="F98" s="388" t="s">
        <v>3186</v>
      </c>
      <c r="G98" s="390"/>
      <c r="H98" s="390"/>
      <c r="I98" s="388" t="s">
        <v>3186</v>
      </c>
      <c r="J98" s="388" t="s">
        <v>3186</v>
      </c>
      <c r="K98" s="327" t="s">
        <v>1197</v>
      </c>
      <c r="L98" s="327" t="s">
        <v>1197</v>
      </c>
      <c r="M98" s="342"/>
      <c r="N98" s="330" t="s">
        <v>3187</v>
      </c>
      <c r="O98" s="325"/>
      <c r="P98" s="326">
        <v>2.3998673052808776E-4</v>
      </c>
      <c r="Q98" s="505" t="s">
        <v>3804</v>
      </c>
    </row>
    <row r="99" spans="2:17">
      <c r="B99" s="268">
        <v>72</v>
      </c>
      <c r="C99" s="320" t="s">
        <v>85</v>
      </c>
      <c r="D99" s="238" t="s">
        <v>3789</v>
      </c>
      <c r="E99" s="387" t="s">
        <v>3186</v>
      </c>
      <c r="F99" s="388" t="s">
        <v>3186</v>
      </c>
      <c r="G99" s="390"/>
      <c r="H99" s="390"/>
      <c r="I99" s="327" t="s">
        <v>1197</v>
      </c>
      <c r="J99" s="327" t="s">
        <v>1197</v>
      </c>
      <c r="K99" s="327" t="s">
        <v>1197</v>
      </c>
      <c r="L99" s="327" t="s">
        <v>1197</v>
      </c>
      <c r="M99" s="342"/>
      <c r="N99" s="330" t="s">
        <v>3187</v>
      </c>
      <c r="O99" s="325"/>
      <c r="P99" s="326">
        <v>2.4732886806884467E-4</v>
      </c>
      <c r="Q99" s="347" t="s">
        <v>3188</v>
      </c>
    </row>
    <row r="100" spans="2:17" ht="26.4">
      <c r="B100" s="268">
        <v>73</v>
      </c>
      <c r="C100" s="320" t="s">
        <v>1870</v>
      </c>
      <c r="D100" s="238" t="s">
        <v>3789</v>
      </c>
      <c r="E100" s="387" t="s">
        <v>3186</v>
      </c>
      <c r="F100" s="388" t="s">
        <v>3186</v>
      </c>
      <c r="G100" s="390"/>
      <c r="H100" s="390"/>
      <c r="I100" s="388" t="s">
        <v>3186</v>
      </c>
      <c r="J100" s="327" t="s">
        <v>1197</v>
      </c>
      <c r="K100" s="327" t="s">
        <v>1197</v>
      </c>
      <c r="L100" s="327" t="s">
        <v>1197</v>
      </c>
      <c r="M100" s="342"/>
      <c r="N100" s="330" t="s">
        <v>3187</v>
      </c>
      <c r="O100" s="325"/>
      <c r="P100" s="326">
        <v>1.9545002682389356E-4</v>
      </c>
      <c r="Q100" s="397" t="s">
        <v>4030</v>
      </c>
    </row>
    <row r="101" spans="2:17">
      <c r="B101" s="268">
        <v>74</v>
      </c>
      <c r="C101" s="320" t="s">
        <v>1871</v>
      </c>
      <c r="D101" s="238" t="s">
        <v>3789</v>
      </c>
      <c r="E101" s="387" t="s">
        <v>3186</v>
      </c>
      <c r="F101" s="388" t="s">
        <v>3186</v>
      </c>
      <c r="G101" s="390"/>
      <c r="H101" s="390"/>
      <c r="I101" s="388" t="s">
        <v>3186</v>
      </c>
      <c r="J101" s="327" t="s">
        <v>1197</v>
      </c>
      <c r="K101" s="327" t="s">
        <v>1197</v>
      </c>
      <c r="L101" s="327" t="s">
        <v>1197</v>
      </c>
      <c r="M101" s="342"/>
      <c r="N101" s="330" t="s">
        <v>3187</v>
      </c>
      <c r="O101" s="325"/>
      <c r="P101" s="326">
        <v>3.0838179081738151E-4</v>
      </c>
      <c r="Q101" s="397" t="s">
        <v>4030</v>
      </c>
    </row>
    <row r="102" spans="2:17">
      <c r="B102" s="268">
        <v>75</v>
      </c>
      <c r="C102" s="320" t="s">
        <v>204</v>
      </c>
      <c r="D102" s="238" t="s">
        <v>3789</v>
      </c>
      <c r="E102" s="387" t="s">
        <v>3186</v>
      </c>
      <c r="F102" s="388" t="s">
        <v>3186</v>
      </c>
      <c r="G102" s="390"/>
      <c r="H102" s="390"/>
      <c r="I102" s="388" t="s">
        <v>3186</v>
      </c>
      <c r="J102" s="388" t="s">
        <v>3186</v>
      </c>
      <c r="K102" s="327" t="s">
        <v>1197</v>
      </c>
      <c r="L102" s="327" t="s">
        <v>1197</v>
      </c>
      <c r="M102" s="342"/>
      <c r="N102" s="330" t="s">
        <v>3187</v>
      </c>
      <c r="O102" s="325"/>
      <c r="P102" s="326">
        <v>2.5552649278355941E-4</v>
      </c>
      <c r="Q102" s="505" t="s">
        <v>3804</v>
      </c>
    </row>
    <row r="103" spans="2:17">
      <c r="B103" s="268">
        <v>76</v>
      </c>
      <c r="C103" s="320" t="s">
        <v>1873</v>
      </c>
      <c r="D103" s="238" t="s">
        <v>3789</v>
      </c>
      <c r="E103" s="386" t="s">
        <v>1197</v>
      </c>
      <c r="F103" s="329" t="s">
        <v>3187</v>
      </c>
      <c r="G103" s="329"/>
      <c r="H103" s="329"/>
      <c r="I103" s="329"/>
      <c r="J103" s="329"/>
      <c r="K103" s="329"/>
      <c r="L103" s="329"/>
      <c r="M103" s="342"/>
      <c r="N103" s="330"/>
      <c r="O103" s="325"/>
      <c r="P103" s="326">
        <v>1.6778319876654499E-4</v>
      </c>
      <c r="Q103" s="347" t="s">
        <v>3188</v>
      </c>
    </row>
    <row r="104" spans="2:17">
      <c r="B104" s="268">
        <v>77</v>
      </c>
      <c r="C104" s="320" t="s">
        <v>1874</v>
      </c>
      <c r="D104" s="238" t="s">
        <v>3789</v>
      </c>
      <c r="E104" s="386" t="s">
        <v>1197</v>
      </c>
      <c r="F104" s="329" t="s">
        <v>3187</v>
      </c>
      <c r="G104" s="329"/>
      <c r="H104" s="329"/>
      <c r="I104" s="329"/>
      <c r="J104" s="329"/>
      <c r="K104" s="329"/>
      <c r="L104" s="329"/>
      <c r="M104" s="342"/>
      <c r="N104" s="330"/>
      <c r="O104" s="325"/>
      <c r="P104" s="326">
        <v>1.482268586350867E-4</v>
      </c>
      <c r="Q104" s="347" t="s">
        <v>3188</v>
      </c>
    </row>
    <row r="105" spans="2:17">
      <c r="B105" s="268">
        <v>78</v>
      </c>
      <c r="C105" s="320" t="s">
        <v>532</v>
      </c>
      <c r="D105" s="238" t="s">
        <v>3789</v>
      </c>
      <c r="E105" s="387" t="s">
        <v>3186</v>
      </c>
      <c r="F105" s="388" t="s">
        <v>3186</v>
      </c>
      <c r="G105" s="390"/>
      <c r="H105" s="390"/>
      <c r="I105" s="327" t="s">
        <v>1197</v>
      </c>
      <c r="J105" s="327" t="s">
        <v>1197</v>
      </c>
      <c r="K105" s="327" t="s">
        <v>1197</v>
      </c>
      <c r="L105" s="327" t="s">
        <v>1197</v>
      </c>
      <c r="M105" s="342"/>
      <c r="N105" s="330" t="s">
        <v>3187</v>
      </c>
      <c r="O105" s="325"/>
      <c r="P105" s="326">
        <v>1.507531350451568E-4</v>
      </c>
      <c r="Q105" s="347" t="s">
        <v>3188</v>
      </c>
    </row>
    <row r="106" spans="2:17">
      <c r="B106" s="268">
        <v>79</v>
      </c>
      <c r="C106" s="320" t="s">
        <v>134</v>
      </c>
      <c r="D106" s="238" t="s">
        <v>3789</v>
      </c>
      <c r="E106" s="387" t="s">
        <v>3186</v>
      </c>
      <c r="F106" s="388" t="s">
        <v>3186</v>
      </c>
      <c r="G106" s="390"/>
      <c r="H106" s="390"/>
      <c r="I106" s="388" t="s">
        <v>3186</v>
      </c>
      <c r="J106" s="388" t="s">
        <v>3186</v>
      </c>
      <c r="K106" s="388" t="s">
        <v>3186</v>
      </c>
      <c r="L106" s="327" t="s">
        <v>1197</v>
      </c>
      <c r="M106" s="342"/>
      <c r="N106" s="330" t="s">
        <v>3187</v>
      </c>
      <c r="O106" s="325"/>
      <c r="P106" s="326">
        <v>6.7342099885511951E-5</v>
      </c>
      <c r="Q106" s="505" t="s">
        <v>3804</v>
      </c>
    </row>
    <row r="107" spans="2:17">
      <c r="B107" s="268">
        <v>80</v>
      </c>
      <c r="C107" s="320" t="s">
        <v>1877</v>
      </c>
      <c r="D107" s="238" t="s">
        <v>3789</v>
      </c>
      <c r="E107" s="387" t="s">
        <v>3186</v>
      </c>
      <c r="F107" s="388" t="s">
        <v>3186</v>
      </c>
      <c r="G107" s="390"/>
      <c r="H107" s="390"/>
      <c r="I107" s="388" t="s">
        <v>3186</v>
      </c>
      <c r="J107" s="327" t="s">
        <v>1197</v>
      </c>
      <c r="K107" s="327" t="s">
        <v>1197</v>
      </c>
      <c r="L107" s="327" t="s">
        <v>1197</v>
      </c>
      <c r="M107" s="342"/>
      <c r="N107" s="330" t="s">
        <v>3187</v>
      </c>
      <c r="O107" s="325"/>
      <c r="P107" s="326">
        <v>1.0978406832872696E-4</v>
      </c>
      <c r="Q107" s="397" t="s">
        <v>4030</v>
      </c>
    </row>
    <row r="108" spans="2:17">
      <c r="B108" s="268">
        <v>81</v>
      </c>
      <c r="C108" s="320" t="s">
        <v>191</v>
      </c>
      <c r="D108" s="238" t="s">
        <v>3789</v>
      </c>
      <c r="E108" s="387" t="s">
        <v>3186</v>
      </c>
      <c r="F108" s="388" t="s">
        <v>3186</v>
      </c>
      <c r="G108" s="390"/>
      <c r="H108" s="390"/>
      <c r="I108" s="327" t="s">
        <v>1197</v>
      </c>
      <c r="J108" s="327" t="s">
        <v>1197</v>
      </c>
      <c r="K108" s="327" t="s">
        <v>1197</v>
      </c>
      <c r="L108" s="327" t="s">
        <v>1197</v>
      </c>
      <c r="M108" s="342"/>
      <c r="N108" s="330" t="s">
        <v>3187</v>
      </c>
      <c r="O108" s="325"/>
      <c r="P108" s="326">
        <v>1.0258016204884683E-4</v>
      </c>
      <c r="Q108" s="347" t="s">
        <v>3188</v>
      </c>
    </row>
    <row r="109" spans="2:17">
      <c r="B109" s="268">
        <v>82</v>
      </c>
      <c r="C109" s="320" t="s">
        <v>375</v>
      </c>
      <c r="D109" s="238" t="s">
        <v>3789</v>
      </c>
      <c r="E109" s="386" t="s">
        <v>1197</v>
      </c>
      <c r="F109" s="329" t="s">
        <v>3187</v>
      </c>
      <c r="G109" s="329"/>
      <c r="H109" s="329"/>
      <c r="I109" s="329"/>
      <c r="J109" s="329"/>
      <c r="K109" s="329"/>
      <c r="L109" s="329"/>
      <c r="M109" s="342"/>
      <c r="N109" s="330"/>
      <c r="O109" s="325"/>
      <c r="P109" s="326">
        <v>9.4000295445913334E-5</v>
      </c>
      <c r="Q109" s="347" t="s">
        <v>3188</v>
      </c>
    </row>
    <row r="110" spans="2:17">
      <c r="B110" s="268">
        <v>83</v>
      </c>
      <c r="C110" s="320" t="s">
        <v>103</v>
      </c>
      <c r="D110" s="238" t="s">
        <v>3789</v>
      </c>
      <c r="E110" s="387" t="s">
        <v>3186</v>
      </c>
      <c r="F110" s="388" t="s">
        <v>3186</v>
      </c>
      <c r="G110" s="390"/>
      <c r="H110" s="390"/>
      <c r="I110" s="388" t="s">
        <v>3186</v>
      </c>
      <c r="J110" s="327" t="s">
        <v>1197</v>
      </c>
      <c r="K110" s="327" t="s">
        <v>1197</v>
      </c>
      <c r="L110" s="327" t="s">
        <v>1197</v>
      </c>
      <c r="M110" s="342"/>
      <c r="N110" s="330" t="s">
        <v>3187</v>
      </c>
      <c r="O110" s="325"/>
      <c r="P110" s="326">
        <v>1.3357738303183554E-4</v>
      </c>
      <c r="Q110" s="397" t="s">
        <v>4030</v>
      </c>
    </row>
    <row r="111" spans="2:17" ht="26.4">
      <c r="B111" s="268">
        <v>84</v>
      </c>
      <c r="C111" s="320" t="s">
        <v>315</v>
      </c>
      <c r="D111" s="238" t="s">
        <v>3789</v>
      </c>
      <c r="E111" s="387" t="s">
        <v>3186</v>
      </c>
      <c r="F111" s="388" t="s">
        <v>3186</v>
      </c>
      <c r="G111" s="390"/>
      <c r="H111" s="390"/>
      <c r="I111" s="388" t="s">
        <v>3186</v>
      </c>
      <c r="J111" s="388" t="s">
        <v>3186</v>
      </c>
      <c r="K111" s="327" t="s">
        <v>1197</v>
      </c>
      <c r="L111" s="327" t="s">
        <v>1197</v>
      </c>
      <c r="M111" s="342"/>
      <c r="N111" s="330" t="s">
        <v>3187</v>
      </c>
      <c r="O111" s="325"/>
      <c r="P111" s="326">
        <v>1.0344531574454429E-4</v>
      </c>
      <c r="Q111" s="505" t="s">
        <v>3804</v>
      </c>
    </row>
    <row r="112" spans="2:17">
      <c r="B112" s="268">
        <v>85</v>
      </c>
      <c r="C112" s="320" t="s">
        <v>2468</v>
      </c>
      <c r="D112" s="238" t="s">
        <v>3789</v>
      </c>
      <c r="E112" s="386" t="s">
        <v>1197</v>
      </c>
      <c r="F112" s="329" t="s">
        <v>3187</v>
      </c>
      <c r="G112" s="329"/>
      <c r="H112" s="329"/>
      <c r="I112" s="329"/>
      <c r="J112" s="329"/>
      <c r="K112" s="329"/>
      <c r="L112" s="329"/>
      <c r="M112" s="342"/>
      <c r="N112" s="330"/>
      <c r="O112" s="325"/>
      <c r="P112" s="326">
        <v>3.6869494846650075E-5</v>
      </c>
      <c r="Q112" s="347" t="s">
        <v>3188</v>
      </c>
    </row>
    <row r="113" spans="2:17">
      <c r="B113" s="268">
        <v>86</v>
      </c>
      <c r="C113" s="320" t="s">
        <v>83</v>
      </c>
      <c r="D113" s="238" t="s">
        <v>3789</v>
      </c>
      <c r="E113" s="386" t="s">
        <v>1197</v>
      </c>
      <c r="F113" s="329" t="s">
        <v>3187</v>
      </c>
      <c r="G113" s="329"/>
      <c r="H113" s="329"/>
      <c r="I113" s="329"/>
      <c r="J113" s="329"/>
      <c r="K113" s="329"/>
      <c r="L113" s="329"/>
      <c r="M113" s="342"/>
      <c r="N113" s="330"/>
      <c r="O113" s="325"/>
      <c r="P113" s="326">
        <v>7.7678097302201965E-5</v>
      </c>
      <c r="Q113" s="347" t="s">
        <v>3188</v>
      </c>
    </row>
    <row r="114" spans="2:17">
      <c r="B114" s="268">
        <v>87</v>
      </c>
      <c r="C114" s="320" t="s">
        <v>153</v>
      </c>
      <c r="D114" s="238" t="s">
        <v>3789</v>
      </c>
      <c r="E114" s="386" t="s">
        <v>1197</v>
      </c>
      <c r="F114" s="329" t="s">
        <v>3187</v>
      </c>
      <c r="G114" s="329"/>
      <c r="H114" s="329"/>
      <c r="I114" s="329"/>
      <c r="J114" s="329"/>
      <c r="K114" s="329"/>
      <c r="L114" s="329"/>
      <c r="M114" s="342"/>
      <c r="N114" s="330"/>
      <c r="O114" s="325"/>
      <c r="P114" s="326">
        <v>3.0370001815254021E-5</v>
      </c>
      <c r="Q114" s="347" t="s">
        <v>3188</v>
      </c>
    </row>
    <row r="115" spans="2:17">
      <c r="B115" s="268">
        <v>88</v>
      </c>
      <c r="C115" s="320" t="s">
        <v>90</v>
      </c>
      <c r="D115" s="238" t="s">
        <v>3789</v>
      </c>
      <c r="E115" s="386" t="s">
        <v>1197</v>
      </c>
      <c r="F115" s="329" t="s">
        <v>3187</v>
      </c>
      <c r="G115" s="329"/>
      <c r="H115" s="329"/>
      <c r="I115" s="329"/>
      <c r="J115" s="329"/>
      <c r="K115" s="329"/>
      <c r="L115" s="329"/>
      <c r="M115" s="342"/>
      <c r="N115" s="330"/>
      <c r="O115" s="325"/>
      <c r="P115" s="326">
        <v>7.5688312848681678E-5</v>
      </c>
      <c r="Q115" s="347" t="s">
        <v>3188</v>
      </c>
    </row>
    <row r="116" spans="2:17">
      <c r="B116" s="268">
        <v>89</v>
      </c>
      <c r="C116" s="320" t="s">
        <v>110</v>
      </c>
      <c r="D116" s="238" t="s">
        <v>3789</v>
      </c>
      <c r="E116" s="387" t="s">
        <v>3186</v>
      </c>
      <c r="F116" s="388" t="s">
        <v>3186</v>
      </c>
      <c r="G116" s="390"/>
      <c r="H116" s="390"/>
      <c r="I116" s="388" t="s">
        <v>3186</v>
      </c>
      <c r="J116" s="327" t="s">
        <v>1197</v>
      </c>
      <c r="K116" s="327" t="s">
        <v>1197</v>
      </c>
      <c r="L116" s="327" t="s">
        <v>1197</v>
      </c>
      <c r="M116" s="342"/>
      <c r="N116" s="330" t="s">
        <v>3187</v>
      </c>
      <c r="O116" s="325"/>
      <c r="P116" s="326">
        <v>8.1256229370712198E-5</v>
      </c>
      <c r="Q116" s="397" t="s">
        <v>4030</v>
      </c>
    </row>
    <row r="117" spans="2:17">
      <c r="B117" s="268">
        <v>90</v>
      </c>
      <c r="C117" s="320" t="s">
        <v>129</v>
      </c>
      <c r="D117" s="238" t="s">
        <v>3789</v>
      </c>
      <c r="E117" s="386" t="s">
        <v>1197</v>
      </c>
      <c r="F117" s="329" t="s">
        <v>3187</v>
      </c>
      <c r="G117" s="329"/>
      <c r="H117" s="329"/>
      <c r="I117" s="329"/>
      <c r="J117" s="329"/>
      <c r="K117" s="329"/>
      <c r="L117" s="329"/>
      <c r="M117" s="342"/>
      <c r="N117" s="330"/>
      <c r="O117" s="325"/>
      <c r="P117" s="326">
        <v>9.1815247253252392E-5</v>
      </c>
      <c r="Q117" s="347" t="s">
        <v>3188</v>
      </c>
    </row>
    <row r="118" spans="2:17">
      <c r="B118" s="268">
        <v>91</v>
      </c>
      <c r="C118" s="320" t="s">
        <v>197</v>
      </c>
      <c r="D118" s="238" t="s">
        <v>3789</v>
      </c>
      <c r="E118" s="387" t="s">
        <v>3186</v>
      </c>
      <c r="F118" s="388" t="s">
        <v>3186</v>
      </c>
      <c r="G118" s="390"/>
      <c r="H118" s="390"/>
      <c r="I118" s="388" t="s">
        <v>3186</v>
      </c>
      <c r="J118" s="327" t="s">
        <v>1197</v>
      </c>
      <c r="K118" s="327" t="s">
        <v>1197</v>
      </c>
      <c r="L118" s="327" t="s">
        <v>1197</v>
      </c>
      <c r="M118" s="342"/>
      <c r="N118" s="330" t="s">
        <v>3187</v>
      </c>
      <c r="O118" s="325"/>
      <c r="P118" s="326">
        <v>9.840601986850416E-5</v>
      </c>
      <c r="Q118" s="397" t="s">
        <v>4030</v>
      </c>
    </row>
    <row r="119" spans="2:17" ht="26.4">
      <c r="B119" s="268">
        <v>92</v>
      </c>
      <c r="C119" s="320" t="s">
        <v>1884</v>
      </c>
      <c r="D119" s="238" t="s">
        <v>3789</v>
      </c>
      <c r="E119" s="387" t="s">
        <v>3186</v>
      </c>
      <c r="F119" s="327" t="s">
        <v>1197</v>
      </c>
      <c r="G119" s="388" t="s">
        <v>3186</v>
      </c>
      <c r="H119" s="329" t="s">
        <v>3187</v>
      </c>
      <c r="I119" s="389"/>
      <c r="J119" s="389"/>
      <c r="K119" s="389"/>
      <c r="L119" s="389"/>
      <c r="M119" s="499"/>
      <c r="N119" s="500"/>
      <c r="O119" s="391"/>
      <c r="P119" s="326">
        <v>6.4624702531332475E-5</v>
      </c>
      <c r="Q119" s="505" t="s">
        <v>3804</v>
      </c>
    </row>
    <row r="120" spans="2:17">
      <c r="B120" s="268">
        <v>93</v>
      </c>
      <c r="C120" s="320" t="s">
        <v>198</v>
      </c>
      <c r="D120" s="238" t="s">
        <v>3789</v>
      </c>
      <c r="E120" s="387" t="s">
        <v>3186</v>
      </c>
      <c r="F120" s="327" t="s">
        <v>1197</v>
      </c>
      <c r="G120" s="388" t="s">
        <v>3186</v>
      </c>
      <c r="H120" s="329" t="s">
        <v>3187</v>
      </c>
      <c r="I120" s="389"/>
      <c r="J120" s="389"/>
      <c r="K120" s="389"/>
      <c r="L120" s="389"/>
      <c r="M120" s="499"/>
      <c r="N120" s="500"/>
      <c r="O120" s="391"/>
      <c r="P120" s="326">
        <v>6.2554547854205494E-5</v>
      </c>
      <c r="Q120" s="505" t="s">
        <v>3804</v>
      </c>
    </row>
    <row r="121" spans="2:17">
      <c r="B121" s="268">
        <v>94</v>
      </c>
      <c r="C121" s="320" t="s">
        <v>1883</v>
      </c>
      <c r="D121" s="238" t="s">
        <v>3789</v>
      </c>
      <c r="E121" s="386" t="s">
        <v>1197</v>
      </c>
      <c r="F121" s="329" t="s">
        <v>3187</v>
      </c>
      <c r="G121" s="329"/>
      <c r="H121" s="329"/>
      <c r="I121" s="329"/>
      <c r="J121" s="329"/>
      <c r="K121" s="329"/>
      <c r="L121" s="329"/>
      <c r="M121" s="342"/>
      <c r="N121" s="330"/>
      <c r="O121" s="325"/>
      <c r="P121" s="326">
        <v>6.2853105282792551E-5</v>
      </c>
      <c r="Q121" s="347" t="s">
        <v>3188</v>
      </c>
    </row>
    <row r="122" spans="2:17">
      <c r="B122" s="268">
        <v>95</v>
      </c>
      <c r="C122" s="320" t="s">
        <v>1887</v>
      </c>
      <c r="D122" s="238" t="s">
        <v>3789</v>
      </c>
      <c r="E122" s="386" t="s">
        <v>1197</v>
      </c>
      <c r="F122" s="329" t="s">
        <v>3187</v>
      </c>
      <c r="G122" s="329"/>
      <c r="H122" s="329"/>
      <c r="I122" s="329"/>
      <c r="J122" s="329"/>
      <c r="K122" s="329"/>
      <c r="L122" s="329"/>
      <c r="M122" s="342"/>
      <c r="N122" s="330"/>
      <c r="O122" s="325"/>
      <c r="P122" s="326">
        <v>4.9952717741744733E-5</v>
      </c>
      <c r="Q122" s="347" t="s">
        <v>3188</v>
      </c>
    </row>
    <row r="123" spans="2:17">
      <c r="B123" s="268">
        <v>96</v>
      </c>
      <c r="C123" s="320" t="s">
        <v>912</v>
      </c>
      <c r="D123" s="238" t="s">
        <v>3789</v>
      </c>
      <c r="E123" s="387" t="s">
        <v>3186</v>
      </c>
      <c r="F123" s="327" t="s">
        <v>1197</v>
      </c>
      <c r="G123" s="388" t="s">
        <v>3186</v>
      </c>
      <c r="H123" s="329" t="s">
        <v>3187</v>
      </c>
      <c r="I123" s="389"/>
      <c r="J123" s="389"/>
      <c r="K123" s="389"/>
      <c r="L123" s="389"/>
      <c r="M123" s="499"/>
      <c r="N123" s="500"/>
      <c r="O123" s="391"/>
      <c r="P123" s="326">
        <v>5.4684894412799846E-5</v>
      </c>
      <c r="Q123" s="505" t="s">
        <v>3804</v>
      </c>
    </row>
    <row r="124" spans="2:17">
      <c r="B124" s="268">
        <v>97</v>
      </c>
      <c r="C124" s="320" t="s">
        <v>1880</v>
      </c>
      <c r="D124" s="238" t="s">
        <v>3789</v>
      </c>
      <c r="E124" s="386" t="s">
        <v>1197</v>
      </c>
      <c r="F124" s="329" t="s">
        <v>3187</v>
      </c>
      <c r="G124" s="329"/>
      <c r="H124" s="329"/>
      <c r="I124" s="329"/>
      <c r="J124" s="329"/>
      <c r="K124" s="329"/>
      <c r="L124" s="329"/>
      <c r="M124" s="342"/>
      <c r="N124" s="330"/>
      <c r="O124" s="325"/>
      <c r="P124" s="326">
        <v>7.8029682507189309E-5</v>
      </c>
      <c r="Q124" s="347" t="s">
        <v>3188</v>
      </c>
    </row>
    <row r="125" spans="2:17" ht="26.4">
      <c r="B125" s="268">
        <v>98</v>
      </c>
      <c r="C125" s="320" t="s">
        <v>2478</v>
      </c>
      <c r="D125" s="238" t="s">
        <v>3789</v>
      </c>
      <c r="E125" s="386" t="s">
        <v>1197</v>
      </c>
      <c r="F125" s="329" t="s">
        <v>3187</v>
      </c>
      <c r="G125" s="329"/>
      <c r="H125" s="329"/>
      <c r="I125" s="329"/>
      <c r="J125" s="329"/>
      <c r="K125" s="329"/>
      <c r="L125" s="329"/>
      <c r="M125" s="342"/>
      <c r="N125" s="330"/>
      <c r="O125" s="325"/>
      <c r="P125" s="326">
        <v>3.6869494846650075E-5</v>
      </c>
      <c r="Q125" s="347" t="s">
        <v>3188</v>
      </c>
    </row>
    <row r="126" spans="2:17">
      <c r="B126" s="268">
        <v>99</v>
      </c>
      <c r="C126" s="320" t="s">
        <v>2480</v>
      </c>
      <c r="D126" s="238" t="s">
        <v>3789</v>
      </c>
      <c r="E126" s="387" t="s">
        <v>3186</v>
      </c>
      <c r="F126" s="388" t="s">
        <v>3186</v>
      </c>
      <c r="G126" s="390"/>
      <c r="H126" s="390"/>
      <c r="I126" s="327" t="s">
        <v>1197</v>
      </c>
      <c r="J126" s="327" t="s">
        <v>1197</v>
      </c>
      <c r="K126" s="327" t="s">
        <v>1197</v>
      </c>
      <c r="L126" s="327" t="s">
        <v>1197</v>
      </c>
      <c r="M126" s="342"/>
      <c r="N126" s="330" t="s">
        <v>3187</v>
      </c>
      <c r="O126" s="325"/>
      <c r="P126" s="326">
        <v>6.2475972841779018E-5</v>
      </c>
      <c r="Q126" s="347" t="s">
        <v>3188</v>
      </c>
    </row>
    <row r="127" spans="2:17">
      <c r="B127" s="268">
        <v>100</v>
      </c>
      <c r="C127" s="320" t="s">
        <v>1889</v>
      </c>
      <c r="D127" s="238" t="s">
        <v>3789</v>
      </c>
      <c r="E127" s="386" t="s">
        <v>1197</v>
      </c>
      <c r="F127" s="329" t="s">
        <v>3187</v>
      </c>
      <c r="G127" s="329"/>
      <c r="H127" s="329"/>
      <c r="I127" s="329"/>
      <c r="J127" s="329"/>
      <c r="K127" s="329"/>
      <c r="L127" s="329"/>
      <c r="M127" s="342"/>
      <c r="N127" s="330"/>
      <c r="O127" s="325"/>
      <c r="P127" s="326">
        <v>5.2553702555545447E-5</v>
      </c>
      <c r="Q127" s="347" t="s">
        <v>3188</v>
      </c>
    </row>
    <row r="128" spans="2:17" ht="26.4">
      <c r="B128" s="268">
        <v>101</v>
      </c>
      <c r="C128" s="320" t="s">
        <v>109</v>
      </c>
      <c r="D128" s="238" t="s">
        <v>3789</v>
      </c>
      <c r="E128" s="386" t="s">
        <v>1197</v>
      </c>
      <c r="F128" s="329" t="s">
        <v>3187</v>
      </c>
      <c r="G128" s="329"/>
      <c r="H128" s="329"/>
      <c r="I128" s="329"/>
      <c r="J128" s="329"/>
      <c r="K128" s="329"/>
      <c r="L128" s="329"/>
      <c r="M128" s="342"/>
      <c r="N128" s="330"/>
      <c r="O128" s="325"/>
      <c r="P128" s="326">
        <v>5.7183414096160422E-5</v>
      </c>
      <c r="Q128" s="347" t="s">
        <v>3188</v>
      </c>
    </row>
    <row r="129" spans="2:17">
      <c r="B129" s="268">
        <v>102</v>
      </c>
      <c r="C129" s="320" t="s">
        <v>114</v>
      </c>
      <c r="D129" s="238" t="s">
        <v>3789</v>
      </c>
      <c r="E129" s="387" t="s">
        <v>3186</v>
      </c>
      <c r="F129" s="388" t="s">
        <v>3186</v>
      </c>
      <c r="G129" s="390"/>
      <c r="H129" s="390"/>
      <c r="I129" s="327" t="s">
        <v>1197</v>
      </c>
      <c r="J129" s="327" t="s">
        <v>1197</v>
      </c>
      <c r="K129" s="327" t="s">
        <v>1197</v>
      </c>
      <c r="L129" s="327" t="s">
        <v>1197</v>
      </c>
      <c r="M129" s="342"/>
      <c r="N129" s="330" t="s">
        <v>3187</v>
      </c>
      <c r="O129" s="325"/>
      <c r="P129" s="326">
        <v>5.1641459089659201E-5</v>
      </c>
      <c r="Q129" s="347" t="s">
        <v>3188</v>
      </c>
    </row>
    <row r="130" spans="2:17">
      <c r="B130" s="268">
        <v>103</v>
      </c>
      <c r="C130" s="320" t="s">
        <v>160</v>
      </c>
      <c r="D130" s="238" t="s">
        <v>3789</v>
      </c>
      <c r="E130" s="387" t="s">
        <v>3186</v>
      </c>
      <c r="F130" s="388" t="s">
        <v>3186</v>
      </c>
      <c r="G130" s="390"/>
      <c r="H130" s="390"/>
      <c r="I130" s="327" t="s">
        <v>1197</v>
      </c>
      <c r="J130" s="327" t="s">
        <v>1197</v>
      </c>
      <c r="K130" s="327" t="s">
        <v>1197</v>
      </c>
      <c r="L130" s="327" t="s">
        <v>1197</v>
      </c>
      <c r="M130" s="342"/>
      <c r="N130" s="330" t="s">
        <v>3187</v>
      </c>
      <c r="O130" s="325"/>
      <c r="P130" s="326">
        <v>5.7631664518544125E-5</v>
      </c>
      <c r="Q130" s="347" t="s">
        <v>3188</v>
      </c>
    </row>
    <row r="131" spans="2:17">
      <c r="B131" s="268">
        <v>104</v>
      </c>
      <c r="C131" s="320" t="s">
        <v>145</v>
      </c>
      <c r="D131" s="238" t="s">
        <v>3789</v>
      </c>
      <c r="E131" s="386" t="s">
        <v>1197</v>
      </c>
      <c r="F131" s="329" t="s">
        <v>3187</v>
      </c>
      <c r="G131" s="329"/>
      <c r="H131" s="329"/>
      <c r="I131" s="329"/>
      <c r="J131" s="329"/>
      <c r="K131" s="329"/>
      <c r="L131" s="329"/>
      <c r="M131" s="342"/>
      <c r="N131" s="330"/>
      <c r="O131" s="325"/>
      <c r="P131" s="326">
        <v>4.6601610840948234E-5</v>
      </c>
      <c r="Q131" s="347" t="s">
        <v>3188</v>
      </c>
    </row>
    <row r="132" spans="2:17" ht="26.4">
      <c r="B132" s="268">
        <v>105</v>
      </c>
      <c r="C132" s="320" t="s">
        <v>500</v>
      </c>
      <c r="D132" s="238" t="s">
        <v>3789</v>
      </c>
      <c r="E132" s="386" t="s">
        <v>1197</v>
      </c>
      <c r="F132" s="329" t="s">
        <v>3187</v>
      </c>
      <c r="G132" s="329"/>
      <c r="H132" s="329"/>
      <c r="I132" s="329"/>
      <c r="J132" s="329"/>
      <c r="K132" s="329"/>
      <c r="L132" s="329"/>
      <c r="M132" s="342"/>
      <c r="N132" s="330"/>
      <c r="O132" s="325"/>
      <c r="P132" s="326">
        <v>4.5784789753948958E-5</v>
      </c>
      <c r="Q132" s="347" t="s">
        <v>3188</v>
      </c>
    </row>
    <row r="133" spans="2:17">
      <c r="B133" s="268">
        <v>106</v>
      </c>
      <c r="C133" s="320" t="s">
        <v>427</v>
      </c>
      <c r="D133" s="238" t="s">
        <v>3789</v>
      </c>
      <c r="E133" s="386" t="s">
        <v>1197</v>
      </c>
      <c r="F133" s="329" t="s">
        <v>3187</v>
      </c>
      <c r="G133" s="329"/>
      <c r="H133" s="329"/>
      <c r="I133" s="329"/>
      <c r="J133" s="329"/>
      <c r="K133" s="329"/>
      <c r="L133" s="329"/>
      <c r="M133" s="342"/>
      <c r="N133" s="330"/>
      <c r="O133" s="325"/>
      <c r="P133" s="326">
        <v>4.5034115294282343E-5</v>
      </c>
      <c r="Q133" s="347" t="s">
        <v>3188</v>
      </c>
    </row>
    <row r="134" spans="2:17">
      <c r="B134" s="268">
        <v>107</v>
      </c>
      <c r="C134" s="320" t="s">
        <v>1093</v>
      </c>
      <c r="D134" s="238" t="s">
        <v>3789</v>
      </c>
      <c r="E134" s="386" t="s">
        <v>1197</v>
      </c>
      <c r="F134" s="329" t="s">
        <v>3187</v>
      </c>
      <c r="G134" s="329"/>
      <c r="H134" s="329"/>
      <c r="I134" s="329"/>
      <c r="J134" s="329"/>
      <c r="K134" s="329"/>
      <c r="L134" s="329"/>
      <c r="M134" s="342"/>
      <c r="N134" s="330"/>
      <c r="O134" s="325"/>
      <c r="P134" s="326">
        <v>3.6869494846650075E-5</v>
      </c>
      <c r="Q134" s="347" t="s">
        <v>3188</v>
      </c>
    </row>
    <row r="135" spans="2:17">
      <c r="P135" s="326"/>
      <c r="Q135" s="224"/>
    </row>
    <row r="136" spans="2:17">
      <c r="Q136" s="224"/>
    </row>
    <row r="137" spans="2:17">
      <c r="P137" s="326"/>
      <c r="Q137" s="224"/>
    </row>
    <row r="138" spans="2:17">
      <c r="P138" s="326"/>
      <c r="Q138" s="224"/>
    </row>
    <row r="139" spans="2:17">
      <c r="P139" s="268"/>
      <c r="Q139" s="224"/>
    </row>
    <row r="140" spans="2:17">
      <c r="P140" s="268"/>
      <c r="Q140" s="224"/>
    </row>
    <row r="141" spans="2:17">
      <c r="P141" s="268"/>
      <c r="Q141" s="224"/>
    </row>
    <row r="142" spans="2:17">
      <c r="P142" s="268"/>
      <c r="Q142" s="224"/>
    </row>
    <row r="143" spans="2:17">
      <c r="P143" s="268"/>
      <c r="Q143" s="224"/>
    </row>
    <row r="144" spans="2:17">
      <c r="P144" s="268"/>
      <c r="Q144" s="224"/>
    </row>
    <row r="145" spans="16:17">
      <c r="P145" s="268"/>
      <c r="Q145" s="224"/>
    </row>
    <row r="146" spans="16:17">
      <c r="P146" s="268"/>
      <c r="Q146" s="224"/>
    </row>
    <row r="147" spans="16:17">
      <c r="P147" s="268"/>
      <c r="Q147" s="224"/>
    </row>
    <row r="148" spans="16:17">
      <c r="P148" s="268"/>
    </row>
    <row r="149" spans="16:17">
      <c r="P149" s="268"/>
    </row>
    <row r="150" spans="16:17">
      <c r="P150" s="268"/>
    </row>
    <row r="151" spans="16:17">
      <c r="P151" s="268"/>
    </row>
    <row r="152" spans="16:17">
      <c r="P152" s="268"/>
    </row>
    <row r="153" spans="16:17">
      <c r="P153" s="268"/>
    </row>
    <row r="154" spans="16:17">
      <c r="P154" s="268"/>
    </row>
    <row r="155" spans="16:17">
      <c r="P155" s="268"/>
    </row>
    <row r="156" spans="16:17">
      <c r="P156" s="268"/>
    </row>
    <row r="157" spans="16:17">
      <c r="P157" s="268"/>
    </row>
    <row r="158" spans="16:17">
      <c r="P158" s="268"/>
    </row>
    <row r="159" spans="16:17">
      <c r="P159" s="268"/>
    </row>
    <row r="160" spans="16:17">
      <c r="P160" s="268"/>
    </row>
    <row r="161" spans="16:16">
      <c r="P161" s="268"/>
    </row>
    <row r="162" spans="16:16">
      <c r="P162" s="268"/>
    </row>
    <row r="163" spans="16:16">
      <c r="P163" s="268"/>
    </row>
    <row r="164" spans="16:16">
      <c r="P164" s="268"/>
    </row>
    <row r="165" spans="16:16">
      <c r="P165" s="268"/>
    </row>
    <row r="166" spans="16:16">
      <c r="P166" s="268"/>
    </row>
    <row r="167" spans="16:16">
      <c r="P167" s="268"/>
    </row>
    <row r="168" spans="16:16">
      <c r="P168" s="268"/>
    </row>
    <row r="169" spans="16:16">
      <c r="P169" s="268"/>
    </row>
    <row r="170" spans="16:16">
      <c r="P170" s="268"/>
    </row>
    <row r="171" spans="16:16">
      <c r="P171" s="268"/>
    </row>
    <row r="172" spans="16:16">
      <c r="P172" s="268"/>
    </row>
    <row r="173" spans="16:16">
      <c r="P173" s="268"/>
    </row>
    <row r="174" spans="16:16">
      <c r="P174" s="268"/>
    </row>
    <row r="175" spans="16:16">
      <c r="P175" s="268"/>
    </row>
    <row r="176" spans="16:16">
      <c r="P176" s="268"/>
    </row>
    <row r="177" spans="16:16">
      <c r="P177" s="268"/>
    </row>
    <row r="178" spans="16:16">
      <c r="P178" s="268"/>
    </row>
    <row r="179" spans="16:16">
      <c r="P179" s="268"/>
    </row>
    <row r="180" spans="16:16">
      <c r="P180" s="268"/>
    </row>
    <row r="181" spans="16:16">
      <c r="P181" s="268"/>
    </row>
    <row r="182" spans="16:16">
      <c r="P182" s="268"/>
    </row>
    <row r="183" spans="16:16">
      <c r="P183" s="268"/>
    </row>
    <row r="184" spans="16:16">
      <c r="P184" s="268"/>
    </row>
    <row r="185" spans="16:16">
      <c r="P185" s="268"/>
    </row>
    <row r="186" spans="16:16">
      <c r="P186" s="268"/>
    </row>
    <row r="187" spans="16:16">
      <c r="P187" s="268"/>
    </row>
    <row r="188" spans="16:16">
      <c r="P188" s="268"/>
    </row>
    <row r="189" spans="16:16">
      <c r="P189" s="268"/>
    </row>
  </sheetData>
  <autoFilter ref="B19:Q134"/>
  <mergeCells count="17">
    <mergeCell ref="F15:F17"/>
    <mergeCell ref="G15:H15"/>
    <mergeCell ref="I15:O15"/>
    <mergeCell ref="B6:B7"/>
    <mergeCell ref="C6:D6"/>
    <mergeCell ref="E6:F6"/>
    <mergeCell ref="G6:H6"/>
    <mergeCell ref="J16:J17"/>
    <mergeCell ref="F14:O14"/>
    <mergeCell ref="Q15:Q18"/>
    <mergeCell ref="G16:G17"/>
    <mergeCell ref="H16:H17"/>
    <mergeCell ref="I16:I17"/>
    <mergeCell ref="K16:K17"/>
    <mergeCell ref="L16:M17"/>
    <mergeCell ref="P15:P18"/>
    <mergeCell ref="N16:O16"/>
  </mergeCells>
  <dataValidations disablePrompts="1" count="1">
    <dataValidation type="list" allowBlank="1" showInputMessage="1" showErrorMessage="1" sqref="N20:N26 F28:H134 I28:I85 F20:L26 I87:I134 N28:N134 J28:L134">
      <formula1>"Oui,Non,N/a"</formula1>
    </dataValidation>
  </dataValidations>
  <hyperlinks>
    <hyperlink ref="O28" r:id="rId1" display="https://www.gecamines.cd/wp-content/uploads/2023/12/ETATS-FINANCIERS-GCM-AGO-2022.pdf"/>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4"/>
  <dimension ref="A3:J13"/>
  <sheetViews>
    <sheetView workbookViewId="0">
      <selection activeCell="A3" sqref="A3"/>
    </sheetView>
  </sheetViews>
  <sheetFormatPr baseColWidth="10" defaultRowHeight="13.8"/>
  <cols>
    <col min="1" max="1" width="42.69921875" customWidth="1"/>
    <col min="2" max="2" width="12.296875" bestFit="1" customWidth="1"/>
    <col min="6" max="6" width="12.296875" bestFit="1" customWidth="1"/>
  </cols>
  <sheetData>
    <row r="3" spans="1:10" ht="16.2">
      <c r="A3" s="10" t="s">
        <v>3805</v>
      </c>
    </row>
    <row r="6" spans="1:10" ht="14.4" thickBot="1">
      <c r="A6" s="1" t="s">
        <v>0</v>
      </c>
      <c r="B6" s="1" t="s">
        <v>1</v>
      </c>
      <c r="C6" s="1" t="s">
        <v>2</v>
      </c>
      <c r="D6" s="1" t="s">
        <v>2430</v>
      </c>
      <c r="E6" s="1" t="s">
        <v>2428</v>
      </c>
      <c r="F6" s="1" t="s">
        <v>606</v>
      </c>
      <c r="G6" s="1" t="s">
        <v>1</v>
      </c>
      <c r="H6" s="1" t="s">
        <v>2</v>
      </c>
      <c r="I6" s="1" t="s">
        <v>2430</v>
      </c>
      <c r="J6" s="1" t="s">
        <v>2428</v>
      </c>
    </row>
    <row r="7" spans="1:10" ht="14.4" thickTop="1">
      <c r="A7" s="232" t="s">
        <v>99</v>
      </c>
      <c r="B7" s="233">
        <v>15317137</v>
      </c>
      <c r="C7" s="233">
        <v>6115340</v>
      </c>
      <c r="D7" s="233">
        <v>2652536</v>
      </c>
      <c r="E7" s="233">
        <v>999900.66200000001</v>
      </c>
      <c r="F7" s="233">
        <f t="shared" ref="F7:F13" si="0">B7+C7+D7+E7</f>
        <v>25084913.662</v>
      </c>
      <c r="G7" s="234">
        <f t="shared" ref="G7:G13" si="1">B7/F7</f>
        <v>0.61061150962633115</v>
      </c>
      <c r="H7" s="234">
        <f t="shared" ref="H7:H13" si="2">C7/F7</f>
        <v>0.24378557097702319</v>
      </c>
      <c r="I7" s="234">
        <f t="shared" ref="I7:I13" si="3">D7/F7</f>
        <v>0.10574228142623456</v>
      </c>
      <c r="J7" s="234">
        <f t="shared" ref="J7:J8" si="4">E7/F7</f>
        <v>3.9860637970411048E-2</v>
      </c>
    </row>
    <row r="8" spans="1:10">
      <c r="A8" s="235" t="s">
        <v>158</v>
      </c>
      <c r="B8" s="236">
        <v>2491084</v>
      </c>
      <c r="C8" s="236">
        <v>667602</v>
      </c>
      <c r="D8" s="236">
        <v>726067</v>
      </c>
      <c r="E8" s="236">
        <v>1137199.2045999998</v>
      </c>
      <c r="F8" s="236">
        <f t="shared" si="0"/>
        <v>5021952.2045999998</v>
      </c>
      <c r="G8" s="237">
        <f t="shared" si="1"/>
        <v>0.49603897020728727</v>
      </c>
      <c r="H8" s="237">
        <f t="shared" si="2"/>
        <v>0.13293674905716765</v>
      </c>
      <c r="I8" s="237">
        <f t="shared" si="3"/>
        <v>0.14457863604017146</v>
      </c>
      <c r="J8" s="237">
        <f t="shared" si="4"/>
        <v>0.22644564469537362</v>
      </c>
    </row>
    <row r="9" spans="1:10">
      <c r="A9" s="232" t="s">
        <v>62</v>
      </c>
      <c r="B9" s="233">
        <v>9123383</v>
      </c>
      <c r="C9" s="233">
        <v>3366320</v>
      </c>
      <c r="D9" s="233">
        <v>882235</v>
      </c>
      <c r="E9" s="233">
        <v>4705879.5571999997</v>
      </c>
      <c r="F9" s="233">
        <f t="shared" si="0"/>
        <v>18077817.5572</v>
      </c>
      <c r="G9" s="234">
        <f t="shared" si="1"/>
        <v>0.50467281081539384</v>
      </c>
      <c r="H9" s="234">
        <f t="shared" si="2"/>
        <v>0.1862127432887643</v>
      </c>
      <c r="I9" s="234">
        <f t="shared" si="3"/>
        <v>4.880207454293204E-2</v>
      </c>
      <c r="J9" s="234">
        <f>E9/F9</f>
        <v>0.26031237135290985</v>
      </c>
    </row>
    <row r="10" spans="1:10">
      <c r="A10" s="235" t="s">
        <v>1843</v>
      </c>
      <c r="B10" s="236">
        <v>13500381</v>
      </c>
      <c r="C10" s="236">
        <v>6207617</v>
      </c>
      <c r="D10" s="236">
        <v>4041521</v>
      </c>
      <c r="E10" s="236">
        <v>1848792.889</v>
      </c>
      <c r="F10" s="236">
        <f t="shared" si="0"/>
        <v>25598311.888999999</v>
      </c>
      <c r="G10" s="237">
        <f t="shared" si="1"/>
        <v>0.52739341010222351</v>
      </c>
      <c r="H10" s="237">
        <f t="shared" si="2"/>
        <v>0.24250103002563664</v>
      </c>
      <c r="I10" s="237">
        <f t="shared" si="3"/>
        <v>0.15788232511288003</v>
      </c>
      <c r="J10" s="237">
        <f t="shared" ref="J10:J13" si="5">E10/F10</f>
        <v>7.2223234759259874E-2</v>
      </c>
    </row>
    <row r="11" spans="1:10">
      <c r="A11" s="232" t="s">
        <v>126</v>
      </c>
      <c r="B11" s="233">
        <v>2131313</v>
      </c>
      <c r="C11" s="233">
        <v>521299</v>
      </c>
      <c r="D11" s="233">
        <v>621987</v>
      </c>
      <c r="E11" s="233">
        <v>1062805.55</v>
      </c>
      <c r="F11" s="233">
        <f t="shared" si="0"/>
        <v>4337404.55</v>
      </c>
      <c r="G11" s="234">
        <f t="shared" si="1"/>
        <v>0.49137980454232705</v>
      </c>
      <c r="H11" s="234">
        <f t="shared" si="2"/>
        <v>0.12018685229626552</v>
      </c>
      <c r="I11" s="234">
        <f t="shared" si="3"/>
        <v>0.14340073489340532</v>
      </c>
      <c r="J11" s="234">
        <f t="shared" si="5"/>
        <v>0.24503260826800213</v>
      </c>
    </row>
    <row r="12" spans="1:10">
      <c r="A12" s="235" t="s">
        <v>139</v>
      </c>
      <c r="B12" s="236">
        <v>9644304</v>
      </c>
      <c r="C12" s="236">
        <v>1860024</v>
      </c>
      <c r="D12" s="236">
        <v>2489628</v>
      </c>
      <c r="E12" s="236">
        <v>4717542.5549999997</v>
      </c>
      <c r="F12" s="236">
        <f t="shared" si="0"/>
        <v>18711498.555</v>
      </c>
      <c r="G12" s="237">
        <f t="shared" si="1"/>
        <v>0.51542125135791939</v>
      </c>
      <c r="H12" s="237">
        <f t="shared" si="2"/>
        <v>9.9405400082345247E-2</v>
      </c>
      <c r="I12" s="237">
        <f t="shared" si="3"/>
        <v>0.13305337318024341</v>
      </c>
      <c r="J12" s="237">
        <f t="shared" si="5"/>
        <v>0.25211997537949199</v>
      </c>
    </row>
    <row r="13" spans="1:10">
      <c r="A13" s="232" t="s">
        <v>1836</v>
      </c>
      <c r="B13" s="233">
        <v>19540168</v>
      </c>
      <c r="C13" s="233">
        <v>2756695</v>
      </c>
      <c r="D13" s="233">
        <v>4901695</v>
      </c>
      <c r="E13" s="233">
        <v>755812.39</v>
      </c>
      <c r="F13" s="233">
        <f t="shared" si="0"/>
        <v>27954370.390000001</v>
      </c>
      <c r="G13" s="234">
        <f t="shared" si="1"/>
        <v>0.69900225715654185</v>
      </c>
      <c r="H13" s="234">
        <f t="shared" si="2"/>
        <v>9.8614097242774632E-2</v>
      </c>
      <c r="I13" s="234">
        <f t="shared" si="3"/>
        <v>0.17534628509299077</v>
      </c>
      <c r="J13" s="234">
        <f t="shared" si="5"/>
        <v>2.7037360507692693E-2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5"/>
  <dimension ref="A2:V99"/>
  <sheetViews>
    <sheetView zoomScale="70" zoomScaleNormal="70" workbookViewId="0">
      <selection activeCell="A2" sqref="A2"/>
    </sheetView>
  </sheetViews>
  <sheetFormatPr baseColWidth="10" defaultRowHeight="13.8"/>
  <cols>
    <col min="2" max="2" width="19.69921875" bestFit="1" customWidth="1"/>
    <col min="3" max="3" width="34.296875" customWidth="1"/>
    <col min="4" max="4" width="31" customWidth="1"/>
    <col min="5" max="5" width="14.3984375" customWidth="1"/>
    <col min="6" max="6" width="21.69921875" customWidth="1"/>
    <col min="7" max="7" width="26.59765625" customWidth="1"/>
    <col min="8" max="8" width="15.69921875" customWidth="1"/>
    <col min="9" max="9" width="21.296875" customWidth="1"/>
    <col min="10" max="10" width="28.69921875" customWidth="1"/>
    <col min="13" max="13" width="11.3984375" bestFit="1" customWidth="1"/>
    <col min="14" max="14" width="15" bestFit="1" customWidth="1"/>
    <col min="15" max="15" width="17.59765625" customWidth="1"/>
    <col min="18" max="19" width="15.3984375" customWidth="1"/>
    <col min="20" max="20" width="30.59765625" customWidth="1"/>
    <col min="21" max="21" width="15" customWidth="1"/>
    <col min="22" max="22" width="15.69921875" customWidth="1"/>
  </cols>
  <sheetData>
    <row r="2" spans="1:22" ht="18.600000000000001">
      <c r="A2" s="65" t="s">
        <v>3806</v>
      </c>
    </row>
    <row r="3" spans="1:22">
      <c r="E3" s="66" t="s">
        <v>606</v>
      </c>
      <c r="F3" s="66">
        <v>71</v>
      </c>
    </row>
    <row r="4" spans="1:22">
      <c r="E4" s="66" t="s">
        <v>1078</v>
      </c>
      <c r="F4" s="66">
        <f>14</f>
        <v>14</v>
      </c>
    </row>
    <row r="5" spans="1:22">
      <c r="E5" s="68" t="s">
        <v>1079</v>
      </c>
      <c r="F5" s="68">
        <f>+F3-F4</f>
        <v>57</v>
      </c>
    </row>
    <row r="6" spans="1:22" ht="14.4" thickBot="1"/>
    <row r="7" spans="1:22" s="105" customFormat="1" ht="15" customHeight="1" thickTop="1">
      <c r="A7" s="676" t="s">
        <v>1098</v>
      </c>
      <c r="B7" s="676" t="s">
        <v>0</v>
      </c>
      <c r="C7" s="676" t="s">
        <v>1099</v>
      </c>
      <c r="D7" s="677" t="s">
        <v>1100</v>
      </c>
      <c r="E7" s="676" t="s">
        <v>1101</v>
      </c>
      <c r="F7" s="680" t="s">
        <v>1102</v>
      </c>
      <c r="G7" s="680" t="s">
        <v>1103</v>
      </c>
      <c r="H7" s="676" t="s">
        <v>1104</v>
      </c>
      <c r="I7" s="676" t="s">
        <v>1105</v>
      </c>
      <c r="J7" s="676" t="s">
        <v>1106</v>
      </c>
      <c r="K7" s="676" t="s">
        <v>1107</v>
      </c>
      <c r="L7" s="676"/>
      <c r="M7" s="676"/>
      <c r="N7" s="676"/>
      <c r="O7" s="676"/>
      <c r="P7" s="676" t="s">
        <v>1108</v>
      </c>
      <c r="Q7" s="676"/>
      <c r="R7" s="676"/>
      <c r="S7" s="677"/>
      <c r="T7" s="671" t="s">
        <v>1109</v>
      </c>
      <c r="U7" s="672"/>
      <c r="V7" s="673"/>
    </row>
    <row r="8" spans="1:22" s="105" customFormat="1" ht="57.6">
      <c r="A8" s="676"/>
      <c r="B8" s="676"/>
      <c r="C8" s="676"/>
      <c r="D8" s="677"/>
      <c r="E8" s="676"/>
      <c r="F8" s="680"/>
      <c r="G8" s="680"/>
      <c r="H8" s="676"/>
      <c r="I8" s="676"/>
      <c r="J8" s="676"/>
      <c r="K8" s="103" t="s">
        <v>1110</v>
      </c>
      <c r="L8" s="103" t="s">
        <v>1111</v>
      </c>
      <c r="M8" s="103" t="s">
        <v>1112</v>
      </c>
      <c r="N8" s="103" t="s">
        <v>1113</v>
      </c>
      <c r="O8" s="103" t="s">
        <v>1114</v>
      </c>
      <c r="P8" s="103" t="s">
        <v>1115</v>
      </c>
      <c r="Q8" s="103" t="s">
        <v>1116</v>
      </c>
      <c r="R8" s="103" t="s">
        <v>1117</v>
      </c>
      <c r="S8" s="104" t="s">
        <v>1114</v>
      </c>
      <c r="T8" s="106" t="s">
        <v>1118</v>
      </c>
      <c r="U8" s="103" t="s">
        <v>1119</v>
      </c>
      <c r="V8" s="103" t="s">
        <v>1120</v>
      </c>
    </row>
    <row r="9" spans="1:22" ht="60">
      <c r="A9" s="674">
        <v>2</v>
      </c>
      <c r="B9" s="675" t="s">
        <v>624</v>
      </c>
      <c r="C9" s="109" t="s">
        <v>1121</v>
      </c>
      <c r="D9" s="109" t="s">
        <v>1122</v>
      </c>
      <c r="E9" s="110"/>
      <c r="F9" s="110" t="s">
        <v>1123</v>
      </c>
      <c r="G9" s="110"/>
      <c r="H9" s="110"/>
      <c r="I9" s="110"/>
      <c r="J9" s="109" t="s">
        <v>1124</v>
      </c>
      <c r="K9" s="110"/>
      <c r="L9" s="110"/>
      <c r="M9" s="111"/>
      <c r="N9" s="111"/>
      <c r="O9" s="111"/>
      <c r="P9" s="110"/>
      <c r="Q9" s="110"/>
      <c r="R9" s="111"/>
      <c r="S9" s="111">
        <v>0</v>
      </c>
      <c r="T9" s="74"/>
      <c r="U9" s="74"/>
      <c r="V9" s="74"/>
    </row>
    <row r="10" spans="1:22" ht="36">
      <c r="A10" s="577"/>
      <c r="B10" s="592"/>
      <c r="C10" s="109" t="s">
        <v>1125</v>
      </c>
      <c r="D10" s="109" t="s">
        <v>1126</v>
      </c>
      <c r="E10" s="110"/>
      <c r="F10" s="110" t="s">
        <v>1123</v>
      </c>
      <c r="G10" s="110"/>
      <c r="H10" s="110"/>
      <c r="I10" s="110"/>
      <c r="J10" s="109" t="s">
        <v>1127</v>
      </c>
      <c r="K10" s="110"/>
      <c r="L10" s="110"/>
      <c r="M10" s="111"/>
      <c r="N10" s="111"/>
      <c r="O10" s="111"/>
      <c r="P10" s="110"/>
      <c r="Q10" s="110"/>
      <c r="R10" s="111"/>
      <c r="S10" s="111">
        <v>21884116.59</v>
      </c>
      <c r="T10" s="74"/>
      <c r="U10" s="74"/>
      <c r="V10" s="74"/>
    </row>
    <row r="11" spans="1:22" s="115" customFormat="1" ht="24">
      <c r="A11" s="580">
        <v>3</v>
      </c>
      <c r="B11" s="608" t="s">
        <v>629</v>
      </c>
      <c r="C11" s="301"/>
      <c r="D11" s="78"/>
      <c r="E11" s="78"/>
      <c r="F11" s="78"/>
      <c r="G11" s="78"/>
      <c r="H11" s="78"/>
      <c r="I11" s="78"/>
      <c r="J11" s="78"/>
      <c r="K11" s="78"/>
      <c r="L11" s="78"/>
      <c r="M11" s="78"/>
      <c r="N11" s="78"/>
      <c r="O11" s="78"/>
      <c r="P11" s="78"/>
      <c r="Q11" s="78"/>
      <c r="R11" s="114"/>
      <c r="S11" s="114"/>
      <c r="T11" s="78" t="s">
        <v>1129</v>
      </c>
      <c r="U11" s="78"/>
      <c r="V11" s="78"/>
    </row>
    <row r="12" spans="1:22" s="115" customFormat="1" ht="60">
      <c r="A12" s="582"/>
      <c r="B12" s="609"/>
      <c r="C12" s="113" t="s">
        <v>1130</v>
      </c>
      <c r="D12" s="78" t="s">
        <v>1131</v>
      </c>
      <c r="E12" s="78"/>
      <c r="F12" s="78" t="s">
        <v>1128</v>
      </c>
      <c r="G12" s="78" t="s">
        <v>1132</v>
      </c>
      <c r="H12" s="78" t="s">
        <v>1128</v>
      </c>
      <c r="I12" s="78" t="s">
        <v>1128</v>
      </c>
      <c r="J12" s="78" t="s">
        <v>1133</v>
      </c>
      <c r="K12" s="78" t="s">
        <v>1134</v>
      </c>
      <c r="L12" s="78"/>
      <c r="M12" s="114"/>
      <c r="N12" s="114">
        <v>4259691.9759999998</v>
      </c>
      <c r="O12" s="114"/>
      <c r="P12" s="78"/>
      <c r="Q12" s="78"/>
      <c r="R12" s="114"/>
      <c r="S12" s="114"/>
      <c r="T12" s="78" t="s">
        <v>1135</v>
      </c>
      <c r="U12" s="78" t="s">
        <v>1136</v>
      </c>
      <c r="V12" s="78"/>
    </row>
    <row r="13" spans="1:22" ht="36">
      <c r="A13" s="74">
        <v>4</v>
      </c>
      <c r="B13" s="109" t="s">
        <v>634</v>
      </c>
      <c r="C13" s="109" t="s">
        <v>1137</v>
      </c>
      <c r="D13" s="110" t="s">
        <v>1138</v>
      </c>
      <c r="E13" s="110"/>
      <c r="F13" s="110" t="s">
        <v>1139</v>
      </c>
      <c r="G13" s="110" t="s">
        <v>1140</v>
      </c>
      <c r="H13" s="110" t="s">
        <v>1141</v>
      </c>
      <c r="I13" s="110" t="s">
        <v>1142</v>
      </c>
      <c r="J13" s="110" t="s">
        <v>1143</v>
      </c>
      <c r="K13" s="116" t="s">
        <v>1144</v>
      </c>
      <c r="L13" s="116" t="s">
        <v>1145</v>
      </c>
      <c r="M13" s="116">
        <v>135000</v>
      </c>
      <c r="N13" s="116">
        <v>2950000</v>
      </c>
      <c r="O13" s="116">
        <v>2030761.94</v>
      </c>
      <c r="P13" s="74"/>
      <c r="Q13" s="74"/>
      <c r="R13" s="116"/>
      <c r="S13" s="116"/>
      <c r="T13" s="74"/>
      <c r="U13" s="74"/>
      <c r="V13" s="74"/>
    </row>
    <row r="14" spans="1:22" ht="24">
      <c r="A14" s="76">
        <v>5</v>
      </c>
      <c r="B14" s="113" t="s">
        <v>643</v>
      </c>
      <c r="C14" s="113" t="s">
        <v>1146</v>
      </c>
      <c r="D14" s="76" t="s">
        <v>1147</v>
      </c>
      <c r="E14" s="76"/>
      <c r="F14" s="76" t="s">
        <v>1148</v>
      </c>
      <c r="G14" s="76" t="s">
        <v>1096</v>
      </c>
      <c r="H14" s="76"/>
      <c r="I14" s="76" t="s">
        <v>1149</v>
      </c>
      <c r="J14" s="76" t="s">
        <v>1150</v>
      </c>
      <c r="K14" s="76"/>
      <c r="L14" s="76" t="s">
        <v>1151</v>
      </c>
      <c r="M14" s="117"/>
      <c r="N14" s="117">
        <v>400000</v>
      </c>
      <c r="O14" s="117">
        <v>101207.4</v>
      </c>
      <c r="P14" s="76"/>
      <c r="Q14" s="76"/>
      <c r="R14" s="117"/>
      <c r="S14" s="117"/>
      <c r="T14" s="76"/>
      <c r="U14" s="76"/>
      <c r="V14" s="76"/>
    </row>
    <row r="15" spans="1:22" ht="24">
      <c r="A15" s="576">
        <v>7</v>
      </c>
      <c r="B15" s="678" t="s">
        <v>654</v>
      </c>
      <c r="C15" s="109" t="s">
        <v>1152</v>
      </c>
      <c r="D15" s="110" t="s">
        <v>1153</v>
      </c>
      <c r="E15" s="110">
        <v>0.5</v>
      </c>
      <c r="F15" s="110" t="s">
        <v>1154</v>
      </c>
      <c r="G15" s="110" t="s">
        <v>1155</v>
      </c>
      <c r="H15" s="110"/>
      <c r="I15" s="110"/>
      <c r="J15" s="110" t="s">
        <v>1156</v>
      </c>
      <c r="K15" s="110" t="s">
        <v>1157</v>
      </c>
      <c r="L15" s="110" t="s">
        <v>1158</v>
      </c>
      <c r="M15" s="111">
        <v>133347</v>
      </c>
      <c r="N15" s="111">
        <v>133347</v>
      </c>
      <c r="O15" s="111">
        <v>133347</v>
      </c>
      <c r="P15" s="74"/>
      <c r="Q15" s="74"/>
      <c r="R15" s="116"/>
      <c r="S15" s="116"/>
      <c r="T15" s="74"/>
      <c r="U15" s="74"/>
      <c r="V15" s="74"/>
    </row>
    <row r="16" spans="1:22" ht="36">
      <c r="A16" s="577"/>
      <c r="B16" s="679"/>
      <c r="C16" s="109" t="s">
        <v>1159</v>
      </c>
      <c r="D16" s="110" t="s">
        <v>1160</v>
      </c>
      <c r="E16" s="110">
        <v>0.5</v>
      </c>
      <c r="F16" s="110" t="s">
        <v>1161</v>
      </c>
      <c r="G16" s="110" t="s">
        <v>1162</v>
      </c>
      <c r="H16" s="110" t="s">
        <v>1163</v>
      </c>
      <c r="I16" s="110"/>
      <c r="J16" s="110" t="s">
        <v>1156</v>
      </c>
      <c r="K16" s="110" t="s">
        <v>1164</v>
      </c>
      <c r="L16" s="110" t="s">
        <v>1164</v>
      </c>
      <c r="M16" s="111">
        <v>16613</v>
      </c>
      <c r="N16" s="111">
        <v>16613</v>
      </c>
      <c r="O16" s="111">
        <v>16613</v>
      </c>
      <c r="P16" s="74"/>
      <c r="Q16" s="74"/>
      <c r="R16" s="116"/>
      <c r="S16" s="116"/>
      <c r="T16" s="74"/>
      <c r="U16" s="74"/>
      <c r="V16" s="74"/>
    </row>
    <row r="17" spans="1:22">
      <c r="A17" s="571">
        <v>10</v>
      </c>
      <c r="B17" s="571" t="s">
        <v>666</v>
      </c>
      <c r="C17" s="77" t="s">
        <v>1165</v>
      </c>
      <c r="D17" s="76" t="s">
        <v>1166</v>
      </c>
      <c r="E17" s="76"/>
      <c r="F17" s="76" t="s">
        <v>1167</v>
      </c>
      <c r="G17" s="76" t="s">
        <v>1167</v>
      </c>
      <c r="H17" s="76" t="s">
        <v>1168</v>
      </c>
      <c r="I17" s="76" t="s">
        <v>1168</v>
      </c>
      <c r="J17" s="76" t="s">
        <v>1169</v>
      </c>
      <c r="K17" s="76" t="s">
        <v>1170</v>
      </c>
      <c r="L17" s="76">
        <v>2022</v>
      </c>
      <c r="M17" s="117"/>
      <c r="N17" s="117">
        <v>138582.1</v>
      </c>
      <c r="O17" s="117">
        <v>138583.1</v>
      </c>
      <c r="P17" s="76" t="s">
        <v>1170</v>
      </c>
      <c r="Q17" s="76">
        <v>2022</v>
      </c>
      <c r="R17" s="117" t="s">
        <v>1171</v>
      </c>
      <c r="S17" s="117">
        <v>138583.1</v>
      </c>
      <c r="T17" s="76"/>
      <c r="U17" s="76"/>
      <c r="V17" s="76"/>
    </row>
    <row r="18" spans="1:22">
      <c r="A18" s="572"/>
      <c r="B18" s="572"/>
      <c r="C18" s="77" t="s">
        <v>1172</v>
      </c>
      <c r="D18" s="76" t="s">
        <v>1173</v>
      </c>
      <c r="E18" s="76"/>
      <c r="F18" s="76" t="s">
        <v>1167</v>
      </c>
      <c r="G18" s="76" t="s">
        <v>1167</v>
      </c>
      <c r="H18" s="76" t="s">
        <v>1174</v>
      </c>
      <c r="I18" s="76"/>
      <c r="J18" s="76"/>
      <c r="K18" s="76" t="s">
        <v>1175</v>
      </c>
      <c r="L18" s="76">
        <v>2022</v>
      </c>
      <c r="M18" s="117"/>
      <c r="N18" s="117">
        <v>1320053</v>
      </c>
      <c r="O18" s="117">
        <v>1320053</v>
      </c>
      <c r="P18" s="76" t="s">
        <v>1175</v>
      </c>
      <c r="Q18" s="76">
        <v>2022</v>
      </c>
      <c r="R18" s="117" t="s">
        <v>1171</v>
      </c>
      <c r="S18" s="117">
        <v>1320053</v>
      </c>
      <c r="T18" s="76"/>
      <c r="U18" s="76"/>
      <c r="V18" s="76"/>
    </row>
    <row r="19" spans="1:22">
      <c r="A19" s="572"/>
      <c r="B19" s="572"/>
      <c r="C19" s="77" t="s">
        <v>1176</v>
      </c>
      <c r="D19" s="76" t="s">
        <v>1177</v>
      </c>
      <c r="E19" s="76"/>
      <c r="F19" s="76" t="s">
        <v>1167</v>
      </c>
      <c r="G19" s="76" t="s">
        <v>1167</v>
      </c>
      <c r="H19" s="76" t="s">
        <v>1178</v>
      </c>
      <c r="I19" s="76" t="s">
        <v>1178</v>
      </c>
      <c r="J19" s="76" t="s">
        <v>1179</v>
      </c>
      <c r="K19" s="76" t="s">
        <v>1175</v>
      </c>
      <c r="L19" s="76">
        <v>2022</v>
      </c>
      <c r="M19" s="117"/>
      <c r="N19" s="117">
        <v>470408.89</v>
      </c>
      <c r="O19" s="117">
        <v>470408.89</v>
      </c>
      <c r="P19" s="76" t="s">
        <v>1175</v>
      </c>
      <c r="Q19" s="76">
        <v>2022</v>
      </c>
      <c r="R19" s="117" t="s">
        <v>1180</v>
      </c>
      <c r="S19" s="117">
        <v>470408.89</v>
      </c>
      <c r="T19" s="76"/>
      <c r="U19" s="76"/>
      <c r="V19" s="76"/>
    </row>
    <row r="20" spans="1:22">
      <c r="A20" s="572"/>
      <c r="B20" s="572"/>
      <c r="C20" s="77" t="s">
        <v>1181</v>
      </c>
      <c r="D20" s="76" t="s">
        <v>1182</v>
      </c>
      <c r="E20" s="76"/>
      <c r="F20" s="76" t="s">
        <v>1167</v>
      </c>
      <c r="G20" s="76" t="s">
        <v>1167</v>
      </c>
      <c r="H20" s="76" t="s">
        <v>1183</v>
      </c>
      <c r="I20" s="76" t="s">
        <v>1183</v>
      </c>
      <c r="J20" s="76" t="s">
        <v>1179</v>
      </c>
      <c r="K20" s="76" t="s">
        <v>1175</v>
      </c>
      <c r="L20" s="76">
        <v>2022</v>
      </c>
      <c r="M20" s="117"/>
      <c r="N20" s="117">
        <v>289009</v>
      </c>
      <c r="O20" s="117">
        <v>289009</v>
      </c>
      <c r="P20" s="76" t="s">
        <v>1175</v>
      </c>
      <c r="Q20" s="76">
        <v>2022</v>
      </c>
      <c r="R20" s="117" t="s">
        <v>1184</v>
      </c>
      <c r="S20" s="117">
        <v>289009</v>
      </c>
      <c r="T20" s="76"/>
      <c r="U20" s="76"/>
      <c r="V20" s="76"/>
    </row>
    <row r="21" spans="1:22">
      <c r="A21" s="573"/>
      <c r="B21" s="573"/>
      <c r="C21" s="77" t="s">
        <v>1185</v>
      </c>
      <c r="D21" s="76" t="s">
        <v>1186</v>
      </c>
      <c r="E21" s="76"/>
      <c r="F21" s="76" t="s">
        <v>1167</v>
      </c>
      <c r="G21" s="76" t="s">
        <v>1167</v>
      </c>
      <c r="H21" s="76" t="s">
        <v>1187</v>
      </c>
      <c r="I21" s="76" t="s">
        <v>1188</v>
      </c>
      <c r="J21" s="76" t="s">
        <v>1189</v>
      </c>
      <c r="K21" s="76" t="s">
        <v>1175</v>
      </c>
      <c r="L21" s="76">
        <v>2022</v>
      </c>
      <c r="M21" s="117"/>
      <c r="N21" s="117">
        <v>27929.3</v>
      </c>
      <c r="O21" s="117">
        <v>27929.3</v>
      </c>
      <c r="P21" s="76" t="s">
        <v>1175</v>
      </c>
      <c r="Q21" s="76">
        <v>2022</v>
      </c>
      <c r="R21" s="117" t="s">
        <v>1190</v>
      </c>
      <c r="S21" s="117">
        <v>27929</v>
      </c>
      <c r="T21" s="76"/>
      <c r="U21" s="76"/>
      <c r="V21" s="76"/>
    </row>
    <row r="22" spans="1:22">
      <c r="A22" s="588">
        <v>11</v>
      </c>
      <c r="B22" s="588" t="s">
        <v>670</v>
      </c>
      <c r="C22" s="109" t="s">
        <v>1191</v>
      </c>
      <c r="D22" s="110" t="s">
        <v>1192</v>
      </c>
      <c r="E22" s="110">
        <v>100</v>
      </c>
      <c r="F22" s="110" t="s">
        <v>1193</v>
      </c>
      <c r="G22" s="110" t="s">
        <v>1194</v>
      </c>
      <c r="H22" s="110" t="s">
        <v>1195</v>
      </c>
      <c r="I22" s="110" t="s">
        <v>1092</v>
      </c>
      <c r="J22" s="110" t="s">
        <v>1196</v>
      </c>
      <c r="K22" s="118">
        <v>44621</v>
      </c>
      <c r="L22" s="118">
        <v>44621</v>
      </c>
      <c r="M22" s="111">
        <v>1750</v>
      </c>
      <c r="N22" s="111">
        <v>1750</v>
      </c>
      <c r="O22" s="111">
        <v>1750</v>
      </c>
      <c r="P22" s="110"/>
      <c r="Q22" s="110"/>
      <c r="R22" s="111"/>
      <c r="S22" s="111"/>
      <c r="T22" s="110" t="s">
        <v>1197</v>
      </c>
      <c r="U22" s="110"/>
      <c r="V22" s="110"/>
    </row>
    <row r="23" spans="1:22">
      <c r="A23" s="589"/>
      <c r="B23" s="589"/>
      <c r="C23" s="109" t="s">
        <v>1198</v>
      </c>
      <c r="D23" s="110" t="s">
        <v>1192</v>
      </c>
      <c r="E23" s="110">
        <v>20</v>
      </c>
      <c r="F23" s="110" t="s">
        <v>1193</v>
      </c>
      <c r="G23" s="110" t="s">
        <v>1194</v>
      </c>
      <c r="H23" s="110" t="s">
        <v>1195</v>
      </c>
      <c r="I23" s="110" t="s">
        <v>1092</v>
      </c>
      <c r="J23" s="110" t="s">
        <v>1196</v>
      </c>
      <c r="K23" s="118">
        <v>44896</v>
      </c>
      <c r="L23" s="118">
        <v>44896</v>
      </c>
      <c r="M23" s="111">
        <v>106100</v>
      </c>
      <c r="N23" s="111">
        <v>106100</v>
      </c>
      <c r="O23" s="111">
        <v>106100</v>
      </c>
      <c r="P23" s="110"/>
      <c r="Q23" s="110"/>
      <c r="R23" s="111"/>
      <c r="S23" s="111"/>
      <c r="T23" s="110" t="s">
        <v>1197</v>
      </c>
      <c r="U23" s="110"/>
      <c r="V23" s="110"/>
    </row>
    <row r="24" spans="1:22">
      <c r="A24" s="571">
        <v>13</v>
      </c>
      <c r="B24" s="571" t="s">
        <v>682</v>
      </c>
      <c r="C24" s="77" t="s">
        <v>1199</v>
      </c>
      <c r="D24" s="76" t="s">
        <v>1200</v>
      </c>
      <c r="E24" s="76"/>
      <c r="F24" s="76" t="s">
        <v>1201</v>
      </c>
      <c r="G24" s="76" t="s">
        <v>1202</v>
      </c>
      <c r="H24" s="76" t="s">
        <v>1203</v>
      </c>
      <c r="I24" s="76" t="s">
        <v>1204</v>
      </c>
      <c r="J24" s="76" t="s">
        <v>1205</v>
      </c>
      <c r="K24" s="88">
        <v>44564</v>
      </c>
      <c r="L24" s="88"/>
      <c r="M24" s="117"/>
      <c r="N24" s="117"/>
      <c r="O24" s="117">
        <v>246903</v>
      </c>
      <c r="P24" s="76"/>
      <c r="Q24" s="76"/>
      <c r="R24" s="117"/>
      <c r="S24" s="117"/>
      <c r="T24" s="76" t="s">
        <v>1197</v>
      </c>
      <c r="U24" s="76"/>
      <c r="V24" s="76"/>
    </row>
    <row r="25" spans="1:22">
      <c r="A25" s="572"/>
      <c r="B25" s="572"/>
      <c r="C25" s="77" t="s">
        <v>1206</v>
      </c>
      <c r="D25" s="76" t="s">
        <v>1207</v>
      </c>
      <c r="E25" s="76"/>
      <c r="F25" s="76" t="s">
        <v>1201</v>
      </c>
      <c r="G25" s="76" t="s">
        <v>1202</v>
      </c>
      <c r="H25" s="76" t="s">
        <v>1203</v>
      </c>
      <c r="I25" s="76" t="s">
        <v>1204</v>
      </c>
      <c r="J25" s="76" t="s">
        <v>1205</v>
      </c>
      <c r="K25" s="88">
        <v>44606</v>
      </c>
      <c r="L25" s="88"/>
      <c r="M25" s="117"/>
      <c r="N25" s="117"/>
      <c r="O25" s="117">
        <v>191453</v>
      </c>
      <c r="P25" s="76"/>
      <c r="Q25" s="76"/>
      <c r="R25" s="117"/>
      <c r="S25" s="117"/>
      <c r="T25" s="76" t="s">
        <v>1197</v>
      </c>
      <c r="U25" s="76"/>
      <c r="V25" s="76"/>
    </row>
    <row r="26" spans="1:22">
      <c r="A26" s="572"/>
      <c r="B26" s="572"/>
      <c r="C26" s="77" t="s">
        <v>1208</v>
      </c>
      <c r="D26" s="76" t="s">
        <v>1209</v>
      </c>
      <c r="E26" s="76"/>
      <c r="F26" s="76" t="s">
        <v>1201</v>
      </c>
      <c r="G26" s="76" t="s">
        <v>1202</v>
      </c>
      <c r="H26" s="76" t="s">
        <v>1203</v>
      </c>
      <c r="I26" s="76" t="s">
        <v>1204</v>
      </c>
      <c r="J26" s="76" t="s">
        <v>1205</v>
      </c>
      <c r="K26" s="88">
        <v>44740</v>
      </c>
      <c r="L26" s="88"/>
      <c r="M26" s="117"/>
      <c r="N26" s="117"/>
      <c r="O26" s="117">
        <v>46671</v>
      </c>
      <c r="P26" s="76"/>
      <c r="Q26" s="76"/>
      <c r="R26" s="117"/>
      <c r="S26" s="117"/>
      <c r="T26" s="76" t="s">
        <v>1197</v>
      </c>
      <c r="U26" s="76"/>
      <c r="V26" s="76"/>
    </row>
    <row r="27" spans="1:22">
      <c r="A27" s="572"/>
      <c r="B27" s="572"/>
      <c r="C27" s="77" t="s">
        <v>1210</v>
      </c>
      <c r="D27" s="76" t="s">
        <v>1211</v>
      </c>
      <c r="E27" s="76"/>
      <c r="F27" s="76" t="s">
        <v>1212</v>
      </c>
      <c r="G27" s="76" t="s">
        <v>1213</v>
      </c>
      <c r="H27" s="76" t="s">
        <v>1203</v>
      </c>
      <c r="I27" s="76" t="s">
        <v>1204</v>
      </c>
      <c r="J27" s="76" t="s">
        <v>1205</v>
      </c>
      <c r="K27" s="88">
        <v>44562</v>
      </c>
      <c r="L27" s="88">
        <v>44926</v>
      </c>
      <c r="M27" s="117"/>
      <c r="N27" s="117"/>
      <c r="O27" s="117">
        <v>220590</v>
      </c>
      <c r="P27" s="76"/>
      <c r="Q27" s="76"/>
      <c r="R27" s="117"/>
      <c r="S27" s="117"/>
      <c r="T27" s="76" t="s">
        <v>619</v>
      </c>
      <c r="U27" s="76"/>
      <c r="V27" s="76"/>
    </row>
    <row r="28" spans="1:22">
      <c r="A28" s="572"/>
      <c r="B28" s="572"/>
      <c r="C28" s="77" t="s">
        <v>1214</v>
      </c>
      <c r="D28" s="76" t="s">
        <v>1200</v>
      </c>
      <c r="E28" s="76"/>
      <c r="F28" s="76" t="s">
        <v>1212</v>
      </c>
      <c r="G28" s="76" t="s">
        <v>1213</v>
      </c>
      <c r="H28" s="76" t="s">
        <v>1203</v>
      </c>
      <c r="I28" s="76" t="s">
        <v>1204</v>
      </c>
      <c r="J28" s="76" t="s">
        <v>1205</v>
      </c>
      <c r="K28" s="88">
        <v>44562</v>
      </c>
      <c r="L28" s="88">
        <v>44926</v>
      </c>
      <c r="M28" s="117"/>
      <c r="N28" s="117"/>
      <c r="O28" s="117">
        <v>52270</v>
      </c>
      <c r="P28" s="76"/>
      <c r="Q28" s="76"/>
      <c r="R28" s="117"/>
      <c r="S28" s="117"/>
      <c r="T28" s="76" t="s">
        <v>619</v>
      </c>
      <c r="U28" s="76"/>
      <c r="V28" s="76"/>
    </row>
    <row r="29" spans="1:22">
      <c r="A29" s="572"/>
      <c r="B29" s="572"/>
      <c r="C29" s="77" t="s">
        <v>1215</v>
      </c>
      <c r="D29" s="76" t="s">
        <v>1200</v>
      </c>
      <c r="E29" s="76"/>
      <c r="F29" s="76" t="s">
        <v>1212</v>
      </c>
      <c r="G29" s="76" t="s">
        <v>1213</v>
      </c>
      <c r="H29" s="76" t="s">
        <v>1203</v>
      </c>
      <c r="I29" s="76" t="s">
        <v>1204</v>
      </c>
      <c r="J29" s="76" t="s">
        <v>1205</v>
      </c>
      <c r="K29" s="88">
        <v>44562</v>
      </c>
      <c r="L29" s="88">
        <v>44926</v>
      </c>
      <c r="M29" s="117"/>
      <c r="N29" s="117"/>
      <c r="O29" s="117">
        <v>23983</v>
      </c>
      <c r="P29" s="76"/>
      <c r="Q29" s="76"/>
      <c r="R29" s="117"/>
      <c r="S29" s="117"/>
      <c r="T29" s="76" t="s">
        <v>619</v>
      </c>
      <c r="U29" s="76"/>
      <c r="V29" s="76"/>
    </row>
    <row r="30" spans="1:22">
      <c r="A30" s="572"/>
      <c r="B30" s="572"/>
      <c r="C30" s="77" t="s">
        <v>1216</v>
      </c>
      <c r="D30" s="76" t="s">
        <v>1200</v>
      </c>
      <c r="E30" s="76"/>
      <c r="F30" s="76" t="s">
        <v>1212</v>
      </c>
      <c r="G30" s="76" t="s">
        <v>1213</v>
      </c>
      <c r="H30" s="76" t="s">
        <v>1203</v>
      </c>
      <c r="I30" s="76" t="s">
        <v>1204</v>
      </c>
      <c r="J30" s="76" t="s">
        <v>1205</v>
      </c>
      <c r="K30" s="88">
        <v>44562</v>
      </c>
      <c r="L30" s="88">
        <v>44926</v>
      </c>
      <c r="M30" s="117"/>
      <c r="N30" s="117"/>
      <c r="O30" s="117">
        <v>9</v>
      </c>
      <c r="P30" s="76"/>
      <c r="Q30" s="76"/>
      <c r="R30" s="117"/>
      <c r="S30" s="117"/>
      <c r="T30" s="76" t="s">
        <v>619</v>
      </c>
      <c r="U30" s="76"/>
      <c r="V30" s="76"/>
    </row>
    <row r="31" spans="1:22">
      <c r="A31" s="572"/>
      <c r="B31" s="572"/>
      <c r="C31" s="77" t="s">
        <v>1217</v>
      </c>
      <c r="D31" s="76" t="s">
        <v>1200</v>
      </c>
      <c r="E31" s="76"/>
      <c r="F31" s="76" t="s">
        <v>1212</v>
      </c>
      <c r="G31" s="76" t="s">
        <v>1213</v>
      </c>
      <c r="H31" s="76" t="s">
        <v>1203</v>
      </c>
      <c r="I31" s="76" t="s">
        <v>1204</v>
      </c>
      <c r="J31" s="76" t="s">
        <v>1205</v>
      </c>
      <c r="K31" s="88">
        <v>44565</v>
      </c>
      <c r="L31" s="88"/>
      <c r="M31" s="117"/>
      <c r="N31" s="117"/>
      <c r="O31" s="117">
        <v>404367</v>
      </c>
      <c r="P31" s="76"/>
      <c r="Q31" s="76"/>
      <c r="R31" s="117"/>
      <c r="S31" s="117"/>
      <c r="T31" s="76" t="s">
        <v>1197</v>
      </c>
      <c r="U31" s="76"/>
      <c r="V31" s="76"/>
    </row>
    <row r="32" spans="1:22">
      <c r="A32" s="572"/>
      <c r="B32" s="572"/>
      <c r="C32" s="77" t="s">
        <v>1218</v>
      </c>
      <c r="D32" s="76" t="s">
        <v>1200</v>
      </c>
      <c r="E32" s="76"/>
      <c r="F32" s="76" t="s">
        <v>1212</v>
      </c>
      <c r="G32" s="76" t="s">
        <v>1213</v>
      </c>
      <c r="H32" s="76" t="s">
        <v>1203</v>
      </c>
      <c r="I32" s="76" t="s">
        <v>1204</v>
      </c>
      <c r="J32" s="76" t="s">
        <v>1205</v>
      </c>
      <c r="K32" s="88">
        <v>44750</v>
      </c>
      <c r="L32" s="88"/>
      <c r="M32" s="117"/>
      <c r="N32" s="117"/>
      <c r="O32" s="117">
        <v>27939</v>
      </c>
      <c r="P32" s="76"/>
      <c r="Q32" s="76"/>
      <c r="R32" s="117"/>
      <c r="S32" s="117"/>
      <c r="T32" s="76" t="s">
        <v>1197</v>
      </c>
      <c r="U32" s="76"/>
      <c r="V32" s="76"/>
    </row>
    <row r="33" spans="1:22">
      <c r="A33" s="572"/>
      <c r="B33" s="572"/>
      <c r="C33" s="77" t="s">
        <v>1219</v>
      </c>
      <c r="D33" s="76" t="s">
        <v>1200</v>
      </c>
      <c r="E33" s="76"/>
      <c r="F33" s="76" t="s">
        <v>1212</v>
      </c>
      <c r="G33" s="76" t="s">
        <v>1213</v>
      </c>
      <c r="H33" s="76" t="s">
        <v>1203</v>
      </c>
      <c r="I33" s="76" t="s">
        <v>1204</v>
      </c>
      <c r="J33" s="76" t="s">
        <v>1205</v>
      </c>
      <c r="K33" s="88">
        <v>44750</v>
      </c>
      <c r="L33" s="88"/>
      <c r="M33" s="117"/>
      <c r="N33" s="117"/>
      <c r="O33" s="117">
        <v>287177</v>
      </c>
      <c r="P33" s="76"/>
      <c r="Q33" s="76"/>
      <c r="R33" s="117"/>
      <c r="S33" s="117"/>
      <c r="T33" s="76" t="s">
        <v>1197</v>
      </c>
      <c r="U33" s="76"/>
      <c r="V33" s="76"/>
    </row>
    <row r="34" spans="1:22">
      <c r="A34" s="572"/>
      <c r="B34" s="572"/>
      <c r="C34" s="77" t="s">
        <v>1220</v>
      </c>
      <c r="D34" s="76" t="s">
        <v>1200</v>
      </c>
      <c r="E34" s="76"/>
      <c r="F34" s="76" t="s">
        <v>1212</v>
      </c>
      <c r="G34" s="76" t="s">
        <v>1213</v>
      </c>
      <c r="H34" s="76" t="s">
        <v>1203</v>
      </c>
      <c r="I34" s="76" t="s">
        <v>1204</v>
      </c>
      <c r="J34" s="76" t="s">
        <v>1205</v>
      </c>
      <c r="K34" s="88">
        <v>44562</v>
      </c>
      <c r="L34" s="88">
        <v>44926</v>
      </c>
      <c r="M34" s="117"/>
      <c r="N34" s="117"/>
      <c r="O34" s="117">
        <v>44467</v>
      </c>
      <c r="P34" s="76"/>
      <c r="Q34" s="76"/>
      <c r="R34" s="117"/>
      <c r="S34" s="117"/>
      <c r="T34" s="76" t="s">
        <v>619</v>
      </c>
      <c r="U34" s="76"/>
      <c r="V34" s="76"/>
    </row>
    <row r="35" spans="1:22">
      <c r="A35" s="572"/>
      <c r="B35" s="572"/>
      <c r="C35" s="77" t="s">
        <v>1221</v>
      </c>
      <c r="D35" s="76" t="s">
        <v>1200</v>
      </c>
      <c r="E35" s="76"/>
      <c r="F35" s="76" t="s">
        <v>1212</v>
      </c>
      <c r="G35" s="76" t="s">
        <v>1213</v>
      </c>
      <c r="H35" s="76" t="s">
        <v>1203</v>
      </c>
      <c r="I35" s="76" t="s">
        <v>1204</v>
      </c>
      <c r="J35" s="76" t="s">
        <v>1205</v>
      </c>
      <c r="K35" s="88">
        <v>44562</v>
      </c>
      <c r="L35" s="88">
        <v>44926</v>
      </c>
      <c r="M35" s="117"/>
      <c r="N35" s="117"/>
      <c r="O35" s="117">
        <v>10115</v>
      </c>
      <c r="P35" s="76"/>
      <c r="Q35" s="76"/>
      <c r="R35" s="117"/>
      <c r="S35" s="117"/>
      <c r="T35" s="76" t="s">
        <v>619</v>
      </c>
      <c r="U35" s="76"/>
      <c r="V35" s="76"/>
    </row>
    <row r="36" spans="1:22">
      <c r="A36" s="572"/>
      <c r="B36" s="572"/>
      <c r="C36" s="77" t="s">
        <v>1222</v>
      </c>
      <c r="D36" s="76" t="s">
        <v>1200</v>
      </c>
      <c r="E36" s="76"/>
      <c r="F36" s="76" t="s">
        <v>1212</v>
      </c>
      <c r="G36" s="76" t="s">
        <v>1213</v>
      </c>
      <c r="H36" s="76" t="s">
        <v>1203</v>
      </c>
      <c r="I36" s="76" t="s">
        <v>1204</v>
      </c>
      <c r="J36" s="76" t="s">
        <v>1205</v>
      </c>
      <c r="K36" s="88">
        <v>44562</v>
      </c>
      <c r="L36" s="88">
        <v>44926</v>
      </c>
      <c r="M36" s="117"/>
      <c r="N36" s="117"/>
      <c r="O36" s="117">
        <v>132201</v>
      </c>
      <c r="P36" s="76"/>
      <c r="Q36" s="76"/>
      <c r="R36" s="117"/>
      <c r="S36" s="117"/>
      <c r="T36" s="76" t="s">
        <v>619</v>
      </c>
      <c r="U36" s="76"/>
      <c r="V36" s="76"/>
    </row>
    <row r="37" spans="1:22">
      <c r="A37" s="572"/>
      <c r="B37" s="572"/>
      <c r="C37" s="77" t="s">
        <v>1223</v>
      </c>
      <c r="D37" s="76" t="s">
        <v>1200</v>
      </c>
      <c r="E37" s="76"/>
      <c r="F37" s="76" t="s">
        <v>1212</v>
      </c>
      <c r="G37" s="76" t="s">
        <v>1213</v>
      </c>
      <c r="H37" s="76" t="s">
        <v>1203</v>
      </c>
      <c r="I37" s="76" t="s">
        <v>1204</v>
      </c>
      <c r="J37" s="76" t="s">
        <v>1205</v>
      </c>
      <c r="K37" s="88">
        <v>44654</v>
      </c>
      <c r="L37" s="88">
        <v>44926</v>
      </c>
      <c r="M37" s="117"/>
      <c r="N37" s="117"/>
      <c r="O37" s="117">
        <v>22679</v>
      </c>
      <c r="P37" s="76"/>
      <c r="Q37" s="76"/>
      <c r="R37" s="117"/>
      <c r="S37" s="117"/>
      <c r="T37" s="76" t="s">
        <v>619</v>
      </c>
      <c r="U37" s="76"/>
      <c r="V37" s="76"/>
    </row>
    <row r="38" spans="1:22">
      <c r="A38" s="572"/>
      <c r="B38" s="572"/>
      <c r="C38" s="77" t="s">
        <v>1224</v>
      </c>
      <c r="D38" s="76" t="s">
        <v>1200</v>
      </c>
      <c r="E38" s="76"/>
      <c r="F38" s="76" t="s">
        <v>1212</v>
      </c>
      <c r="G38" s="76" t="s">
        <v>1213</v>
      </c>
      <c r="H38" s="76" t="s">
        <v>1203</v>
      </c>
      <c r="I38" s="76" t="s">
        <v>1204</v>
      </c>
      <c r="J38" s="76" t="s">
        <v>1205</v>
      </c>
      <c r="K38" s="88">
        <v>44686</v>
      </c>
      <c r="L38" s="88">
        <v>44926</v>
      </c>
      <c r="M38" s="117"/>
      <c r="N38" s="117"/>
      <c r="O38" s="117">
        <v>4993</v>
      </c>
      <c r="P38" s="76"/>
      <c r="Q38" s="76"/>
      <c r="R38" s="117"/>
      <c r="S38" s="117"/>
      <c r="T38" s="76" t="s">
        <v>619</v>
      </c>
      <c r="U38" s="76"/>
      <c r="V38" s="76"/>
    </row>
    <row r="39" spans="1:22">
      <c r="A39" s="573"/>
      <c r="B39" s="573"/>
      <c r="C39" s="77" t="s">
        <v>1225</v>
      </c>
      <c r="D39" s="76" t="s">
        <v>1200</v>
      </c>
      <c r="E39" s="76"/>
      <c r="F39" s="76" t="s">
        <v>1212</v>
      </c>
      <c r="G39" s="76" t="s">
        <v>1213</v>
      </c>
      <c r="H39" s="76" t="s">
        <v>1203</v>
      </c>
      <c r="I39" s="76" t="s">
        <v>1204</v>
      </c>
      <c r="J39" s="76" t="s">
        <v>1205</v>
      </c>
      <c r="K39" s="88">
        <v>44562</v>
      </c>
      <c r="L39" s="88">
        <v>44926</v>
      </c>
      <c r="M39" s="117"/>
      <c r="N39" s="117"/>
      <c r="O39" s="117">
        <v>188883</v>
      </c>
      <c r="P39" s="76"/>
      <c r="Q39" s="76"/>
      <c r="R39" s="117"/>
      <c r="S39" s="117"/>
      <c r="T39" s="76" t="s">
        <v>619</v>
      </c>
      <c r="U39" s="76"/>
      <c r="V39" s="76"/>
    </row>
    <row r="40" spans="1:22">
      <c r="A40" s="576">
        <v>17</v>
      </c>
      <c r="B40" s="576" t="s">
        <v>102</v>
      </c>
      <c r="C40" s="73" t="s">
        <v>1226</v>
      </c>
      <c r="D40" s="74" t="s">
        <v>1227</v>
      </c>
      <c r="E40" s="119">
        <v>0.7</v>
      </c>
      <c r="F40" s="74" t="s">
        <v>1228</v>
      </c>
      <c r="G40" s="74" t="s">
        <v>1229</v>
      </c>
      <c r="H40" s="74"/>
      <c r="I40" s="74" t="s">
        <v>1230</v>
      </c>
      <c r="J40" s="74" t="s">
        <v>1231</v>
      </c>
      <c r="K40" s="120"/>
      <c r="L40" s="120" t="s">
        <v>1232</v>
      </c>
      <c r="M40" s="116">
        <v>350000</v>
      </c>
      <c r="N40" s="116">
        <v>350000</v>
      </c>
      <c r="O40" s="116">
        <v>350000</v>
      </c>
      <c r="P40" s="74"/>
      <c r="Q40" s="74">
        <v>44713</v>
      </c>
      <c r="R40" s="116"/>
      <c r="S40" s="116"/>
      <c r="T40" s="74" t="s">
        <v>1088</v>
      </c>
      <c r="U40" s="74" t="s">
        <v>1233</v>
      </c>
      <c r="V40" s="74"/>
    </row>
    <row r="41" spans="1:22">
      <c r="A41" s="584"/>
      <c r="B41" s="584"/>
      <c r="C41" s="73" t="s">
        <v>1234</v>
      </c>
      <c r="D41" s="74" t="s">
        <v>1235</v>
      </c>
      <c r="E41" s="119">
        <v>0.8</v>
      </c>
      <c r="F41" s="74" t="s">
        <v>1228</v>
      </c>
      <c r="G41" s="74" t="s">
        <v>1236</v>
      </c>
      <c r="H41" s="74"/>
      <c r="I41" s="74" t="s">
        <v>1237</v>
      </c>
      <c r="J41" s="74" t="s">
        <v>1231</v>
      </c>
      <c r="K41" s="120"/>
      <c r="L41" s="120" t="s">
        <v>1238</v>
      </c>
      <c r="M41" s="116">
        <v>390000</v>
      </c>
      <c r="N41" s="116">
        <v>390000</v>
      </c>
      <c r="O41" s="116">
        <v>390000</v>
      </c>
      <c r="P41" s="74"/>
      <c r="Q41" s="74" t="s">
        <v>1239</v>
      </c>
      <c r="R41" s="116"/>
      <c r="S41" s="116"/>
      <c r="T41" s="74" t="s">
        <v>1088</v>
      </c>
      <c r="U41" s="74" t="s">
        <v>1233</v>
      </c>
      <c r="V41" s="74"/>
    </row>
    <row r="42" spans="1:22">
      <c r="A42" s="584"/>
      <c r="B42" s="584"/>
      <c r="C42" s="73" t="s">
        <v>1240</v>
      </c>
      <c r="D42" s="74" t="s">
        <v>1241</v>
      </c>
      <c r="E42" s="119">
        <v>0.8</v>
      </c>
      <c r="F42" s="74" t="s">
        <v>1228</v>
      </c>
      <c r="G42" s="74" t="s">
        <v>1242</v>
      </c>
      <c r="H42" s="74"/>
      <c r="I42" s="74" t="s">
        <v>1243</v>
      </c>
      <c r="J42" s="74" t="s">
        <v>1231</v>
      </c>
      <c r="K42" s="120"/>
      <c r="L42" s="120" t="s">
        <v>1244</v>
      </c>
      <c r="M42" s="116">
        <v>250000</v>
      </c>
      <c r="N42" s="116">
        <v>250000</v>
      </c>
      <c r="O42" s="116">
        <v>250000</v>
      </c>
      <c r="P42" s="74"/>
      <c r="Q42" s="74" t="s">
        <v>1245</v>
      </c>
      <c r="R42" s="116"/>
      <c r="S42" s="116"/>
      <c r="T42" s="74" t="s">
        <v>1088</v>
      </c>
      <c r="U42" s="74" t="s">
        <v>1233</v>
      </c>
      <c r="V42" s="74"/>
    </row>
    <row r="43" spans="1:22">
      <c r="A43" s="584"/>
      <c r="B43" s="584"/>
      <c r="C43" s="73" t="s">
        <v>1246</v>
      </c>
      <c r="D43" s="74" t="s">
        <v>1235</v>
      </c>
      <c r="E43" s="119">
        <v>0.8</v>
      </c>
      <c r="F43" s="74" t="s">
        <v>1228</v>
      </c>
      <c r="G43" s="74" t="s">
        <v>1242</v>
      </c>
      <c r="H43" s="74"/>
      <c r="I43" s="74" t="s">
        <v>1247</v>
      </c>
      <c r="J43" s="74" t="s">
        <v>1231</v>
      </c>
      <c r="K43" s="120"/>
      <c r="L43" s="120" t="s">
        <v>1248</v>
      </c>
      <c r="M43" s="116">
        <v>200000</v>
      </c>
      <c r="N43" s="116">
        <v>200000</v>
      </c>
      <c r="O43" s="116">
        <v>200000</v>
      </c>
      <c r="P43" s="74"/>
      <c r="Q43" s="74" t="s">
        <v>1249</v>
      </c>
      <c r="R43" s="116"/>
      <c r="S43" s="116"/>
      <c r="T43" s="74" t="s">
        <v>1088</v>
      </c>
      <c r="U43" s="74" t="s">
        <v>1233</v>
      </c>
      <c r="V43" s="74"/>
    </row>
    <row r="44" spans="1:22">
      <c r="A44" s="577"/>
      <c r="B44" s="577"/>
      <c r="C44" s="73" t="s">
        <v>1250</v>
      </c>
      <c r="D44" s="74" t="s">
        <v>1242</v>
      </c>
      <c r="E44" s="119">
        <v>0.7</v>
      </c>
      <c r="F44" s="74" t="s">
        <v>1228</v>
      </c>
      <c r="G44" s="74" t="s">
        <v>1242</v>
      </c>
      <c r="H44" s="74"/>
      <c r="I44" s="74" t="s">
        <v>1251</v>
      </c>
      <c r="J44" s="74" t="s">
        <v>1252</v>
      </c>
      <c r="K44" s="120"/>
      <c r="L44" s="120" t="s">
        <v>1232</v>
      </c>
      <c r="M44" s="116">
        <v>150000</v>
      </c>
      <c r="N44" s="116">
        <v>150000</v>
      </c>
      <c r="O44" s="116">
        <v>150000</v>
      </c>
      <c r="P44" s="74"/>
      <c r="Q44" s="74" t="s">
        <v>1253</v>
      </c>
      <c r="R44" s="116"/>
      <c r="S44" s="116"/>
      <c r="T44" s="74" t="s">
        <v>1088</v>
      </c>
      <c r="U44" s="74" t="s">
        <v>1233</v>
      </c>
      <c r="V44" s="74"/>
    </row>
    <row r="45" spans="1:22" ht="24">
      <c r="A45" s="76">
        <v>24</v>
      </c>
      <c r="B45" s="76" t="s">
        <v>729</v>
      </c>
      <c r="C45" s="78" t="s">
        <v>1254</v>
      </c>
      <c r="D45" s="78" t="s">
        <v>1255</v>
      </c>
      <c r="E45" s="78"/>
      <c r="F45" s="78" t="s">
        <v>1256</v>
      </c>
      <c r="G45" s="76" t="s">
        <v>1257</v>
      </c>
      <c r="H45" s="76"/>
      <c r="I45" s="88"/>
      <c r="J45" s="88" t="s">
        <v>1130</v>
      </c>
      <c r="K45" s="117"/>
      <c r="L45" s="117"/>
      <c r="M45" s="117"/>
      <c r="N45" s="117"/>
      <c r="O45" s="117">
        <v>34000</v>
      </c>
      <c r="P45" s="117"/>
      <c r="Q45" s="117"/>
      <c r="R45" s="76"/>
      <c r="S45" s="76"/>
      <c r="T45" s="76"/>
      <c r="U45" s="77"/>
      <c r="V45" s="76"/>
    </row>
    <row r="46" spans="1:22">
      <c r="A46" s="668">
        <v>26</v>
      </c>
      <c r="B46" s="576" t="s">
        <v>740</v>
      </c>
      <c r="C46" s="74" t="s">
        <v>1258</v>
      </c>
      <c r="D46" s="74" t="s">
        <v>1259</v>
      </c>
      <c r="E46" s="74"/>
      <c r="F46" s="74"/>
      <c r="G46" s="74" t="s">
        <v>1260</v>
      </c>
      <c r="H46" s="74"/>
      <c r="I46" s="74" t="s">
        <v>1261</v>
      </c>
      <c r="J46" s="74" t="s">
        <v>1262</v>
      </c>
      <c r="K46" s="120" t="s">
        <v>1263</v>
      </c>
      <c r="L46" s="120"/>
      <c r="M46" s="116"/>
      <c r="N46" s="116"/>
      <c r="O46" s="116"/>
      <c r="P46" s="74"/>
      <c r="Q46" s="74"/>
      <c r="R46" s="116"/>
      <c r="S46" s="116"/>
      <c r="T46" s="74"/>
      <c r="U46" s="74"/>
      <c r="V46" s="74"/>
    </row>
    <row r="47" spans="1:22">
      <c r="A47" s="669"/>
      <c r="B47" s="584"/>
      <c r="C47" s="74" t="s">
        <v>1264</v>
      </c>
      <c r="D47" s="74" t="s">
        <v>1265</v>
      </c>
      <c r="E47" s="74"/>
      <c r="F47" s="74"/>
      <c r="G47" s="74" t="s">
        <v>1266</v>
      </c>
      <c r="H47" s="74"/>
      <c r="I47" s="74" t="s">
        <v>1267</v>
      </c>
      <c r="J47" s="74"/>
      <c r="K47" s="120"/>
      <c r="L47" s="120"/>
      <c r="M47" s="116">
        <v>105550</v>
      </c>
      <c r="N47" s="116" t="s">
        <v>1268</v>
      </c>
      <c r="O47" s="116">
        <v>105449</v>
      </c>
      <c r="P47" s="74"/>
      <c r="Q47" s="74"/>
      <c r="R47" s="116"/>
      <c r="S47" s="116"/>
      <c r="T47" s="74"/>
      <c r="U47" s="74"/>
      <c r="V47" s="74"/>
    </row>
    <row r="48" spans="1:22">
      <c r="A48" s="669"/>
      <c r="B48" s="584"/>
      <c r="C48" s="74" t="s">
        <v>1269</v>
      </c>
      <c r="D48" s="74"/>
      <c r="E48" s="74"/>
      <c r="F48" s="74"/>
      <c r="G48" s="74"/>
      <c r="H48" s="74"/>
      <c r="I48" s="74"/>
      <c r="J48" s="74"/>
      <c r="K48" s="120"/>
      <c r="L48" s="120"/>
      <c r="M48" s="116"/>
      <c r="N48" s="116"/>
      <c r="O48" s="116"/>
      <c r="P48" s="74"/>
      <c r="Q48" s="74"/>
      <c r="R48" s="116"/>
      <c r="S48" s="116"/>
      <c r="T48" s="74"/>
      <c r="U48" s="74"/>
      <c r="V48" s="74"/>
    </row>
    <row r="49" spans="1:22">
      <c r="A49" s="669"/>
      <c r="B49" s="584"/>
      <c r="C49" s="74" t="s">
        <v>1270</v>
      </c>
      <c r="D49" s="74"/>
      <c r="E49" s="74"/>
      <c r="F49" s="74"/>
      <c r="G49" s="74"/>
      <c r="H49" s="74"/>
      <c r="I49" s="74"/>
      <c r="J49" s="74"/>
      <c r="K49" s="120"/>
      <c r="L49" s="120"/>
      <c r="M49" s="116">
        <v>286200</v>
      </c>
      <c r="N49" s="116">
        <v>85644</v>
      </c>
      <c r="O49" s="116">
        <v>285481</v>
      </c>
      <c r="P49" s="74"/>
      <c r="Q49" s="74"/>
      <c r="R49" s="116"/>
      <c r="S49" s="116"/>
      <c r="T49" s="74"/>
      <c r="U49" s="74"/>
      <c r="V49" s="74"/>
    </row>
    <row r="50" spans="1:22">
      <c r="A50" s="669"/>
      <c r="B50" s="584"/>
      <c r="C50" s="74" t="s">
        <v>1269</v>
      </c>
      <c r="D50" s="74"/>
      <c r="E50" s="74"/>
      <c r="F50" s="74"/>
      <c r="G50" s="74"/>
      <c r="H50" s="74"/>
      <c r="I50" s="74"/>
      <c r="J50" s="74"/>
      <c r="K50" s="120"/>
      <c r="L50" s="120"/>
      <c r="M50" s="116"/>
      <c r="N50" s="116"/>
      <c r="O50" s="116"/>
      <c r="P50" s="74"/>
      <c r="Q50" s="74"/>
      <c r="R50" s="116"/>
      <c r="S50" s="116"/>
      <c r="T50" s="74"/>
      <c r="U50" s="74"/>
      <c r="V50" s="74"/>
    </row>
    <row r="51" spans="1:22">
      <c r="A51" s="669"/>
      <c r="B51" s="584"/>
      <c r="C51" s="74" t="s">
        <v>1271</v>
      </c>
      <c r="D51" s="74"/>
      <c r="E51" s="74"/>
      <c r="F51" s="74"/>
      <c r="G51" s="74"/>
      <c r="H51" s="74"/>
      <c r="I51" s="74"/>
      <c r="J51" s="74"/>
      <c r="K51" s="120"/>
      <c r="L51" s="120"/>
      <c r="M51" s="116">
        <v>183360</v>
      </c>
      <c r="N51" s="116">
        <v>165024</v>
      </c>
      <c r="O51" s="116">
        <v>183360</v>
      </c>
      <c r="P51" s="74"/>
      <c r="Q51" s="74"/>
      <c r="R51" s="116"/>
      <c r="S51" s="116"/>
      <c r="T51" s="74"/>
      <c r="U51" s="74"/>
      <c r="V51" s="74"/>
    </row>
    <row r="52" spans="1:22">
      <c r="A52" s="669"/>
      <c r="B52" s="584"/>
      <c r="C52" s="74" t="s">
        <v>1272</v>
      </c>
      <c r="D52" s="74"/>
      <c r="E52" s="74"/>
      <c r="F52" s="74"/>
      <c r="G52" s="74"/>
      <c r="H52" s="74"/>
      <c r="I52" s="74"/>
      <c r="J52" s="74"/>
      <c r="K52" s="120"/>
      <c r="L52" s="120"/>
      <c r="M52" s="116"/>
      <c r="N52" s="116"/>
      <c r="O52" s="116"/>
      <c r="P52" s="74"/>
      <c r="Q52" s="74"/>
      <c r="R52" s="116"/>
      <c r="S52" s="116"/>
      <c r="T52" s="74"/>
      <c r="U52" s="74"/>
      <c r="V52" s="74"/>
    </row>
    <row r="53" spans="1:22">
      <c r="A53" s="669"/>
      <c r="B53" s="584"/>
      <c r="C53" s="74" t="s">
        <v>1273</v>
      </c>
      <c r="D53" s="74"/>
      <c r="E53" s="74"/>
      <c r="F53" s="74"/>
      <c r="G53" s="74"/>
      <c r="H53" s="74"/>
      <c r="I53" s="74"/>
      <c r="J53" s="74"/>
      <c r="K53" s="120"/>
      <c r="L53" s="120"/>
      <c r="M53" s="116">
        <v>385235</v>
      </c>
      <c r="N53" s="116">
        <v>117663</v>
      </c>
      <c r="O53" s="116">
        <v>416685</v>
      </c>
      <c r="P53" s="74"/>
      <c r="Q53" s="74"/>
      <c r="R53" s="116"/>
      <c r="S53" s="116"/>
      <c r="T53" s="74"/>
      <c r="U53" s="74"/>
      <c r="V53" s="74"/>
    </row>
    <row r="54" spans="1:22">
      <c r="A54" s="669"/>
      <c r="B54" s="584"/>
      <c r="C54" s="74" t="s">
        <v>1274</v>
      </c>
      <c r="D54" s="74"/>
      <c r="E54" s="74"/>
      <c r="F54" s="74"/>
      <c r="G54" s="74"/>
      <c r="H54" s="74"/>
      <c r="I54" s="74"/>
      <c r="J54" s="74"/>
      <c r="K54" s="120"/>
      <c r="L54" s="120"/>
      <c r="M54" s="116"/>
      <c r="N54" s="116"/>
      <c r="O54" s="116"/>
      <c r="P54" s="74"/>
      <c r="Q54" s="74"/>
      <c r="R54" s="116"/>
      <c r="S54" s="116"/>
      <c r="T54" s="74"/>
      <c r="U54" s="74"/>
      <c r="V54" s="74"/>
    </row>
    <row r="55" spans="1:22">
      <c r="A55" s="669"/>
      <c r="B55" s="584"/>
      <c r="C55" s="74" t="s">
        <v>1275</v>
      </c>
      <c r="D55" s="74"/>
      <c r="E55" s="74"/>
      <c r="F55" s="74"/>
      <c r="G55" s="74"/>
      <c r="H55" s="74"/>
      <c r="I55" s="74"/>
      <c r="J55" s="74"/>
      <c r="K55" s="120"/>
      <c r="L55" s="120"/>
      <c r="M55" s="116">
        <v>43879</v>
      </c>
      <c r="N55" s="116">
        <v>44260</v>
      </c>
      <c r="O55" s="116">
        <v>49178</v>
      </c>
      <c r="P55" s="74"/>
      <c r="Q55" s="74"/>
      <c r="R55" s="116"/>
      <c r="S55" s="116"/>
      <c r="T55" s="74"/>
      <c r="U55" s="74"/>
      <c r="V55" s="74"/>
    </row>
    <row r="56" spans="1:22">
      <c r="A56" s="669"/>
      <c r="B56" s="584"/>
      <c r="C56" s="74" t="s">
        <v>1276</v>
      </c>
      <c r="D56" s="74"/>
      <c r="E56" s="74"/>
      <c r="F56" s="74"/>
      <c r="G56" s="74"/>
      <c r="H56" s="74"/>
      <c r="I56" s="74"/>
      <c r="J56" s="74"/>
      <c r="K56" s="120"/>
      <c r="L56" s="120"/>
      <c r="M56" s="116">
        <v>43879</v>
      </c>
      <c r="N56" s="116">
        <v>65642</v>
      </c>
      <c r="O56" s="116">
        <v>72935</v>
      </c>
      <c r="P56" s="74"/>
      <c r="Q56" s="74"/>
      <c r="R56" s="116"/>
      <c r="S56" s="116"/>
      <c r="T56" s="74"/>
      <c r="U56" s="74"/>
      <c r="V56" s="74"/>
    </row>
    <row r="57" spans="1:22">
      <c r="A57" s="669"/>
      <c r="B57" s="584"/>
      <c r="C57" s="74" t="s">
        <v>1277</v>
      </c>
      <c r="D57" s="74"/>
      <c r="E57" s="74"/>
      <c r="F57" s="74"/>
      <c r="G57" s="74"/>
      <c r="H57" s="74"/>
      <c r="I57" s="74"/>
      <c r="J57" s="74"/>
      <c r="K57" s="120"/>
      <c r="L57" s="120"/>
      <c r="M57" s="116">
        <v>43879</v>
      </c>
      <c r="N57" s="116">
        <v>33643</v>
      </c>
      <c r="O57" s="116">
        <v>37381</v>
      </c>
      <c r="P57" s="74"/>
      <c r="Q57" s="74"/>
      <c r="R57" s="116"/>
      <c r="S57" s="116"/>
      <c r="T57" s="74"/>
      <c r="U57" s="74"/>
      <c r="V57" s="74"/>
    </row>
    <row r="58" spans="1:22">
      <c r="A58" s="669"/>
      <c r="B58" s="584"/>
      <c r="C58" s="74" t="s">
        <v>1278</v>
      </c>
      <c r="D58" s="74"/>
      <c r="E58" s="74"/>
      <c r="F58" s="74"/>
      <c r="G58" s="74"/>
      <c r="H58" s="74"/>
      <c r="I58" s="74"/>
      <c r="J58" s="74"/>
      <c r="K58" s="120"/>
      <c r="L58" s="120"/>
      <c r="M58" s="116">
        <v>43879</v>
      </c>
      <c r="N58" s="116">
        <v>29872</v>
      </c>
      <c r="O58" s="116">
        <v>33191</v>
      </c>
      <c r="P58" s="74"/>
      <c r="Q58" s="74"/>
      <c r="R58" s="116"/>
      <c r="S58" s="116"/>
      <c r="T58" s="74"/>
      <c r="U58" s="74"/>
      <c r="V58" s="74"/>
    </row>
    <row r="59" spans="1:22">
      <c r="A59" s="669"/>
      <c r="B59" s="584"/>
      <c r="C59" s="74" t="s">
        <v>1279</v>
      </c>
      <c r="D59" s="74"/>
      <c r="E59" s="74"/>
      <c r="F59" s="74"/>
      <c r="G59" s="74"/>
      <c r="H59" s="74"/>
      <c r="I59" s="74"/>
      <c r="J59" s="74"/>
      <c r="K59" s="120"/>
      <c r="L59" s="120"/>
      <c r="M59" s="116"/>
      <c r="N59" s="116"/>
      <c r="O59" s="116"/>
      <c r="P59" s="74"/>
      <c r="Q59" s="74"/>
      <c r="R59" s="116"/>
      <c r="S59" s="116"/>
      <c r="T59" s="74"/>
      <c r="U59" s="74"/>
      <c r="V59" s="74"/>
    </row>
    <row r="60" spans="1:22">
      <c r="A60" s="670"/>
      <c r="B60" s="577"/>
      <c r="C60" s="74" t="s">
        <v>1280</v>
      </c>
      <c r="D60" s="74"/>
      <c r="E60" s="74"/>
      <c r="F60" s="74"/>
      <c r="G60" s="74"/>
      <c r="H60" s="74"/>
      <c r="I60" s="74"/>
      <c r="J60" s="74"/>
      <c r="K60" s="120"/>
      <c r="L60" s="120"/>
      <c r="M60" s="116">
        <v>43879</v>
      </c>
      <c r="N60" s="116">
        <v>38217</v>
      </c>
      <c r="O60" s="116">
        <v>42463</v>
      </c>
      <c r="P60" s="74"/>
      <c r="Q60" s="74"/>
      <c r="R60" s="116"/>
      <c r="S60" s="116"/>
      <c r="T60" s="74"/>
      <c r="U60" s="74"/>
      <c r="V60" s="74"/>
    </row>
    <row r="61" spans="1:22">
      <c r="A61" s="580">
        <v>27</v>
      </c>
      <c r="B61" s="580" t="s">
        <v>115</v>
      </c>
      <c r="C61" s="77" t="s">
        <v>1281</v>
      </c>
      <c r="D61" s="76" t="s">
        <v>1282</v>
      </c>
      <c r="E61" s="76"/>
      <c r="F61" s="76"/>
      <c r="G61" s="76"/>
      <c r="H61" s="76"/>
      <c r="I61" s="76"/>
      <c r="J61" s="76" t="s">
        <v>1283</v>
      </c>
      <c r="K61" s="88"/>
      <c r="L61" s="88"/>
      <c r="M61" s="117"/>
      <c r="N61" s="117"/>
      <c r="O61" s="117">
        <v>400000</v>
      </c>
      <c r="P61" s="76"/>
      <c r="Q61" s="76"/>
      <c r="R61" s="117"/>
      <c r="S61" s="117"/>
      <c r="T61" s="76"/>
      <c r="U61" s="76"/>
      <c r="V61" s="76"/>
    </row>
    <row r="62" spans="1:22">
      <c r="A62" s="581"/>
      <c r="B62" s="581"/>
      <c r="C62" s="77" t="s">
        <v>1284</v>
      </c>
      <c r="D62" s="76" t="s">
        <v>1282</v>
      </c>
      <c r="E62" s="76"/>
      <c r="F62" s="76"/>
      <c r="G62" s="76"/>
      <c r="H62" s="76"/>
      <c r="I62" s="76"/>
      <c r="J62" s="76" t="s">
        <v>1283</v>
      </c>
      <c r="K62" s="88"/>
      <c r="L62" s="88"/>
      <c r="M62" s="117"/>
      <c r="N62" s="117"/>
      <c r="O62" s="117">
        <v>100000</v>
      </c>
      <c r="P62" s="76"/>
      <c r="Q62" s="76"/>
      <c r="R62" s="117"/>
      <c r="S62" s="117"/>
      <c r="T62" s="76"/>
      <c r="U62" s="76"/>
      <c r="V62" s="76"/>
    </row>
    <row r="63" spans="1:22">
      <c r="A63" s="581"/>
      <c r="B63" s="581"/>
      <c r="C63" s="77" t="s">
        <v>1285</v>
      </c>
      <c r="D63" s="76" t="s">
        <v>1282</v>
      </c>
      <c r="E63" s="76"/>
      <c r="F63" s="76"/>
      <c r="G63" s="76"/>
      <c r="H63" s="76"/>
      <c r="I63" s="76"/>
      <c r="J63" s="76" t="s">
        <v>1283</v>
      </c>
      <c r="K63" s="88"/>
      <c r="L63" s="88"/>
      <c r="M63" s="117"/>
      <c r="N63" s="117"/>
      <c r="O63" s="117">
        <v>75000</v>
      </c>
      <c r="P63" s="76"/>
      <c r="Q63" s="76"/>
      <c r="R63" s="117"/>
      <c r="S63" s="117"/>
      <c r="T63" s="76"/>
      <c r="U63" s="76"/>
      <c r="V63" s="76"/>
    </row>
    <row r="64" spans="1:22">
      <c r="A64" s="581"/>
      <c r="B64" s="581"/>
      <c r="C64" s="77" t="s">
        <v>1286</v>
      </c>
      <c r="D64" s="76" t="s">
        <v>1282</v>
      </c>
      <c r="E64" s="76"/>
      <c r="F64" s="76"/>
      <c r="G64" s="76"/>
      <c r="H64" s="76"/>
      <c r="I64" s="76"/>
      <c r="J64" s="76" t="s">
        <v>1283</v>
      </c>
      <c r="K64" s="88"/>
      <c r="L64" s="88"/>
      <c r="M64" s="117"/>
      <c r="N64" s="117"/>
      <c r="O64" s="117">
        <v>60000</v>
      </c>
      <c r="P64" s="76"/>
      <c r="Q64" s="76"/>
      <c r="R64" s="117"/>
      <c r="S64" s="117"/>
      <c r="T64" s="76"/>
      <c r="U64" s="76"/>
      <c r="V64" s="76"/>
    </row>
    <row r="65" spans="1:22">
      <c r="A65" s="581"/>
      <c r="B65" s="581"/>
      <c r="C65" s="77" t="s">
        <v>1287</v>
      </c>
      <c r="D65" s="76" t="s">
        <v>1282</v>
      </c>
      <c r="E65" s="76"/>
      <c r="F65" s="76"/>
      <c r="G65" s="76"/>
      <c r="H65" s="76"/>
      <c r="I65" s="76"/>
      <c r="J65" s="76" t="s">
        <v>1283</v>
      </c>
      <c r="K65" s="88"/>
      <c r="L65" s="88"/>
      <c r="M65" s="117"/>
      <c r="N65" s="117"/>
      <c r="O65" s="117">
        <v>30000</v>
      </c>
      <c r="P65" s="76"/>
      <c r="Q65" s="76"/>
      <c r="R65" s="117"/>
      <c r="S65" s="117"/>
      <c r="T65" s="76"/>
      <c r="U65" s="76"/>
      <c r="V65" s="76"/>
    </row>
    <row r="66" spans="1:22">
      <c r="A66" s="581"/>
      <c r="B66" s="581"/>
      <c r="C66" s="77" t="s">
        <v>1288</v>
      </c>
      <c r="D66" s="76" t="s">
        <v>1289</v>
      </c>
      <c r="E66" s="76"/>
      <c r="F66" s="76"/>
      <c r="G66" s="76"/>
      <c r="H66" s="76"/>
      <c r="I66" s="76"/>
      <c r="J66" s="76" t="s">
        <v>1283</v>
      </c>
      <c r="K66" s="88"/>
      <c r="L66" s="88"/>
      <c r="M66" s="117"/>
      <c r="N66" s="117"/>
      <c r="O66" s="117">
        <v>120000</v>
      </c>
      <c r="P66" s="76"/>
      <c r="Q66" s="76"/>
      <c r="R66" s="117"/>
      <c r="S66" s="117"/>
      <c r="T66" s="76"/>
      <c r="U66" s="76"/>
      <c r="V66" s="76"/>
    </row>
    <row r="67" spans="1:22">
      <c r="A67" s="581"/>
      <c r="B67" s="581"/>
      <c r="C67" s="77" t="s">
        <v>1290</v>
      </c>
      <c r="D67" s="76" t="s">
        <v>1289</v>
      </c>
      <c r="E67" s="76"/>
      <c r="F67" s="76"/>
      <c r="G67" s="76"/>
      <c r="H67" s="76"/>
      <c r="I67" s="76"/>
      <c r="J67" s="76" t="s">
        <v>1283</v>
      </c>
      <c r="K67" s="88"/>
      <c r="L67" s="88"/>
      <c r="M67" s="117"/>
      <c r="N67" s="117"/>
      <c r="O67" s="117">
        <v>350000</v>
      </c>
      <c r="P67" s="76"/>
      <c r="Q67" s="76"/>
      <c r="R67" s="117"/>
      <c r="S67" s="117"/>
      <c r="T67" s="76"/>
      <c r="U67" s="76"/>
      <c r="V67" s="76"/>
    </row>
    <row r="68" spans="1:22">
      <c r="A68" s="581"/>
      <c r="B68" s="581"/>
      <c r="C68" s="77" t="s">
        <v>1291</v>
      </c>
      <c r="D68" s="76" t="s">
        <v>1289</v>
      </c>
      <c r="E68" s="76"/>
      <c r="F68" s="76"/>
      <c r="G68" s="76"/>
      <c r="H68" s="76"/>
      <c r="I68" s="76"/>
      <c r="J68" s="76" t="s">
        <v>1283</v>
      </c>
      <c r="K68" s="88"/>
      <c r="L68" s="88"/>
      <c r="M68" s="117"/>
      <c r="N68" s="117"/>
      <c r="O68" s="117">
        <v>125000</v>
      </c>
      <c r="P68" s="76"/>
      <c r="Q68" s="76"/>
      <c r="R68" s="117"/>
      <c r="S68" s="117"/>
      <c r="T68" s="76"/>
      <c r="U68" s="76"/>
      <c r="V68" s="76"/>
    </row>
    <row r="69" spans="1:22">
      <c r="A69" s="582"/>
      <c r="B69" s="582"/>
      <c r="C69" s="77" t="s">
        <v>1292</v>
      </c>
      <c r="D69" s="76" t="s">
        <v>1289</v>
      </c>
      <c r="E69" s="76"/>
      <c r="F69" s="76"/>
      <c r="G69" s="76"/>
      <c r="H69" s="76"/>
      <c r="I69" s="76"/>
      <c r="J69" s="76" t="s">
        <v>1283</v>
      </c>
      <c r="K69" s="88"/>
      <c r="L69" s="88"/>
      <c r="M69" s="117"/>
      <c r="N69" s="117"/>
      <c r="O69" s="117">
        <v>55000</v>
      </c>
      <c r="P69" s="76"/>
      <c r="Q69" s="76"/>
      <c r="R69" s="117"/>
      <c r="S69" s="117"/>
      <c r="T69" s="76"/>
      <c r="U69" s="76"/>
      <c r="V69" s="76"/>
    </row>
    <row r="70" spans="1:22" ht="36">
      <c r="A70" s="576">
        <v>29</v>
      </c>
      <c r="B70" s="576" t="s">
        <v>752</v>
      </c>
      <c r="C70" s="109" t="s">
        <v>1293</v>
      </c>
      <c r="D70" s="110" t="s">
        <v>1294</v>
      </c>
      <c r="E70" s="110" t="s">
        <v>1295</v>
      </c>
      <c r="F70" s="110" t="s">
        <v>1296</v>
      </c>
      <c r="G70" s="110" t="s">
        <v>1297</v>
      </c>
      <c r="H70" s="110" t="s">
        <v>1295</v>
      </c>
      <c r="I70" s="110" t="s">
        <v>1295</v>
      </c>
      <c r="J70" s="110" t="s">
        <v>1298</v>
      </c>
      <c r="K70" s="118"/>
      <c r="L70" s="118"/>
      <c r="M70" s="111"/>
      <c r="N70" s="111"/>
      <c r="O70" s="111"/>
      <c r="P70" s="110"/>
      <c r="Q70" s="110"/>
      <c r="R70" s="111">
        <v>969640</v>
      </c>
      <c r="S70" s="111"/>
      <c r="T70" s="110"/>
      <c r="U70" s="110"/>
      <c r="V70" s="110"/>
    </row>
    <row r="71" spans="1:22" ht="36">
      <c r="A71" s="584"/>
      <c r="B71" s="584"/>
      <c r="C71" s="109" t="s">
        <v>1299</v>
      </c>
      <c r="D71" s="110" t="s">
        <v>1294</v>
      </c>
      <c r="E71" s="110" t="s">
        <v>1295</v>
      </c>
      <c r="F71" s="110" t="s">
        <v>1296</v>
      </c>
      <c r="G71" s="110" t="s">
        <v>1297</v>
      </c>
      <c r="H71" s="110" t="s">
        <v>1295</v>
      </c>
      <c r="I71" s="110" t="s">
        <v>1295</v>
      </c>
      <c r="J71" s="110" t="s">
        <v>1298</v>
      </c>
      <c r="K71" s="118"/>
      <c r="L71" s="118"/>
      <c r="M71" s="111"/>
      <c r="N71" s="111"/>
      <c r="O71" s="111"/>
      <c r="P71" s="110"/>
      <c r="Q71" s="110"/>
      <c r="R71" s="111">
        <v>1255390</v>
      </c>
      <c r="S71" s="111"/>
      <c r="T71" s="110"/>
      <c r="U71" s="110"/>
      <c r="V71" s="110"/>
    </row>
    <row r="72" spans="1:22" ht="48">
      <c r="A72" s="584"/>
      <c r="B72" s="584"/>
      <c r="C72" s="109" t="s">
        <v>1300</v>
      </c>
      <c r="D72" s="110" t="s">
        <v>1301</v>
      </c>
      <c r="E72" s="110" t="s">
        <v>1295</v>
      </c>
      <c r="F72" s="110" t="s">
        <v>1296</v>
      </c>
      <c r="G72" s="110" t="s">
        <v>1302</v>
      </c>
      <c r="H72" s="110" t="s">
        <v>1295</v>
      </c>
      <c r="I72" s="110" t="s">
        <v>1295</v>
      </c>
      <c r="J72" s="110" t="s">
        <v>1298</v>
      </c>
      <c r="K72" s="118"/>
      <c r="L72" s="118"/>
      <c r="M72" s="111"/>
      <c r="N72" s="111"/>
      <c r="O72" s="111"/>
      <c r="P72" s="110"/>
      <c r="Q72" s="110"/>
      <c r="R72" s="111">
        <v>200000</v>
      </c>
      <c r="S72" s="111"/>
      <c r="T72" s="110"/>
      <c r="U72" s="110"/>
      <c r="V72" s="110"/>
    </row>
    <row r="73" spans="1:22" ht="48">
      <c r="A73" s="584"/>
      <c r="B73" s="584"/>
      <c r="C73" s="109" t="s">
        <v>1303</v>
      </c>
      <c r="D73" s="110" t="s">
        <v>1301</v>
      </c>
      <c r="E73" s="110" t="s">
        <v>1295</v>
      </c>
      <c r="F73" s="110" t="s">
        <v>1296</v>
      </c>
      <c r="G73" s="110" t="s">
        <v>1304</v>
      </c>
      <c r="H73" s="110" t="s">
        <v>1295</v>
      </c>
      <c r="I73" s="110" t="s">
        <v>1295</v>
      </c>
      <c r="J73" s="110" t="s">
        <v>1298</v>
      </c>
      <c r="K73" s="118"/>
      <c r="L73" s="118"/>
      <c r="M73" s="111"/>
      <c r="N73" s="111"/>
      <c r="O73" s="111"/>
      <c r="P73" s="110"/>
      <c r="Q73" s="110"/>
      <c r="R73" s="111">
        <v>280000</v>
      </c>
      <c r="S73" s="111"/>
      <c r="T73" s="110"/>
      <c r="U73" s="110"/>
      <c r="V73" s="110"/>
    </row>
    <row r="74" spans="1:22" ht="36">
      <c r="A74" s="584"/>
      <c r="B74" s="584"/>
      <c r="C74" s="109" t="s">
        <v>1305</v>
      </c>
      <c r="D74" s="110" t="s">
        <v>1294</v>
      </c>
      <c r="E74" s="110" t="s">
        <v>1295</v>
      </c>
      <c r="F74" s="110" t="s">
        <v>1296</v>
      </c>
      <c r="G74" s="110" t="s">
        <v>1297</v>
      </c>
      <c r="H74" s="110" t="s">
        <v>1295</v>
      </c>
      <c r="I74" s="110" t="s">
        <v>1295</v>
      </c>
      <c r="J74" s="110" t="s">
        <v>1298</v>
      </c>
      <c r="K74" s="118"/>
      <c r="L74" s="118"/>
      <c r="M74" s="111"/>
      <c r="N74" s="111"/>
      <c r="O74" s="111"/>
      <c r="P74" s="110"/>
      <c r="Q74" s="110"/>
      <c r="R74" s="111">
        <v>150000</v>
      </c>
      <c r="S74" s="111"/>
      <c r="T74" s="110"/>
      <c r="U74" s="110"/>
      <c r="V74" s="110"/>
    </row>
    <row r="75" spans="1:22" ht="36">
      <c r="A75" s="584"/>
      <c r="B75" s="584"/>
      <c r="C75" s="109" t="s">
        <v>1306</v>
      </c>
      <c r="D75" s="110" t="s">
        <v>1307</v>
      </c>
      <c r="E75" s="110" t="s">
        <v>1295</v>
      </c>
      <c r="F75" s="110" t="s">
        <v>1296</v>
      </c>
      <c r="G75" s="110" t="s">
        <v>1308</v>
      </c>
      <c r="H75" s="110" t="s">
        <v>1295</v>
      </c>
      <c r="I75" s="110" t="s">
        <v>1295</v>
      </c>
      <c r="J75" s="110" t="s">
        <v>1298</v>
      </c>
      <c r="K75" s="118"/>
      <c r="L75" s="118"/>
      <c r="M75" s="111"/>
      <c r="N75" s="111"/>
      <c r="O75" s="111"/>
      <c r="P75" s="110"/>
      <c r="Q75" s="110"/>
      <c r="R75" s="111">
        <v>200000</v>
      </c>
      <c r="S75" s="111"/>
      <c r="T75" s="110"/>
      <c r="U75" s="110"/>
      <c r="V75" s="110"/>
    </row>
    <row r="76" spans="1:22" ht="36">
      <c r="A76" s="584"/>
      <c r="B76" s="584"/>
      <c r="C76" s="109" t="s">
        <v>1309</v>
      </c>
      <c r="D76" s="110" t="s">
        <v>1294</v>
      </c>
      <c r="E76" s="110" t="s">
        <v>1295</v>
      </c>
      <c r="F76" s="110" t="s">
        <v>1296</v>
      </c>
      <c r="G76" s="110" t="s">
        <v>1297</v>
      </c>
      <c r="H76" s="110" t="s">
        <v>1295</v>
      </c>
      <c r="I76" s="110" t="s">
        <v>1295</v>
      </c>
      <c r="J76" s="110" t="s">
        <v>1298</v>
      </c>
      <c r="K76" s="118"/>
      <c r="L76" s="118"/>
      <c r="M76" s="111"/>
      <c r="N76" s="111"/>
      <c r="O76" s="111"/>
      <c r="P76" s="110"/>
      <c r="Q76" s="110"/>
      <c r="R76" s="111">
        <v>100000</v>
      </c>
      <c r="S76" s="111"/>
      <c r="T76" s="110"/>
      <c r="U76" s="110"/>
      <c r="V76" s="110"/>
    </row>
    <row r="77" spans="1:22" ht="36">
      <c r="A77" s="584"/>
      <c r="B77" s="584"/>
      <c r="C77" s="109" t="s">
        <v>1310</v>
      </c>
      <c r="D77" s="110" t="s">
        <v>1307</v>
      </c>
      <c r="E77" s="110" t="s">
        <v>1295</v>
      </c>
      <c r="F77" s="110" t="s">
        <v>1296</v>
      </c>
      <c r="G77" s="110" t="s">
        <v>1297</v>
      </c>
      <c r="H77" s="110" t="s">
        <v>1295</v>
      </c>
      <c r="I77" s="110" t="s">
        <v>1295</v>
      </c>
      <c r="J77" s="110" t="s">
        <v>1298</v>
      </c>
      <c r="K77" s="118"/>
      <c r="L77" s="118"/>
      <c r="M77" s="111"/>
      <c r="N77" s="111"/>
      <c r="O77" s="111"/>
      <c r="P77" s="110"/>
      <c r="Q77" s="110"/>
      <c r="R77" s="111">
        <v>520000</v>
      </c>
      <c r="S77" s="111"/>
      <c r="T77" s="110"/>
      <c r="U77" s="110"/>
      <c r="V77" s="110"/>
    </row>
    <row r="78" spans="1:22" ht="36">
      <c r="A78" s="584"/>
      <c r="B78" s="584"/>
      <c r="C78" s="109" t="s">
        <v>1311</v>
      </c>
      <c r="D78" s="110" t="s">
        <v>1307</v>
      </c>
      <c r="E78" s="110" t="s">
        <v>1295</v>
      </c>
      <c r="F78" s="110" t="s">
        <v>1296</v>
      </c>
      <c r="G78" s="110" t="s">
        <v>1308</v>
      </c>
      <c r="H78" s="110" t="s">
        <v>1295</v>
      </c>
      <c r="I78" s="110" t="s">
        <v>1295</v>
      </c>
      <c r="J78" s="110" t="s">
        <v>1298</v>
      </c>
      <c r="K78" s="118"/>
      <c r="L78" s="118"/>
      <c r="M78" s="111"/>
      <c r="N78" s="111"/>
      <c r="O78" s="111"/>
      <c r="P78" s="110"/>
      <c r="Q78" s="110"/>
      <c r="R78" s="111">
        <v>160000</v>
      </c>
      <c r="S78" s="111"/>
      <c r="T78" s="110"/>
      <c r="U78" s="110"/>
      <c r="V78" s="110"/>
    </row>
    <row r="79" spans="1:22" ht="36">
      <c r="A79" s="584"/>
      <c r="B79" s="584"/>
      <c r="C79" s="109" t="s">
        <v>1312</v>
      </c>
      <c r="D79" s="110" t="s">
        <v>1294</v>
      </c>
      <c r="E79" s="110" t="s">
        <v>1295</v>
      </c>
      <c r="F79" s="110" t="s">
        <v>1296</v>
      </c>
      <c r="G79" s="110" t="s">
        <v>1297</v>
      </c>
      <c r="H79" s="110" t="s">
        <v>1295</v>
      </c>
      <c r="I79" s="110" t="s">
        <v>1295</v>
      </c>
      <c r="J79" s="110" t="s">
        <v>1298</v>
      </c>
      <c r="K79" s="118"/>
      <c r="L79" s="118"/>
      <c r="M79" s="111"/>
      <c r="N79" s="111"/>
      <c r="O79" s="111"/>
      <c r="P79" s="110"/>
      <c r="Q79" s="110"/>
      <c r="R79" s="111">
        <v>528000</v>
      </c>
      <c r="S79" s="111"/>
      <c r="T79" s="110"/>
      <c r="U79" s="110"/>
      <c r="V79" s="110"/>
    </row>
    <row r="80" spans="1:22" ht="36">
      <c r="A80" s="584"/>
      <c r="B80" s="584"/>
      <c r="C80" s="109" t="s">
        <v>1313</v>
      </c>
      <c r="D80" s="110" t="s">
        <v>1307</v>
      </c>
      <c r="E80" s="110" t="s">
        <v>1295</v>
      </c>
      <c r="F80" s="110" t="s">
        <v>1296</v>
      </c>
      <c r="G80" s="110" t="s">
        <v>1308</v>
      </c>
      <c r="H80" s="110" t="s">
        <v>1295</v>
      </c>
      <c r="I80" s="110" t="s">
        <v>1295</v>
      </c>
      <c r="J80" s="110" t="s">
        <v>1298</v>
      </c>
      <c r="K80" s="118"/>
      <c r="L80" s="118"/>
      <c r="M80" s="111"/>
      <c r="N80" s="111"/>
      <c r="O80" s="111"/>
      <c r="P80" s="110"/>
      <c r="Q80" s="110"/>
      <c r="R80" s="111">
        <v>900000</v>
      </c>
      <c r="S80" s="111"/>
      <c r="T80" s="110"/>
      <c r="U80" s="110"/>
      <c r="V80" s="110"/>
    </row>
    <row r="81" spans="1:22" ht="36">
      <c r="A81" s="577"/>
      <c r="B81" s="577"/>
      <c r="C81" s="109" t="s">
        <v>1314</v>
      </c>
      <c r="D81" s="110" t="s">
        <v>1307</v>
      </c>
      <c r="E81" s="110" t="s">
        <v>1295</v>
      </c>
      <c r="F81" s="110" t="s">
        <v>1296</v>
      </c>
      <c r="G81" s="110" t="s">
        <v>1308</v>
      </c>
      <c r="H81" s="110" t="s">
        <v>1295</v>
      </c>
      <c r="I81" s="110" t="s">
        <v>1295</v>
      </c>
      <c r="J81" s="110" t="s">
        <v>1298</v>
      </c>
      <c r="K81" s="118"/>
      <c r="L81" s="118"/>
      <c r="M81" s="111"/>
      <c r="N81" s="111"/>
      <c r="O81" s="111"/>
      <c r="P81" s="110"/>
      <c r="Q81" s="110"/>
      <c r="R81" s="111">
        <v>1050000</v>
      </c>
      <c r="S81" s="111"/>
      <c r="T81" s="110"/>
      <c r="U81" s="110"/>
      <c r="V81" s="110"/>
    </row>
    <row r="82" spans="1:22" ht="24">
      <c r="A82" s="580">
        <v>33</v>
      </c>
      <c r="B82" s="580" t="s">
        <v>767</v>
      </c>
      <c r="C82" s="113" t="s">
        <v>1315</v>
      </c>
      <c r="D82" s="78" t="s">
        <v>1316</v>
      </c>
      <c r="E82" s="78"/>
      <c r="F82" s="78" t="s">
        <v>1316</v>
      </c>
      <c r="G82" s="78" t="s">
        <v>1317</v>
      </c>
      <c r="H82" s="78" t="s">
        <v>1318</v>
      </c>
      <c r="I82" s="78" t="s">
        <v>1319</v>
      </c>
      <c r="J82" s="78" t="s">
        <v>1320</v>
      </c>
      <c r="K82" s="121" t="s">
        <v>1321</v>
      </c>
      <c r="L82" s="121" t="s">
        <v>1322</v>
      </c>
      <c r="M82" s="114"/>
      <c r="N82" s="114"/>
      <c r="O82" s="114">
        <v>194870.5</v>
      </c>
      <c r="P82" s="76"/>
      <c r="Q82" s="76"/>
      <c r="R82" s="117"/>
      <c r="S82" s="117"/>
      <c r="T82" s="76"/>
      <c r="U82" s="76"/>
      <c r="V82" s="76"/>
    </row>
    <row r="83" spans="1:22" ht="24">
      <c r="A83" s="581"/>
      <c r="B83" s="581"/>
      <c r="C83" s="113" t="s">
        <v>1323</v>
      </c>
      <c r="D83" s="78" t="s">
        <v>1324</v>
      </c>
      <c r="E83" s="78"/>
      <c r="F83" s="78" t="s">
        <v>1324</v>
      </c>
      <c r="G83" s="78" t="s">
        <v>1317</v>
      </c>
      <c r="H83" s="78" t="s">
        <v>1318</v>
      </c>
      <c r="I83" s="78" t="s">
        <v>1325</v>
      </c>
      <c r="J83" s="78" t="s">
        <v>1320</v>
      </c>
      <c r="K83" s="121" t="s">
        <v>1326</v>
      </c>
      <c r="L83" s="121" t="s">
        <v>1327</v>
      </c>
      <c r="M83" s="114"/>
      <c r="N83" s="114"/>
      <c r="O83" s="114">
        <v>3294.55</v>
      </c>
      <c r="P83" s="76"/>
      <c r="Q83" s="76"/>
      <c r="R83" s="117"/>
      <c r="S83" s="117"/>
      <c r="T83" s="76"/>
      <c r="U83" s="76"/>
      <c r="V83" s="76"/>
    </row>
    <row r="84" spans="1:22" ht="24">
      <c r="A84" s="581"/>
      <c r="B84" s="581"/>
      <c r="C84" s="113" t="s">
        <v>1328</v>
      </c>
      <c r="D84" s="78" t="s">
        <v>1329</v>
      </c>
      <c r="E84" s="78"/>
      <c r="F84" s="78" t="s">
        <v>1329</v>
      </c>
      <c r="G84" s="78" t="s">
        <v>1317</v>
      </c>
      <c r="H84" s="78" t="s">
        <v>1318</v>
      </c>
      <c r="I84" s="78" t="s">
        <v>1330</v>
      </c>
      <c r="J84" s="78" t="s">
        <v>1320</v>
      </c>
      <c r="K84" s="121" t="s">
        <v>1331</v>
      </c>
      <c r="L84" s="121" t="s">
        <v>1332</v>
      </c>
      <c r="M84" s="114"/>
      <c r="N84" s="114"/>
      <c r="O84" s="114">
        <v>10440</v>
      </c>
      <c r="P84" s="76"/>
      <c r="Q84" s="76"/>
      <c r="R84" s="117"/>
      <c r="S84" s="117"/>
      <c r="T84" s="76"/>
      <c r="U84" s="76"/>
      <c r="V84" s="76"/>
    </row>
    <row r="85" spans="1:22" ht="24">
      <c r="A85" s="581"/>
      <c r="B85" s="581"/>
      <c r="C85" s="113" t="s">
        <v>1333</v>
      </c>
      <c r="D85" s="78" t="s">
        <v>1316</v>
      </c>
      <c r="E85" s="78"/>
      <c r="F85" s="78" t="s">
        <v>1316</v>
      </c>
      <c r="G85" s="78" t="s">
        <v>1317</v>
      </c>
      <c r="H85" s="78" t="s">
        <v>1318</v>
      </c>
      <c r="I85" s="78" t="s">
        <v>1334</v>
      </c>
      <c r="J85" s="78" t="s">
        <v>1320</v>
      </c>
      <c r="K85" s="121" t="s">
        <v>1326</v>
      </c>
      <c r="L85" s="121" t="s">
        <v>1335</v>
      </c>
      <c r="M85" s="114"/>
      <c r="N85" s="114"/>
      <c r="O85" s="114">
        <v>22815.88</v>
      </c>
      <c r="P85" s="76"/>
      <c r="Q85" s="76"/>
      <c r="R85" s="117"/>
      <c r="S85" s="117"/>
      <c r="T85" s="76"/>
      <c r="U85" s="76"/>
      <c r="V85" s="76"/>
    </row>
    <row r="86" spans="1:22" ht="24">
      <c r="A86" s="581"/>
      <c r="B86" s="581"/>
      <c r="C86" s="113" t="s">
        <v>1336</v>
      </c>
      <c r="D86" s="78" t="s">
        <v>1337</v>
      </c>
      <c r="E86" s="78"/>
      <c r="F86" s="78" t="s">
        <v>1337</v>
      </c>
      <c r="G86" s="78" t="s">
        <v>1317</v>
      </c>
      <c r="H86" s="78" t="s">
        <v>1318</v>
      </c>
      <c r="I86" s="78" t="s">
        <v>1338</v>
      </c>
      <c r="J86" s="78" t="s">
        <v>1320</v>
      </c>
      <c r="K86" s="121" t="s">
        <v>1326</v>
      </c>
      <c r="L86" s="121" t="s">
        <v>1339</v>
      </c>
      <c r="M86" s="114"/>
      <c r="N86" s="114"/>
      <c r="O86" s="114">
        <v>33640</v>
      </c>
      <c r="P86" s="76"/>
      <c r="Q86" s="76"/>
      <c r="R86" s="117"/>
      <c r="S86" s="117"/>
      <c r="T86" s="76"/>
      <c r="U86" s="76"/>
      <c r="V86" s="76"/>
    </row>
    <row r="87" spans="1:22" ht="24">
      <c r="A87" s="581"/>
      <c r="B87" s="581"/>
      <c r="C87" s="113" t="s">
        <v>1340</v>
      </c>
      <c r="D87" s="78" t="s">
        <v>1341</v>
      </c>
      <c r="E87" s="78"/>
      <c r="F87" s="78" t="s">
        <v>1341</v>
      </c>
      <c r="G87" s="78" t="s">
        <v>1317</v>
      </c>
      <c r="H87" s="78" t="s">
        <v>1318</v>
      </c>
      <c r="I87" s="78" t="s">
        <v>1342</v>
      </c>
      <c r="J87" s="78" t="s">
        <v>1320</v>
      </c>
      <c r="K87" s="121" t="s">
        <v>1343</v>
      </c>
      <c r="L87" s="121" t="s">
        <v>1335</v>
      </c>
      <c r="M87" s="114"/>
      <c r="N87" s="114"/>
      <c r="O87" s="114">
        <v>200147.42</v>
      </c>
      <c r="P87" s="76"/>
      <c r="Q87" s="76"/>
      <c r="R87" s="117"/>
      <c r="S87" s="117"/>
      <c r="T87" s="76"/>
      <c r="U87" s="76"/>
      <c r="V87" s="76"/>
    </row>
    <row r="88" spans="1:22" ht="24">
      <c r="A88" s="581"/>
      <c r="B88" s="581"/>
      <c r="C88" s="113" t="s">
        <v>1344</v>
      </c>
      <c r="D88" s="78" t="s">
        <v>1316</v>
      </c>
      <c r="E88" s="78"/>
      <c r="F88" s="78" t="s">
        <v>1316</v>
      </c>
      <c r="G88" s="78" t="s">
        <v>1317</v>
      </c>
      <c r="H88" s="78" t="s">
        <v>1318</v>
      </c>
      <c r="I88" s="78" t="s">
        <v>1345</v>
      </c>
      <c r="J88" s="78" t="s">
        <v>1320</v>
      </c>
      <c r="K88" s="121" t="s">
        <v>1346</v>
      </c>
      <c r="L88" s="121" t="s">
        <v>1347</v>
      </c>
      <c r="M88" s="114"/>
      <c r="N88" s="114"/>
      <c r="O88" s="114">
        <v>15775</v>
      </c>
      <c r="P88" s="76"/>
      <c r="Q88" s="76"/>
      <c r="R88" s="117"/>
      <c r="S88" s="117"/>
      <c r="T88" s="76"/>
      <c r="U88" s="76"/>
      <c r="V88" s="76"/>
    </row>
    <row r="89" spans="1:22" ht="24">
      <c r="A89" s="581"/>
      <c r="B89" s="581"/>
      <c r="C89" s="113" t="s">
        <v>1348</v>
      </c>
      <c r="D89" s="78" t="s">
        <v>1324</v>
      </c>
      <c r="E89" s="78"/>
      <c r="F89" s="78" t="s">
        <v>1324</v>
      </c>
      <c r="G89" s="78" t="s">
        <v>1317</v>
      </c>
      <c r="H89" s="78" t="s">
        <v>1318</v>
      </c>
      <c r="I89" s="78" t="s">
        <v>1349</v>
      </c>
      <c r="J89" s="78" t="s">
        <v>1320</v>
      </c>
      <c r="K89" s="121" t="s">
        <v>1326</v>
      </c>
      <c r="L89" s="121" t="s">
        <v>1350</v>
      </c>
      <c r="M89" s="114"/>
      <c r="N89" s="114"/>
      <c r="O89" s="114">
        <v>102872.76</v>
      </c>
      <c r="P89" s="76"/>
      <c r="Q89" s="76"/>
      <c r="R89" s="117"/>
      <c r="S89" s="117"/>
      <c r="T89" s="76"/>
      <c r="U89" s="76"/>
      <c r="V89" s="76"/>
    </row>
    <row r="90" spans="1:22" ht="24">
      <c r="A90" s="581"/>
      <c r="B90" s="581"/>
      <c r="C90" s="113" t="s">
        <v>1351</v>
      </c>
      <c r="D90" s="78" t="s">
        <v>1316</v>
      </c>
      <c r="E90" s="78"/>
      <c r="F90" s="78" t="s">
        <v>1316</v>
      </c>
      <c r="G90" s="78" t="s">
        <v>1317</v>
      </c>
      <c r="H90" s="78" t="s">
        <v>1318</v>
      </c>
      <c r="I90" s="78" t="s">
        <v>1352</v>
      </c>
      <c r="J90" s="78" t="s">
        <v>1320</v>
      </c>
      <c r="K90" s="121" t="s">
        <v>1346</v>
      </c>
      <c r="L90" s="121" t="s">
        <v>1335</v>
      </c>
      <c r="M90" s="114"/>
      <c r="N90" s="114"/>
      <c r="O90" s="114">
        <v>13500</v>
      </c>
      <c r="P90" s="76"/>
      <c r="Q90" s="76"/>
      <c r="R90" s="117"/>
      <c r="S90" s="117"/>
      <c r="T90" s="76"/>
      <c r="U90" s="76"/>
      <c r="V90" s="76"/>
    </row>
    <row r="91" spans="1:22" ht="24">
      <c r="A91" s="581"/>
      <c r="B91" s="581"/>
      <c r="C91" s="113" t="s">
        <v>1353</v>
      </c>
      <c r="D91" s="78" t="s">
        <v>1316</v>
      </c>
      <c r="E91" s="78"/>
      <c r="F91" s="78" t="s">
        <v>1316</v>
      </c>
      <c r="G91" s="78" t="s">
        <v>1317</v>
      </c>
      <c r="H91" s="78" t="s">
        <v>1318</v>
      </c>
      <c r="I91" s="78" t="s">
        <v>1354</v>
      </c>
      <c r="J91" s="78" t="s">
        <v>1320</v>
      </c>
      <c r="K91" s="121" t="s">
        <v>1346</v>
      </c>
      <c r="L91" s="121" t="s">
        <v>1355</v>
      </c>
      <c r="M91" s="114"/>
      <c r="N91" s="114"/>
      <c r="O91" s="114">
        <v>36155.199999999997</v>
      </c>
      <c r="P91" s="76"/>
      <c r="Q91" s="76"/>
      <c r="R91" s="117"/>
      <c r="S91" s="117"/>
      <c r="T91" s="76"/>
      <c r="U91" s="76"/>
      <c r="V91" s="76"/>
    </row>
    <row r="92" spans="1:22" ht="24">
      <c r="A92" s="582"/>
      <c r="B92" s="582"/>
      <c r="C92" s="113" t="s">
        <v>1356</v>
      </c>
      <c r="D92" s="78" t="s">
        <v>1316</v>
      </c>
      <c r="E92" s="78"/>
      <c r="F92" s="78" t="s">
        <v>1316</v>
      </c>
      <c r="G92" s="78" t="s">
        <v>1317</v>
      </c>
      <c r="H92" s="78" t="s">
        <v>1318</v>
      </c>
      <c r="I92" s="78" t="s">
        <v>1357</v>
      </c>
      <c r="J92" s="78" t="s">
        <v>1320</v>
      </c>
      <c r="K92" s="121" t="s">
        <v>1346</v>
      </c>
      <c r="L92" s="121" t="s">
        <v>1347</v>
      </c>
      <c r="M92" s="114"/>
      <c r="N92" s="114"/>
      <c r="O92" s="114">
        <v>13500</v>
      </c>
      <c r="P92" s="76"/>
      <c r="Q92" s="76"/>
      <c r="R92" s="117"/>
      <c r="S92" s="117"/>
      <c r="T92" s="76"/>
      <c r="U92" s="76"/>
      <c r="V92" s="76"/>
    </row>
    <row r="93" spans="1:22">
      <c r="O93" s="122">
        <f>SUM(O9:O92)</f>
        <v>11102596.939999999</v>
      </c>
      <c r="P93" s="122"/>
      <c r="Q93" s="122"/>
      <c r="R93" s="122">
        <f t="shared" ref="R93:S93" si="0">SUM(R9:R92)</f>
        <v>6313030</v>
      </c>
      <c r="S93" s="122">
        <f t="shared" si="0"/>
        <v>24130099.580000002</v>
      </c>
    </row>
    <row r="94" spans="1:22">
      <c r="T94">
        <v>2245982.9900000002</v>
      </c>
    </row>
    <row r="95" spans="1:22">
      <c r="S95" s="123">
        <f>S93+O93+R93</f>
        <v>41545726.520000003</v>
      </c>
      <c r="T95" s="124">
        <f>S93-T94</f>
        <v>21884116.590000004</v>
      </c>
    </row>
    <row r="97" spans="15:19">
      <c r="O97">
        <v>1179740</v>
      </c>
      <c r="P97">
        <v>579965</v>
      </c>
      <c r="S97" s="123">
        <f>S95-T94</f>
        <v>39299743.530000001</v>
      </c>
    </row>
    <row r="99" spans="15:19">
      <c r="P99" s="124">
        <f>O97-P97</f>
        <v>599775</v>
      </c>
      <c r="S99" s="123">
        <f>S97-P99</f>
        <v>38699968.530000001</v>
      </c>
    </row>
  </sheetData>
  <mergeCells count="35">
    <mergeCell ref="A15:A16"/>
    <mergeCell ref="B15:B16"/>
    <mergeCell ref="G7:G8"/>
    <mergeCell ref="H7:H8"/>
    <mergeCell ref="I7:I8"/>
    <mergeCell ref="A7:A8"/>
    <mergeCell ref="B7:B8"/>
    <mergeCell ref="C7:C8"/>
    <mergeCell ref="D7:D8"/>
    <mergeCell ref="E7:E8"/>
    <mergeCell ref="F7:F8"/>
    <mergeCell ref="T7:V7"/>
    <mergeCell ref="A9:A10"/>
    <mergeCell ref="B9:B10"/>
    <mergeCell ref="A11:A12"/>
    <mergeCell ref="B11:B12"/>
    <mergeCell ref="J7:J8"/>
    <mergeCell ref="K7:O7"/>
    <mergeCell ref="P7:S7"/>
    <mergeCell ref="A17:A21"/>
    <mergeCell ref="B17:B21"/>
    <mergeCell ref="A22:A23"/>
    <mergeCell ref="B22:B23"/>
    <mergeCell ref="A24:A39"/>
    <mergeCell ref="B24:B39"/>
    <mergeCell ref="A70:A81"/>
    <mergeCell ref="B70:B81"/>
    <mergeCell ref="A82:A92"/>
    <mergeCell ref="B82:B92"/>
    <mergeCell ref="A40:A44"/>
    <mergeCell ref="B40:B44"/>
    <mergeCell ref="A46:A60"/>
    <mergeCell ref="B46:B60"/>
    <mergeCell ref="A61:A69"/>
    <mergeCell ref="B61:B69"/>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6"/>
  <dimension ref="A2:T159"/>
  <sheetViews>
    <sheetView zoomScale="70" zoomScaleNormal="70" workbookViewId="0">
      <selection activeCell="A2" sqref="A2"/>
    </sheetView>
  </sheetViews>
  <sheetFormatPr baseColWidth="10" defaultRowHeight="13.8"/>
  <cols>
    <col min="1" max="1" width="9.296875" customWidth="1"/>
    <col min="2" max="2" width="16.69921875" customWidth="1"/>
    <col min="3" max="3" width="35.69921875" customWidth="1"/>
    <col min="4" max="4" width="29.296875" customWidth="1"/>
    <col min="5" max="5" width="14.3984375" customWidth="1"/>
    <col min="6" max="6" width="22.296875" customWidth="1"/>
    <col min="7" max="7" width="20.3984375" customWidth="1"/>
    <col min="8" max="8" width="16.69921875" customWidth="1"/>
    <col min="9" max="9" width="13.296875" customWidth="1"/>
    <col min="10" max="10" width="12.3984375" customWidth="1"/>
    <col min="13" max="13" width="12.69921875" bestFit="1" customWidth="1"/>
    <col min="14" max="14" width="11.59765625" bestFit="1" customWidth="1"/>
    <col min="15" max="15" width="15.3984375" customWidth="1"/>
    <col min="18" max="18" width="16.69921875" customWidth="1"/>
    <col min="19" max="20" width="13.3984375" bestFit="1" customWidth="1"/>
  </cols>
  <sheetData>
    <row r="2" spans="1:19" ht="18.600000000000001">
      <c r="A2" s="65" t="s">
        <v>3807</v>
      </c>
      <c r="F2" s="66" t="s">
        <v>606</v>
      </c>
      <c r="G2" s="66">
        <v>71</v>
      </c>
    </row>
    <row r="3" spans="1:19">
      <c r="F3" s="66" t="s">
        <v>1078</v>
      </c>
      <c r="G3" s="66">
        <f>14</f>
        <v>14</v>
      </c>
    </row>
    <row r="4" spans="1:19">
      <c r="F4" s="68" t="s">
        <v>1079</v>
      </c>
      <c r="G4" s="68">
        <f>+G2-G3</f>
        <v>57</v>
      </c>
    </row>
    <row r="6" spans="1:19" s="75" customFormat="1" ht="14.4">
      <c r="A6" s="683" t="s">
        <v>609</v>
      </c>
      <c r="B6" s="683" t="s">
        <v>1358</v>
      </c>
      <c r="C6" s="683" t="s">
        <v>1099</v>
      </c>
      <c r="D6" s="685" t="s">
        <v>1359</v>
      </c>
      <c r="E6" s="683" t="s">
        <v>1101</v>
      </c>
      <c r="F6" s="687" t="s">
        <v>1102</v>
      </c>
      <c r="G6" s="683" t="s">
        <v>1360</v>
      </c>
      <c r="H6" s="683" t="s">
        <v>1104</v>
      </c>
      <c r="I6" s="683" t="s">
        <v>1105</v>
      </c>
      <c r="J6" s="683" t="s">
        <v>1361</v>
      </c>
      <c r="K6" s="677" t="s">
        <v>1107</v>
      </c>
      <c r="L6" s="682"/>
      <c r="M6" s="682"/>
      <c r="N6" s="682"/>
      <c r="O6" s="680"/>
      <c r="P6" s="677" t="s">
        <v>1108</v>
      </c>
      <c r="Q6" s="682"/>
      <c r="R6" s="682"/>
      <c r="S6" s="680"/>
    </row>
    <row r="7" spans="1:19" s="75" customFormat="1" ht="57.6">
      <c r="A7" s="684"/>
      <c r="B7" s="684"/>
      <c r="C7" s="684"/>
      <c r="D7" s="686"/>
      <c r="E7" s="684"/>
      <c r="F7" s="688"/>
      <c r="G7" s="684"/>
      <c r="H7" s="684"/>
      <c r="I7" s="684"/>
      <c r="J7" s="684"/>
      <c r="K7" s="103" t="s">
        <v>1110</v>
      </c>
      <c r="L7" s="125" t="s">
        <v>1111</v>
      </c>
      <c r="M7" s="103" t="s">
        <v>1112</v>
      </c>
      <c r="N7" s="103" t="s">
        <v>1113</v>
      </c>
      <c r="O7" s="103" t="s">
        <v>1362</v>
      </c>
      <c r="P7" s="103" t="s">
        <v>1115</v>
      </c>
      <c r="Q7" s="103" t="s">
        <v>1116</v>
      </c>
      <c r="R7" s="103" t="s">
        <v>1117</v>
      </c>
      <c r="S7" s="103" t="s">
        <v>1114</v>
      </c>
    </row>
    <row r="8" spans="1:19" s="127" customFormat="1" ht="36">
      <c r="A8" s="681">
        <v>1</v>
      </c>
      <c r="B8" s="681" t="s">
        <v>97</v>
      </c>
      <c r="C8" s="109" t="s">
        <v>1363</v>
      </c>
      <c r="D8" s="109" t="s">
        <v>1364</v>
      </c>
      <c r="E8" s="109"/>
      <c r="F8" s="109" t="s">
        <v>1365</v>
      </c>
      <c r="G8" s="109" t="s">
        <v>1366</v>
      </c>
      <c r="H8" s="109" t="s">
        <v>1367</v>
      </c>
      <c r="I8" s="109"/>
      <c r="J8" s="109" t="s">
        <v>1368</v>
      </c>
      <c r="K8" s="109"/>
      <c r="L8" s="109"/>
      <c r="M8" s="109"/>
      <c r="N8" s="109"/>
      <c r="O8" s="109"/>
      <c r="P8" s="109"/>
      <c r="Q8" s="109"/>
      <c r="R8" s="109"/>
      <c r="S8" s="126">
        <v>885700.72</v>
      </c>
    </row>
    <row r="9" spans="1:19" s="127" customFormat="1" ht="36">
      <c r="A9" s="612"/>
      <c r="B9" s="612"/>
      <c r="C9" s="109" t="s">
        <v>1369</v>
      </c>
      <c r="D9" s="109" t="s">
        <v>1370</v>
      </c>
      <c r="E9" s="109"/>
      <c r="F9" s="109" t="s">
        <v>1371</v>
      </c>
      <c r="G9" s="109" t="s">
        <v>1372</v>
      </c>
      <c r="H9" s="109" t="s">
        <v>1373</v>
      </c>
      <c r="I9" s="109"/>
      <c r="J9" s="109" t="s">
        <v>1368</v>
      </c>
      <c r="K9" s="109"/>
      <c r="L9" s="109"/>
      <c r="M9" s="109"/>
      <c r="N9" s="109"/>
      <c r="O9" s="109"/>
      <c r="P9" s="109"/>
      <c r="Q9" s="109"/>
      <c r="R9" s="109"/>
      <c r="S9" s="126">
        <v>176898.6</v>
      </c>
    </row>
    <row r="10" spans="1:19" s="127" customFormat="1" ht="48">
      <c r="A10" s="612"/>
      <c r="B10" s="612"/>
      <c r="C10" s="109" t="s">
        <v>1374</v>
      </c>
      <c r="D10" s="109" t="s">
        <v>1375</v>
      </c>
      <c r="E10" s="109"/>
      <c r="F10" s="109" t="s">
        <v>1376</v>
      </c>
      <c r="G10" s="109" t="s">
        <v>1377</v>
      </c>
      <c r="H10" s="109" t="s">
        <v>1378</v>
      </c>
      <c r="I10" s="109"/>
      <c r="J10" s="109" t="s">
        <v>1379</v>
      </c>
      <c r="K10" s="109"/>
      <c r="L10" s="109"/>
      <c r="M10" s="109"/>
      <c r="N10" s="109"/>
      <c r="O10" s="109"/>
      <c r="P10" s="109"/>
      <c r="Q10" s="109"/>
      <c r="R10" s="109"/>
      <c r="S10" s="126">
        <v>652822.44999999995</v>
      </c>
    </row>
    <row r="11" spans="1:19" s="127" customFormat="1" ht="36">
      <c r="A11" s="612"/>
      <c r="B11" s="612"/>
      <c r="C11" s="109" t="s">
        <v>1380</v>
      </c>
      <c r="D11" s="109" t="s">
        <v>1381</v>
      </c>
      <c r="E11" s="109"/>
      <c r="F11" s="109" t="s">
        <v>1376</v>
      </c>
      <c r="G11" s="109" t="s">
        <v>1376</v>
      </c>
      <c r="H11" s="109" t="s">
        <v>1382</v>
      </c>
      <c r="I11" s="109"/>
      <c r="J11" s="109" t="s">
        <v>1383</v>
      </c>
      <c r="K11" s="109"/>
      <c r="L11" s="109"/>
      <c r="M11" s="109"/>
      <c r="N11" s="109"/>
      <c r="O11" s="109"/>
      <c r="P11" s="109"/>
      <c r="Q11" s="109"/>
      <c r="R11" s="109"/>
      <c r="S11" s="126">
        <v>648059.82999999996</v>
      </c>
    </row>
    <row r="12" spans="1:19" s="127" customFormat="1" ht="36">
      <c r="A12" s="612"/>
      <c r="B12" s="612"/>
      <c r="C12" s="109" t="s">
        <v>1384</v>
      </c>
      <c r="D12" s="109" t="s">
        <v>1385</v>
      </c>
      <c r="E12" s="109"/>
      <c r="F12" s="109" t="s">
        <v>1365</v>
      </c>
      <c r="G12" s="109" t="s">
        <v>1386</v>
      </c>
      <c r="H12" s="109" t="s">
        <v>1387</v>
      </c>
      <c r="I12" s="109"/>
      <c r="J12" s="109" t="s">
        <v>1388</v>
      </c>
      <c r="K12" s="109"/>
      <c r="L12" s="109"/>
      <c r="M12" s="109"/>
      <c r="N12" s="109"/>
      <c r="O12" s="109"/>
      <c r="P12" s="109"/>
      <c r="Q12" s="109"/>
      <c r="R12" s="109"/>
      <c r="S12" s="126">
        <v>396078.53</v>
      </c>
    </row>
    <row r="13" spans="1:19" s="127" customFormat="1" ht="48">
      <c r="A13" s="612"/>
      <c r="B13" s="612"/>
      <c r="C13" s="109" t="s">
        <v>1389</v>
      </c>
      <c r="D13" s="109" t="s">
        <v>1390</v>
      </c>
      <c r="E13" s="109"/>
      <c r="F13" s="109" t="s">
        <v>1376</v>
      </c>
      <c r="G13" s="109" t="s">
        <v>1377</v>
      </c>
      <c r="H13" s="109" t="s">
        <v>1391</v>
      </c>
      <c r="I13" s="109"/>
      <c r="J13" s="109" t="s">
        <v>1383</v>
      </c>
      <c r="K13" s="109"/>
      <c r="L13" s="109"/>
      <c r="M13" s="109"/>
      <c r="N13" s="109"/>
      <c r="O13" s="109"/>
      <c r="P13" s="109"/>
      <c r="Q13" s="109"/>
      <c r="R13" s="109"/>
      <c r="S13" s="126">
        <v>141689.17000000001</v>
      </c>
    </row>
    <row r="14" spans="1:19" s="127" customFormat="1" ht="48">
      <c r="A14" s="612"/>
      <c r="B14" s="612"/>
      <c r="C14" s="109" t="s">
        <v>1392</v>
      </c>
      <c r="D14" s="109" t="s">
        <v>1393</v>
      </c>
      <c r="E14" s="109"/>
      <c r="F14" s="109" t="s">
        <v>1377</v>
      </c>
      <c r="G14" s="109" t="s">
        <v>1377</v>
      </c>
      <c r="H14" s="109" t="s">
        <v>1394</v>
      </c>
      <c r="I14" s="109"/>
      <c r="J14" s="109" t="s">
        <v>1388</v>
      </c>
      <c r="K14" s="109"/>
      <c r="L14" s="109"/>
      <c r="M14" s="109"/>
      <c r="N14" s="109"/>
      <c r="O14" s="109"/>
      <c r="P14" s="109"/>
      <c r="Q14" s="109"/>
      <c r="R14" s="109"/>
      <c r="S14" s="126">
        <v>561025.87</v>
      </c>
    </row>
    <row r="15" spans="1:19" s="127" customFormat="1" ht="24">
      <c r="A15" s="612"/>
      <c r="B15" s="612"/>
      <c r="C15" s="109" t="s">
        <v>1395</v>
      </c>
      <c r="D15" s="109" t="s">
        <v>1396</v>
      </c>
      <c r="E15" s="109"/>
      <c r="F15" s="109" t="s">
        <v>1376</v>
      </c>
      <c r="G15" s="109" t="s">
        <v>1376</v>
      </c>
      <c r="H15" s="109" t="s">
        <v>1397</v>
      </c>
      <c r="I15" s="109"/>
      <c r="J15" s="109" t="s">
        <v>1388</v>
      </c>
      <c r="K15" s="109"/>
      <c r="L15" s="109"/>
      <c r="M15" s="109"/>
      <c r="N15" s="109"/>
      <c r="O15" s="109"/>
      <c r="P15" s="109"/>
      <c r="Q15" s="109"/>
      <c r="R15" s="109"/>
      <c r="S15" s="126">
        <v>42390.61</v>
      </c>
    </row>
    <row r="16" spans="1:19" s="127" customFormat="1" ht="24">
      <c r="A16" s="612"/>
      <c r="B16" s="612"/>
      <c r="C16" s="109" t="s">
        <v>1398</v>
      </c>
      <c r="D16" s="109" t="s">
        <v>1399</v>
      </c>
      <c r="E16" s="109"/>
      <c r="F16" s="109" t="s">
        <v>1376</v>
      </c>
      <c r="G16" s="109" t="s">
        <v>1376</v>
      </c>
      <c r="H16" s="109" t="s">
        <v>1397</v>
      </c>
      <c r="I16" s="109"/>
      <c r="J16" s="109" t="s">
        <v>1388</v>
      </c>
      <c r="K16" s="109"/>
      <c r="L16" s="109"/>
      <c r="M16" s="109"/>
      <c r="N16" s="109"/>
      <c r="O16" s="109"/>
      <c r="P16" s="109"/>
      <c r="Q16" s="109"/>
      <c r="R16" s="109"/>
      <c r="S16" s="126">
        <v>159985.49</v>
      </c>
    </row>
    <row r="17" spans="1:20" s="127" customFormat="1" ht="24">
      <c r="A17" s="589"/>
      <c r="B17" s="589"/>
      <c r="C17" s="109" t="s">
        <v>1400</v>
      </c>
      <c r="D17" s="109" t="s">
        <v>1401</v>
      </c>
      <c r="E17" s="109"/>
      <c r="F17" s="109"/>
      <c r="G17" s="109"/>
      <c r="H17" s="109"/>
      <c r="I17" s="109"/>
      <c r="J17" s="109" t="s">
        <v>1402</v>
      </c>
      <c r="K17" s="109"/>
      <c r="L17" s="109"/>
      <c r="M17" s="109"/>
      <c r="N17" s="109"/>
      <c r="O17" s="109"/>
      <c r="P17" s="109"/>
      <c r="Q17" s="109"/>
      <c r="R17" s="109"/>
      <c r="S17" s="126">
        <v>7900660.7400000002</v>
      </c>
      <c r="T17" s="128">
        <f>SUM(S8:S17)</f>
        <v>11565312.01</v>
      </c>
    </row>
    <row r="18" spans="1:20">
      <c r="A18" s="571">
        <v>2</v>
      </c>
      <c r="B18" s="580" t="s">
        <v>624</v>
      </c>
      <c r="C18" s="113" t="s">
        <v>1403</v>
      </c>
      <c r="D18" s="113" t="s">
        <v>1404</v>
      </c>
      <c r="E18" s="113"/>
      <c r="F18" s="113" t="s">
        <v>1123</v>
      </c>
      <c r="G18" s="78"/>
      <c r="H18" s="78"/>
      <c r="I18" s="78"/>
      <c r="J18" s="78"/>
      <c r="K18" s="78"/>
      <c r="L18" s="78"/>
      <c r="M18" s="78"/>
      <c r="N18" s="78"/>
      <c r="O18" s="78"/>
      <c r="P18" s="78"/>
      <c r="Q18" s="78"/>
      <c r="R18" s="78"/>
      <c r="S18" s="114">
        <v>3089969.7700000005</v>
      </c>
    </row>
    <row r="19" spans="1:20" ht="24.6" customHeight="1">
      <c r="A19" s="572"/>
      <c r="B19" s="581"/>
      <c r="C19" s="113" t="s">
        <v>1405</v>
      </c>
      <c r="D19" s="113" t="s">
        <v>1404</v>
      </c>
      <c r="E19" s="113"/>
      <c r="F19" s="113" t="s">
        <v>1123</v>
      </c>
      <c r="G19" s="78"/>
      <c r="H19" s="78"/>
      <c r="I19" s="78"/>
      <c r="J19" s="78"/>
      <c r="K19" s="78"/>
      <c r="L19" s="78"/>
      <c r="M19" s="78"/>
      <c r="N19" s="78"/>
      <c r="O19" s="78"/>
      <c r="P19" s="78"/>
      <c r="Q19" s="78"/>
      <c r="R19" s="78"/>
      <c r="S19" s="114">
        <v>2435638.85</v>
      </c>
    </row>
    <row r="20" spans="1:20" s="75" customFormat="1" ht="36">
      <c r="A20" s="572"/>
      <c r="B20" s="581"/>
      <c r="C20" s="113" t="s">
        <v>1406</v>
      </c>
      <c r="D20" s="113" t="s">
        <v>1407</v>
      </c>
      <c r="E20" s="113"/>
      <c r="F20" s="113" t="s">
        <v>1123</v>
      </c>
      <c r="G20" s="78"/>
      <c r="H20" s="78"/>
      <c r="I20" s="78"/>
      <c r="J20" s="78"/>
      <c r="K20" s="78"/>
      <c r="L20" s="78"/>
      <c r="M20" s="78"/>
      <c r="N20" s="78"/>
      <c r="O20" s="78"/>
      <c r="P20" s="78"/>
      <c r="Q20" s="78"/>
      <c r="R20" s="78"/>
      <c r="S20" s="114">
        <v>434524.53</v>
      </c>
    </row>
    <row r="21" spans="1:20">
      <c r="A21" s="572"/>
      <c r="B21" s="581"/>
      <c r="C21" s="113" t="s">
        <v>1408</v>
      </c>
      <c r="D21" s="113" t="s">
        <v>1404</v>
      </c>
      <c r="E21" s="113"/>
      <c r="F21" s="113" t="s">
        <v>1123</v>
      </c>
      <c r="G21" s="78"/>
      <c r="H21" s="78"/>
      <c r="I21" s="78"/>
      <c r="J21" s="78"/>
      <c r="K21" s="78"/>
      <c r="L21" s="78"/>
      <c r="M21" s="78"/>
      <c r="N21" s="78"/>
      <c r="O21" s="78"/>
      <c r="P21" s="78"/>
      <c r="Q21" s="78"/>
      <c r="R21" s="78"/>
      <c r="S21" s="114">
        <v>1327287.78</v>
      </c>
    </row>
    <row r="22" spans="1:20">
      <c r="A22" s="572"/>
      <c r="B22" s="581"/>
      <c r="C22" s="113" t="s">
        <v>1409</v>
      </c>
      <c r="D22" s="113"/>
      <c r="E22" s="113"/>
      <c r="F22" s="113"/>
      <c r="G22" s="78"/>
      <c r="H22" s="78"/>
      <c r="I22" s="78"/>
      <c r="J22" s="78"/>
      <c r="K22" s="78"/>
      <c r="L22" s="78"/>
      <c r="M22" s="78"/>
      <c r="N22" s="78"/>
      <c r="O22" s="78"/>
      <c r="P22" s="78"/>
      <c r="Q22" s="78"/>
      <c r="R22" s="78"/>
      <c r="S22" s="114">
        <v>0</v>
      </c>
    </row>
    <row r="23" spans="1:20">
      <c r="A23" s="573"/>
      <c r="B23" s="582"/>
      <c r="C23" s="113" t="s">
        <v>1410</v>
      </c>
      <c r="D23" s="113" t="s">
        <v>1411</v>
      </c>
      <c r="E23" s="113"/>
      <c r="F23" s="113" t="s">
        <v>1412</v>
      </c>
      <c r="G23" s="78"/>
      <c r="H23" s="78"/>
      <c r="I23" s="78"/>
      <c r="J23" s="78"/>
      <c r="K23" s="78"/>
      <c r="L23" s="78"/>
      <c r="M23" s="78"/>
      <c r="N23" s="78"/>
      <c r="O23" s="78"/>
      <c r="P23" s="78"/>
      <c r="Q23" s="78"/>
      <c r="R23" s="78"/>
      <c r="S23" s="114">
        <v>199190.82</v>
      </c>
    </row>
    <row r="24" spans="1:20" s="105" customFormat="1" ht="24">
      <c r="A24" s="588">
        <v>3</v>
      </c>
      <c r="B24" s="588" t="s">
        <v>629</v>
      </c>
      <c r="C24" s="110" t="s">
        <v>1413</v>
      </c>
      <c r="D24" s="110" t="s">
        <v>1414</v>
      </c>
      <c r="E24" s="110" t="s">
        <v>1415</v>
      </c>
      <c r="F24" s="110" t="s">
        <v>1416</v>
      </c>
      <c r="G24" s="110"/>
      <c r="H24" s="110"/>
      <c r="I24" s="110"/>
      <c r="J24" s="110" t="s">
        <v>1417</v>
      </c>
      <c r="K24" s="110" t="s">
        <v>1418</v>
      </c>
      <c r="L24" s="110"/>
      <c r="M24" s="110"/>
      <c r="N24" s="111">
        <v>10000</v>
      </c>
      <c r="O24" s="111">
        <v>10000</v>
      </c>
      <c r="P24" s="110"/>
      <c r="Q24" s="110"/>
      <c r="R24" s="110"/>
      <c r="S24" s="110"/>
    </row>
    <row r="25" spans="1:20" s="105" customFormat="1" ht="24">
      <c r="A25" s="612"/>
      <c r="B25" s="612"/>
      <c r="C25" s="110" t="s">
        <v>1419</v>
      </c>
      <c r="D25" s="110" t="s">
        <v>1414</v>
      </c>
      <c r="E25" s="110" t="s">
        <v>1415</v>
      </c>
      <c r="F25" s="110" t="s">
        <v>1416</v>
      </c>
      <c r="G25" s="110"/>
      <c r="H25" s="110"/>
      <c r="I25" s="110"/>
      <c r="J25" s="110" t="s">
        <v>1417</v>
      </c>
      <c r="K25" s="110" t="s">
        <v>1418</v>
      </c>
      <c r="L25" s="110"/>
      <c r="M25" s="110"/>
      <c r="N25" s="111">
        <v>35000</v>
      </c>
      <c r="O25" s="111">
        <v>35000</v>
      </c>
      <c r="P25" s="110"/>
      <c r="Q25" s="110"/>
      <c r="R25" s="110"/>
      <c r="S25" s="110"/>
    </row>
    <row r="26" spans="1:20" s="105" customFormat="1" ht="24">
      <c r="A26" s="612"/>
      <c r="B26" s="612"/>
      <c r="C26" s="110" t="s">
        <v>1420</v>
      </c>
      <c r="D26" s="110" t="s">
        <v>1421</v>
      </c>
      <c r="E26" s="110" t="s">
        <v>1415</v>
      </c>
      <c r="F26" s="110" t="s">
        <v>1422</v>
      </c>
      <c r="G26" s="110"/>
      <c r="H26" s="110"/>
      <c r="I26" s="110"/>
      <c r="J26" s="110" t="s">
        <v>1417</v>
      </c>
      <c r="K26" s="110" t="s">
        <v>1418</v>
      </c>
      <c r="L26" s="110"/>
      <c r="M26" s="110"/>
      <c r="N26" s="111">
        <v>30000</v>
      </c>
      <c r="O26" s="111">
        <v>30000</v>
      </c>
      <c r="P26" s="110"/>
      <c r="Q26" s="110"/>
      <c r="R26" s="110"/>
      <c r="S26" s="110"/>
    </row>
    <row r="27" spans="1:20" s="105" customFormat="1" ht="24">
      <c r="A27" s="612"/>
      <c r="B27" s="612"/>
      <c r="C27" s="110" t="s">
        <v>1423</v>
      </c>
      <c r="D27" s="110" t="s">
        <v>1414</v>
      </c>
      <c r="E27" s="110">
        <v>1</v>
      </c>
      <c r="F27" s="110" t="s">
        <v>1416</v>
      </c>
      <c r="G27" s="110"/>
      <c r="H27" s="110"/>
      <c r="I27" s="110"/>
      <c r="J27" s="110" t="s">
        <v>1417</v>
      </c>
      <c r="K27" s="110" t="s">
        <v>1418</v>
      </c>
      <c r="L27" s="110"/>
      <c r="M27" s="110"/>
      <c r="N27" s="111">
        <v>7000</v>
      </c>
      <c r="O27" s="111">
        <v>7000</v>
      </c>
      <c r="P27" s="110"/>
      <c r="Q27" s="110"/>
      <c r="R27" s="110"/>
      <c r="S27" s="110"/>
    </row>
    <row r="28" spans="1:20" s="105" customFormat="1" ht="24">
      <c r="A28" s="612"/>
      <c r="B28" s="612"/>
      <c r="C28" s="110" t="s">
        <v>1424</v>
      </c>
      <c r="D28" s="110" t="s">
        <v>1414</v>
      </c>
      <c r="E28" s="110" t="s">
        <v>1415</v>
      </c>
      <c r="F28" s="110" t="s">
        <v>1416</v>
      </c>
      <c r="G28" s="110"/>
      <c r="H28" s="110"/>
      <c r="I28" s="110"/>
      <c r="J28" s="110" t="s">
        <v>1417</v>
      </c>
      <c r="K28" s="110" t="s">
        <v>1418</v>
      </c>
      <c r="L28" s="110"/>
      <c r="M28" s="110"/>
      <c r="N28" s="111">
        <v>15000</v>
      </c>
      <c r="O28" s="111">
        <v>15000</v>
      </c>
      <c r="P28" s="110"/>
      <c r="Q28" s="110"/>
      <c r="R28" s="110"/>
      <c r="S28" s="110"/>
    </row>
    <row r="29" spans="1:20" s="105" customFormat="1" ht="24">
      <c r="A29" s="589"/>
      <c r="B29" s="589"/>
      <c r="C29" s="110" t="s">
        <v>1425</v>
      </c>
      <c r="D29" s="110" t="s">
        <v>1414</v>
      </c>
      <c r="E29" s="110" t="s">
        <v>1415</v>
      </c>
      <c r="F29" s="110" t="s">
        <v>1416</v>
      </c>
      <c r="G29" s="110"/>
      <c r="H29" s="110"/>
      <c r="I29" s="110"/>
      <c r="J29" s="110" t="s">
        <v>1417</v>
      </c>
      <c r="K29" s="110" t="s">
        <v>1418</v>
      </c>
      <c r="L29" s="110"/>
      <c r="M29" s="110"/>
      <c r="N29" s="111">
        <v>18000</v>
      </c>
      <c r="O29" s="111">
        <v>18000</v>
      </c>
      <c r="P29" s="110"/>
      <c r="Q29" s="110"/>
      <c r="R29" s="110"/>
      <c r="S29" s="110"/>
    </row>
    <row r="30" spans="1:20" ht="84">
      <c r="A30" s="76">
        <v>7</v>
      </c>
      <c r="B30" s="78" t="s">
        <v>654</v>
      </c>
      <c r="C30" s="78" t="s">
        <v>1426</v>
      </c>
      <c r="D30" s="78" t="s">
        <v>1427</v>
      </c>
      <c r="E30" s="78"/>
      <c r="F30" s="78" t="s">
        <v>1161</v>
      </c>
      <c r="G30" s="78" t="s">
        <v>1428</v>
      </c>
      <c r="H30" s="78" t="s">
        <v>1163</v>
      </c>
      <c r="I30" s="78"/>
      <c r="J30" s="78" t="s">
        <v>1429</v>
      </c>
      <c r="K30" s="78">
        <v>2018</v>
      </c>
      <c r="L30" s="78" t="s">
        <v>1430</v>
      </c>
      <c r="M30" s="114">
        <v>992597</v>
      </c>
      <c r="N30" s="114">
        <v>3036986</v>
      </c>
      <c r="O30" s="114">
        <v>992597</v>
      </c>
      <c r="P30" s="78" t="s">
        <v>1431</v>
      </c>
      <c r="Q30" s="78" t="s">
        <v>1431</v>
      </c>
      <c r="R30" s="78" t="s">
        <v>1431</v>
      </c>
      <c r="S30" s="78" t="s">
        <v>1431</v>
      </c>
    </row>
    <row r="31" spans="1:20">
      <c r="A31" s="576">
        <v>8</v>
      </c>
      <c r="B31" s="576" t="s">
        <v>656</v>
      </c>
      <c r="C31" s="73" t="s">
        <v>1432</v>
      </c>
      <c r="D31" s="73" t="s">
        <v>1433</v>
      </c>
      <c r="E31" s="74"/>
      <c r="F31" s="74" t="s">
        <v>1434</v>
      </c>
      <c r="G31" s="74"/>
      <c r="H31" s="74"/>
      <c r="I31" s="74"/>
      <c r="J31" s="74" t="s">
        <v>1435</v>
      </c>
      <c r="K31" s="74"/>
      <c r="L31" s="74"/>
      <c r="M31" s="74"/>
      <c r="N31" s="74"/>
      <c r="O31" s="74"/>
      <c r="P31" s="74"/>
      <c r="Q31" s="74"/>
      <c r="R31" s="116">
        <v>129389.75</v>
      </c>
      <c r="S31" s="116">
        <v>129389.75</v>
      </c>
    </row>
    <row r="32" spans="1:20">
      <c r="A32" s="584"/>
      <c r="B32" s="584"/>
      <c r="C32" s="73" t="s">
        <v>1436</v>
      </c>
      <c r="D32" s="73" t="s">
        <v>1437</v>
      </c>
      <c r="E32" s="74"/>
      <c r="F32" s="74" t="s">
        <v>1434</v>
      </c>
      <c r="G32" s="74"/>
      <c r="H32" s="74"/>
      <c r="I32" s="74"/>
      <c r="J32" s="74" t="s">
        <v>1435</v>
      </c>
      <c r="K32" s="74"/>
      <c r="L32" s="74"/>
      <c r="M32" s="74"/>
      <c r="N32" s="74"/>
      <c r="O32" s="74"/>
      <c r="P32" s="74"/>
      <c r="Q32" s="74"/>
      <c r="R32" s="116">
        <v>12595</v>
      </c>
      <c r="S32" s="116">
        <v>12595</v>
      </c>
    </row>
    <row r="33" spans="1:19">
      <c r="A33" s="584"/>
      <c r="B33" s="584"/>
      <c r="C33" s="73" t="s">
        <v>1438</v>
      </c>
      <c r="D33" s="73" t="s">
        <v>1439</v>
      </c>
      <c r="E33" s="74"/>
      <c r="F33" s="74" t="s">
        <v>1440</v>
      </c>
      <c r="G33" s="74"/>
      <c r="H33" s="74"/>
      <c r="I33" s="74"/>
      <c r="J33" s="74" t="s">
        <v>1441</v>
      </c>
      <c r="K33" s="74"/>
      <c r="L33" s="74"/>
      <c r="M33" s="74"/>
      <c r="N33" s="74"/>
      <c r="O33" s="74"/>
      <c r="P33" s="74"/>
      <c r="Q33" s="74"/>
      <c r="R33" s="116">
        <v>36183</v>
      </c>
      <c r="S33" s="116">
        <v>36183</v>
      </c>
    </row>
    <row r="34" spans="1:19">
      <c r="A34" s="584"/>
      <c r="B34" s="584"/>
      <c r="C34" s="73" t="s">
        <v>1442</v>
      </c>
      <c r="D34" s="73" t="s">
        <v>1443</v>
      </c>
      <c r="E34" s="74"/>
      <c r="F34" s="74" t="s">
        <v>1434</v>
      </c>
      <c r="G34" s="74"/>
      <c r="H34" s="74"/>
      <c r="I34" s="74"/>
      <c r="J34" s="74" t="s">
        <v>1435</v>
      </c>
      <c r="K34" s="74"/>
      <c r="L34" s="74"/>
      <c r="M34" s="74"/>
      <c r="N34" s="74"/>
      <c r="O34" s="74"/>
      <c r="P34" s="74"/>
      <c r="Q34" s="74"/>
      <c r="R34" s="116">
        <v>346478</v>
      </c>
      <c r="S34" s="116">
        <v>346478</v>
      </c>
    </row>
    <row r="35" spans="1:19">
      <c r="A35" s="584"/>
      <c r="B35" s="584"/>
      <c r="C35" s="73" t="s">
        <v>1444</v>
      </c>
      <c r="D35" s="73"/>
      <c r="E35" s="74"/>
      <c r="F35" s="74"/>
      <c r="G35" s="74"/>
      <c r="H35" s="74"/>
      <c r="I35" s="74"/>
      <c r="J35" s="74"/>
      <c r="K35" s="74"/>
      <c r="L35" s="74"/>
      <c r="M35" s="74"/>
      <c r="N35" s="74"/>
      <c r="O35" s="74"/>
      <c r="P35" s="74"/>
      <c r="Q35" s="74"/>
      <c r="R35" s="116">
        <v>0</v>
      </c>
      <c r="S35" s="116">
        <v>0</v>
      </c>
    </row>
    <row r="36" spans="1:19">
      <c r="A36" s="584"/>
      <c r="B36" s="584"/>
      <c r="C36" s="73" t="s">
        <v>1445</v>
      </c>
      <c r="D36" s="73" t="s">
        <v>1446</v>
      </c>
      <c r="E36" s="74"/>
      <c r="F36" s="74" t="s">
        <v>1440</v>
      </c>
      <c r="G36" s="74"/>
      <c r="H36" s="74"/>
      <c r="I36" s="74"/>
      <c r="J36" s="74" t="s">
        <v>1435</v>
      </c>
      <c r="K36" s="74"/>
      <c r="L36" s="74"/>
      <c r="M36" s="74"/>
      <c r="N36" s="74"/>
      <c r="O36" s="74"/>
      <c r="P36" s="74"/>
      <c r="Q36" s="74"/>
      <c r="R36" s="116">
        <v>106240</v>
      </c>
      <c r="S36" s="116">
        <v>106240</v>
      </c>
    </row>
    <row r="37" spans="1:19">
      <c r="A37" s="584"/>
      <c r="B37" s="584"/>
      <c r="C37" s="73" t="s">
        <v>1447</v>
      </c>
      <c r="D37" s="73" t="s">
        <v>1448</v>
      </c>
      <c r="E37" s="74"/>
      <c r="F37" s="74" t="s">
        <v>1440</v>
      </c>
      <c r="G37" s="74"/>
      <c r="H37" s="74"/>
      <c r="I37" s="74"/>
      <c r="J37" s="74" t="s">
        <v>1449</v>
      </c>
      <c r="K37" s="74"/>
      <c r="L37" s="74"/>
      <c r="M37" s="74"/>
      <c r="N37" s="74"/>
      <c r="O37" s="74"/>
      <c r="P37" s="74"/>
      <c r="Q37" s="74"/>
      <c r="R37" s="116">
        <v>16500</v>
      </c>
      <c r="S37" s="116">
        <v>16500</v>
      </c>
    </row>
    <row r="38" spans="1:19">
      <c r="A38" s="584"/>
      <c r="B38" s="584"/>
      <c r="C38" s="73" t="s">
        <v>1450</v>
      </c>
      <c r="D38" s="73" t="s">
        <v>1443</v>
      </c>
      <c r="E38" s="74"/>
      <c r="F38" s="74" t="s">
        <v>1434</v>
      </c>
      <c r="G38" s="74"/>
      <c r="H38" s="74"/>
      <c r="I38" s="74"/>
      <c r="J38" s="74" t="s">
        <v>1435</v>
      </c>
      <c r="K38" s="74"/>
      <c r="L38" s="74"/>
      <c r="M38" s="74"/>
      <c r="N38" s="74"/>
      <c r="O38" s="74"/>
      <c r="P38" s="74"/>
      <c r="Q38" s="74"/>
      <c r="R38" s="116">
        <v>16442</v>
      </c>
      <c r="S38" s="116">
        <v>16442</v>
      </c>
    </row>
    <row r="39" spans="1:19">
      <c r="A39" s="577"/>
      <c r="B39" s="577"/>
      <c r="C39" s="73" t="s">
        <v>1451</v>
      </c>
      <c r="D39" s="73" t="s">
        <v>1443</v>
      </c>
      <c r="E39" s="74"/>
      <c r="F39" s="74" t="s">
        <v>1440</v>
      </c>
      <c r="G39" s="74"/>
      <c r="H39" s="74"/>
      <c r="I39" s="74"/>
      <c r="J39" s="74" t="s">
        <v>1452</v>
      </c>
      <c r="K39" s="74"/>
      <c r="L39" s="74"/>
      <c r="M39" s="74"/>
      <c r="N39" s="74"/>
      <c r="O39" s="74"/>
      <c r="P39" s="74"/>
      <c r="Q39" s="74"/>
      <c r="R39" s="116">
        <v>208191</v>
      </c>
      <c r="S39" s="116">
        <v>208191</v>
      </c>
    </row>
    <row r="40" spans="1:19">
      <c r="A40" s="580">
        <v>11</v>
      </c>
      <c r="B40" s="580" t="s">
        <v>670</v>
      </c>
      <c r="C40" s="76" t="s">
        <v>1453</v>
      </c>
      <c r="D40" s="76" t="s">
        <v>1454</v>
      </c>
      <c r="E40" s="76">
        <v>100</v>
      </c>
      <c r="F40" s="76" t="s">
        <v>1194</v>
      </c>
      <c r="G40" s="76" t="s">
        <v>1194</v>
      </c>
      <c r="H40" s="76" t="s">
        <v>1455</v>
      </c>
      <c r="I40" s="76" t="s">
        <v>1195</v>
      </c>
      <c r="J40" s="76" t="s">
        <v>1456</v>
      </c>
      <c r="K40" s="88">
        <v>44756</v>
      </c>
      <c r="L40" s="88">
        <v>44743</v>
      </c>
      <c r="M40" s="117">
        <v>1500</v>
      </c>
      <c r="N40" s="117">
        <v>1500</v>
      </c>
      <c r="O40" s="76"/>
      <c r="P40" s="76"/>
      <c r="Q40" s="88">
        <v>44743</v>
      </c>
      <c r="R40" s="117"/>
      <c r="S40" s="117"/>
    </row>
    <row r="41" spans="1:19">
      <c r="A41" s="581"/>
      <c r="B41" s="581"/>
      <c r="C41" s="76" t="s">
        <v>1457</v>
      </c>
      <c r="D41" s="76" t="s">
        <v>1458</v>
      </c>
      <c r="E41" s="76"/>
      <c r="F41" s="76" t="s">
        <v>1194</v>
      </c>
      <c r="G41" s="76" t="s">
        <v>1194</v>
      </c>
      <c r="H41" s="76" t="s">
        <v>1455</v>
      </c>
      <c r="I41" s="76" t="s">
        <v>1195</v>
      </c>
      <c r="J41" s="76" t="s">
        <v>1459</v>
      </c>
      <c r="K41" s="88">
        <v>44743</v>
      </c>
      <c r="L41" s="88">
        <v>44743</v>
      </c>
      <c r="M41" s="117">
        <v>86194.73</v>
      </c>
      <c r="N41" s="117">
        <v>86194.73</v>
      </c>
      <c r="O41" s="76"/>
      <c r="P41" s="76"/>
      <c r="Q41" s="88">
        <v>44866</v>
      </c>
      <c r="R41" s="117"/>
      <c r="S41" s="117"/>
    </row>
    <row r="42" spans="1:19">
      <c r="A42" s="581"/>
      <c r="B42" s="581"/>
      <c r="C42" s="76" t="s">
        <v>1460</v>
      </c>
      <c r="D42" s="76" t="s">
        <v>1461</v>
      </c>
      <c r="E42" s="76">
        <v>60</v>
      </c>
      <c r="F42" s="76" t="s">
        <v>1194</v>
      </c>
      <c r="G42" s="76" t="s">
        <v>1194</v>
      </c>
      <c r="H42" s="76" t="s">
        <v>1455</v>
      </c>
      <c r="I42" s="76" t="s">
        <v>1195</v>
      </c>
      <c r="J42" s="76" t="s">
        <v>1456</v>
      </c>
      <c r="K42" s="88">
        <v>44713</v>
      </c>
      <c r="L42" s="88">
        <v>44713</v>
      </c>
      <c r="M42" s="117">
        <v>25460</v>
      </c>
      <c r="N42" s="117">
        <v>25460</v>
      </c>
      <c r="O42" s="76"/>
      <c r="P42" s="76"/>
      <c r="Q42" s="88">
        <v>44713</v>
      </c>
      <c r="R42" s="117"/>
      <c r="S42" s="117"/>
    </row>
    <row r="43" spans="1:19">
      <c r="A43" s="582"/>
      <c r="B43" s="582"/>
      <c r="C43" s="76" t="s">
        <v>1462</v>
      </c>
      <c r="D43" s="76" t="s">
        <v>1458</v>
      </c>
      <c r="E43" s="76">
        <v>100</v>
      </c>
      <c r="F43" s="76" t="s">
        <v>1194</v>
      </c>
      <c r="G43" s="76" t="s">
        <v>1194</v>
      </c>
      <c r="H43" s="76" t="s">
        <v>1455</v>
      </c>
      <c r="I43" s="76" t="s">
        <v>1195</v>
      </c>
      <c r="J43" s="76" t="s">
        <v>1459</v>
      </c>
      <c r="K43" s="88">
        <v>44896</v>
      </c>
      <c r="L43" s="88">
        <v>44896</v>
      </c>
      <c r="M43" s="117">
        <v>8000</v>
      </c>
      <c r="N43" s="117">
        <v>800</v>
      </c>
      <c r="O43" s="76"/>
      <c r="P43" s="76"/>
      <c r="Q43" s="88">
        <v>44896</v>
      </c>
      <c r="R43" s="117"/>
      <c r="S43" s="117"/>
    </row>
    <row r="44" spans="1:19">
      <c r="A44" s="576">
        <v>15</v>
      </c>
      <c r="B44" s="576" t="s">
        <v>691</v>
      </c>
      <c r="C44" s="73" t="s">
        <v>1463</v>
      </c>
      <c r="D44" s="74" t="s">
        <v>1464</v>
      </c>
      <c r="E44" s="74"/>
      <c r="F44" s="74"/>
      <c r="G44" s="74"/>
      <c r="H44" s="74"/>
      <c r="I44" s="74"/>
      <c r="J44" s="74"/>
      <c r="K44" s="120" t="s">
        <v>1465</v>
      </c>
      <c r="L44" s="120"/>
      <c r="M44" s="116">
        <v>324</v>
      </c>
      <c r="N44" s="116"/>
      <c r="O44" s="116"/>
      <c r="P44" s="74"/>
      <c r="Q44" s="74"/>
      <c r="R44" s="116"/>
      <c r="S44" s="116"/>
    </row>
    <row r="45" spans="1:19">
      <c r="A45" s="584"/>
      <c r="B45" s="584"/>
      <c r="C45" s="73" t="s">
        <v>1466</v>
      </c>
      <c r="D45" s="74" t="s">
        <v>1467</v>
      </c>
      <c r="E45" s="74"/>
      <c r="F45" s="74" t="s">
        <v>1468</v>
      </c>
      <c r="G45" s="74" t="s">
        <v>1468</v>
      </c>
      <c r="H45" s="74" t="s">
        <v>1195</v>
      </c>
      <c r="I45" s="74" t="s">
        <v>1469</v>
      </c>
      <c r="J45" s="74" t="s">
        <v>1470</v>
      </c>
      <c r="K45" s="120" t="s">
        <v>1465</v>
      </c>
      <c r="L45" s="120"/>
      <c r="M45" s="116">
        <v>1132.31</v>
      </c>
      <c r="N45" s="116"/>
      <c r="O45" s="116"/>
      <c r="P45" s="74"/>
      <c r="Q45" s="74"/>
      <c r="R45" s="116"/>
      <c r="S45" s="116"/>
    </row>
    <row r="46" spans="1:19">
      <c r="A46" s="584"/>
      <c r="B46" s="584"/>
      <c r="C46" s="73" t="s">
        <v>1471</v>
      </c>
      <c r="D46" s="74" t="s">
        <v>1472</v>
      </c>
      <c r="E46" s="74"/>
      <c r="F46" s="74" t="s">
        <v>1473</v>
      </c>
      <c r="G46" s="74" t="s">
        <v>1474</v>
      </c>
      <c r="H46" s="74" t="s">
        <v>1195</v>
      </c>
      <c r="I46" s="74" t="s">
        <v>1469</v>
      </c>
      <c r="J46" s="74" t="s">
        <v>1475</v>
      </c>
      <c r="K46" s="120" t="s">
        <v>1476</v>
      </c>
      <c r="L46" s="120"/>
      <c r="M46" s="116">
        <v>300</v>
      </c>
      <c r="N46" s="116"/>
      <c r="O46" s="116"/>
      <c r="P46" s="74"/>
      <c r="Q46" s="74"/>
      <c r="R46" s="116"/>
      <c r="S46" s="116"/>
    </row>
    <row r="47" spans="1:19">
      <c r="A47" s="584"/>
      <c r="B47" s="584"/>
      <c r="C47" s="73" t="s">
        <v>1463</v>
      </c>
      <c r="D47" s="74" t="s">
        <v>1464</v>
      </c>
      <c r="E47" s="74"/>
      <c r="F47" s="74"/>
      <c r="G47" s="74"/>
      <c r="H47" s="74"/>
      <c r="I47" s="74"/>
      <c r="J47" s="74"/>
      <c r="K47" s="120" t="s">
        <v>1477</v>
      </c>
      <c r="L47" s="120"/>
      <c r="M47" s="116">
        <v>328.8</v>
      </c>
      <c r="N47" s="116"/>
      <c r="O47" s="116"/>
      <c r="P47" s="74"/>
      <c r="Q47" s="74"/>
      <c r="R47" s="116"/>
      <c r="S47" s="116"/>
    </row>
    <row r="48" spans="1:19">
      <c r="A48" s="584"/>
      <c r="B48" s="584"/>
      <c r="C48" s="73" t="s">
        <v>1478</v>
      </c>
      <c r="D48" s="74" t="s">
        <v>1479</v>
      </c>
      <c r="E48" s="74"/>
      <c r="F48" s="74" t="s">
        <v>1479</v>
      </c>
      <c r="G48" s="74" t="s">
        <v>1480</v>
      </c>
      <c r="H48" s="74" t="s">
        <v>1195</v>
      </c>
      <c r="I48" s="74" t="s">
        <v>1469</v>
      </c>
      <c r="J48" s="74"/>
      <c r="K48" s="120" t="s">
        <v>1481</v>
      </c>
      <c r="L48" s="120"/>
      <c r="M48" s="116">
        <v>7900</v>
      </c>
      <c r="N48" s="116"/>
      <c r="O48" s="116"/>
      <c r="P48" s="74"/>
      <c r="Q48" s="74"/>
      <c r="R48" s="116"/>
      <c r="S48" s="116"/>
    </row>
    <row r="49" spans="1:19">
      <c r="A49" s="584"/>
      <c r="B49" s="584"/>
      <c r="C49" s="73" t="s">
        <v>1482</v>
      </c>
      <c r="D49" s="74" t="s">
        <v>1483</v>
      </c>
      <c r="E49" s="74"/>
      <c r="F49" s="74" t="s">
        <v>1484</v>
      </c>
      <c r="G49" s="74" t="s">
        <v>1485</v>
      </c>
      <c r="H49" s="74" t="s">
        <v>1195</v>
      </c>
      <c r="I49" s="74" t="s">
        <v>1469</v>
      </c>
      <c r="J49" s="74" t="s">
        <v>1475</v>
      </c>
      <c r="K49" s="120" t="s">
        <v>1486</v>
      </c>
      <c r="L49" s="120"/>
      <c r="M49" s="116">
        <v>300</v>
      </c>
      <c r="N49" s="116"/>
      <c r="O49" s="116"/>
      <c r="P49" s="74"/>
      <c r="Q49" s="74"/>
      <c r="R49" s="116"/>
      <c r="S49" s="116"/>
    </row>
    <row r="50" spans="1:19">
      <c r="A50" s="584"/>
      <c r="B50" s="584"/>
      <c r="C50" s="73" t="s">
        <v>1463</v>
      </c>
      <c r="D50" s="74" t="s">
        <v>1464</v>
      </c>
      <c r="E50" s="74"/>
      <c r="F50" s="74"/>
      <c r="G50" s="74"/>
      <c r="H50" s="74"/>
      <c r="I50" s="74"/>
      <c r="J50" s="74"/>
      <c r="K50" s="120" t="s">
        <v>1487</v>
      </c>
      <c r="L50" s="120"/>
      <c r="M50" s="116">
        <v>328.8</v>
      </c>
      <c r="N50" s="116"/>
      <c r="O50" s="116"/>
      <c r="P50" s="74"/>
      <c r="Q50" s="74"/>
      <c r="R50" s="116"/>
      <c r="S50" s="116"/>
    </row>
    <row r="51" spans="1:19">
      <c r="A51" s="584"/>
      <c r="B51" s="584"/>
      <c r="C51" s="73" t="s">
        <v>1488</v>
      </c>
      <c r="D51" s="74" t="s">
        <v>1489</v>
      </c>
      <c r="E51" s="74"/>
      <c r="F51" s="74" t="s">
        <v>14</v>
      </c>
      <c r="G51" s="74"/>
      <c r="H51" s="74" t="s">
        <v>1195</v>
      </c>
      <c r="I51" s="74" t="s">
        <v>1469</v>
      </c>
      <c r="J51" s="74" t="s">
        <v>1475</v>
      </c>
      <c r="K51" s="120" t="s">
        <v>1490</v>
      </c>
      <c r="L51" s="120"/>
      <c r="M51" s="116">
        <v>1000</v>
      </c>
      <c r="N51" s="116"/>
      <c r="O51" s="116"/>
      <c r="P51" s="74"/>
      <c r="Q51" s="74"/>
      <c r="R51" s="116"/>
      <c r="S51" s="116"/>
    </row>
    <row r="52" spans="1:19">
      <c r="A52" s="584"/>
      <c r="B52" s="584"/>
      <c r="C52" s="73" t="s">
        <v>1488</v>
      </c>
      <c r="D52" s="74" t="s">
        <v>1491</v>
      </c>
      <c r="E52" s="74"/>
      <c r="F52" s="74" t="s">
        <v>1492</v>
      </c>
      <c r="G52" s="74" t="s">
        <v>1493</v>
      </c>
      <c r="H52" s="74" t="s">
        <v>1195</v>
      </c>
      <c r="I52" s="74" t="s">
        <v>1469</v>
      </c>
      <c r="J52" s="74" t="s">
        <v>1475</v>
      </c>
      <c r="K52" s="120" t="s">
        <v>1490</v>
      </c>
      <c r="L52" s="120"/>
      <c r="M52" s="116">
        <v>1000</v>
      </c>
      <c r="N52" s="116"/>
      <c r="O52" s="116"/>
      <c r="P52" s="74"/>
      <c r="Q52" s="74"/>
      <c r="R52" s="116"/>
      <c r="S52" s="116"/>
    </row>
    <row r="53" spans="1:19">
      <c r="A53" s="584"/>
      <c r="B53" s="584"/>
      <c r="C53" s="73" t="s">
        <v>1494</v>
      </c>
      <c r="D53" s="74" t="s">
        <v>1495</v>
      </c>
      <c r="E53" s="74"/>
      <c r="F53" s="74" t="s">
        <v>1496</v>
      </c>
      <c r="G53" s="74" t="s">
        <v>1496</v>
      </c>
      <c r="H53" s="74" t="s">
        <v>1195</v>
      </c>
      <c r="I53" s="74" t="s">
        <v>1469</v>
      </c>
      <c r="J53" s="74" t="s">
        <v>1475</v>
      </c>
      <c r="K53" s="120" t="s">
        <v>1497</v>
      </c>
      <c r="L53" s="120"/>
      <c r="M53" s="116">
        <v>1000</v>
      </c>
      <c r="N53" s="116"/>
      <c r="O53" s="116"/>
      <c r="P53" s="74"/>
      <c r="Q53" s="74"/>
      <c r="R53" s="116"/>
      <c r="S53" s="116"/>
    </row>
    <row r="54" spans="1:19">
      <c r="A54" s="584"/>
      <c r="B54" s="584"/>
      <c r="C54" s="73" t="s">
        <v>1498</v>
      </c>
      <c r="D54" s="74" t="s">
        <v>1499</v>
      </c>
      <c r="E54" s="74"/>
      <c r="F54" s="74" t="s">
        <v>14</v>
      </c>
      <c r="G54" s="74" t="s">
        <v>1496</v>
      </c>
      <c r="H54" s="74" t="s">
        <v>1195</v>
      </c>
      <c r="I54" s="74" t="s">
        <v>1469</v>
      </c>
      <c r="J54" s="74" t="s">
        <v>1470</v>
      </c>
      <c r="K54" s="120" t="s">
        <v>1500</v>
      </c>
      <c r="L54" s="120"/>
      <c r="M54" s="116">
        <v>14500</v>
      </c>
      <c r="N54" s="116"/>
      <c r="O54" s="116"/>
      <c r="P54" s="74"/>
      <c r="Q54" s="74"/>
      <c r="R54" s="116"/>
      <c r="S54" s="116"/>
    </row>
    <row r="55" spans="1:19">
      <c r="A55" s="584"/>
      <c r="B55" s="584"/>
      <c r="C55" s="73" t="s">
        <v>1463</v>
      </c>
      <c r="D55" s="74" t="s">
        <v>1464</v>
      </c>
      <c r="E55" s="74"/>
      <c r="F55" s="74"/>
      <c r="G55" s="74"/>
      <c r="H55" s="74"/>
      <c r="I55" s="74"/>
      <c r="J55" s="74"/>
      <c r="K55" s="120" t="s">
        <v>1501</v>
      </c>
      <c r="L55" s="120"/>
      <c r="M55" s="116">
        <v>336</v>
      </c>
      <c r="N55" s="116"/>
      <c r="O55" s="116"/>
      <c r="P55" s="74"/>
      <c r="Q55" s="74"/>
      <c r="R55" s="116"/>
      <c r="S55" s="116"/>
    </row>
    <row r="56" spans="1:19">
      <c r="A56" s="584"/>
      <c r="B56" s="584"/>
      <c r="C56" s="73" t="s">
        <v>1502</v>
      </c>
      <c r="D56" s="74" t="s">
        <v>1503</v>
      </c>
      <c r="E56" s="74"/>
      <c r="F56" s="74" t="s">
        <v>1504</v>
      </c>
      <c r="G56" s="74" t="s">
        <v>1504</v>
      </c>
      <c r="H56" s="74" t="s">
        <v>1195</v>
      </c>
      <c r="I56" s="74" t="s">
        <v>1469</v>
      </c>
      <c r="J56" s="74" t="s">
        <v>1475</v>
      </c>
      <c r="K56" s="120" t="s">
        <v>1505</v>
      </c>
      <c r="L56" s="120"/>
      <c r="M56" s="116">
        <v>600</v>
      </c>
      <c r="N56" s="116"/>
      <c r="O56" s="116"/>
      <c r="P56" s="74"/>
      <c r="Q56" s="74"/>
      <c r="R56" s="116"/>
      <c r="S56" s="116"/>
    </row>
    <row r="57" spans="1:19">
      <c r="A57" s="584"/>
      <c r="B57" s="584"/>
      <c r="C57" s="73" t="s">
        <v>1463</v>
      </c>
      <c r="D57" s="74" t="s">
        <v>1464</v>
      </c>
      <c r="E57" s="74"/>
      <c r="F57" s="74"/>
      <c r="G57" s="74"/>
      <c r="H57" s="74"/>
      <c r="I57" s="74"/>
      <c r="J57" s="74"/>
      <c r="K57" s="120" t="s">
        <v>1506</v>
      </c>
      <c r="L57" s="120"/>
      <c r="M57" s="116">
        <v>336</v>
      </c>
      <c r="N57" s="116"/>
      <c r="O57" s="116"/>
      <c r="P57" s="74"/>
      <c r="Q57" s="74"/>
      <c r="R57" s="116"/>
      <c r="S57" s="116"/>
    </row>
    <row r="58" spans="1:19">
      <c r="A58" s="584"/>
      <c r="B58" s="584"/>
      <c r="C58" s="73" t="s">
        <v>1463</v>
      </c>
      <c r="D58" s="74" t="s">
        <v>1464</v>
      </c>
      <c r="E58" s="74"/>
      <c r="F58" s="74"/>
      <c r="G58" s="74"/>
      <c r="H58" s="74"/>
      <c r="I58" s="74"/>
      <c r="J58" s="74"/>
      <c r="K58" s="120" t="s">
        <v>1507</v>
      </c>
      <c r="L58" s="120"/>
      <c r="M58" s="116">
        <v>340.8</v>
      </c>
      <c r="N58" s="116"/>
      <c r="O58" s="116"/>
      <c r="P58" s="74"/>
      <c r="Q58" s="74"/>
      <c r="R58" s="116"/>
      <c r="S58" s="116"/>
    </row>
    <row r="59" spans="1:19">
      <c r="A59" s="584"/>
      <c r="B59" s="584"/>
      <c r="C59" s="73" t="s">
        <v>1508</v>
      </c>
      <c r="D59" s="74" t="s">
        <v>1509</v>
      </c>
      <c r="E59" s="74"/>
      <c r="F59" s="74" t="s">
        <v>1510</v>
      </c>
      <c r="G59" s="74" t="s">
        <v>1510</v>
      </c>
      <c r="H59" s="74"/>
      <c r="I59" s="74"/>
      <c r="J59" s="74" t="s">
        <v>1511</v>
      </c>
      <c r="K59" s="120" t="s">
        <v>1512</v>
      </c>
      <c r="L59" s="120"/>
      <c r="M59" s="116">
        <v>28800</v>
      </c>
      <c r="N59" s="116"/>
      <c r="O59" s="116"/>
      <c r="P59" s="74"/>
      <c r="Q59" s="74"/>
      <c r="R59" s="116"/>
      <c r="S59" s="116"/>
    </row>
    <row r="60" spans="1:19">
      <c r="A60" s="584"/>
      <c r="B60" s="584"/>
      <c r="C60" s="73" t="s">
        <v>1513</v>
      </c>
      <c r="D60" s="74" t="s">
        <v>1514</v>
      </c>
      <c r="E60" s="74"/>
      <c r="F60" s="74" t="s">
        <v>1514</v>
      </c>
      <c r="G60" s="74" t="s">
        <v>1515</v>
      </c>
      <c r="H60" s="74" t="s">
        <v>1516</v>
      </c>
      <c r="I60" s="74" t="s">
        <v>1517</v>
      </c>
      <c r="J60" s="74" t="s">
        <v>1511</v>
      </c>
      <c r="K60" s="120" t="s">
        <v>1512</v>
      </c>
      <c r="L60" s="120"/>
      <c r="M60" s="116">
        <v>6432</v>
      </c>
      <c r="N60" s="116"/>
      <c r="O60" s="116"/>
      <c r="P60" s="74"/>
      <c r="Q60" s="74"/>
      <c r="R60" s="116"/>
      <c r="S60" s="116"/>
    </row>
    <row r="61" spans="1:19">
      <c r="A61" s="584"/>
      <c r="B61" s="584"/>
      <c r="C61" s="73" t="s">
        <v>1463</v>
      </c>
      <c r="D61" s="74" t="s">
        <v>1464</v>
      </c>
      <c r="E61" s="74"/>
      <c r="F61" s="74"/>
      <c r="G61" s="74"/>
      <c r="H61" s="74"/>
      <c r="I61" s="74"/>
      <c r="J61" s="74"/>
      <c r="K61" s="120" t="s">
        <v>1518</v>
      </c>
      <c r="L61" s="120"/>
      <c r="M61" s="116">
        <v>348</v>
      </c>
      <c r="N61" s="116"/>
      <c r="O61" s="116"/>
      <c r="P61" s="74"/>
      <c r="Q61" s="74"/>
      <c r="R61" s="116"/>
      <c r="S61" s="116"/>
    </row>
    <row r="62" spans="1:19">
      <c r="A62" s="584"/>
      <c r="B62" s="584"/>
      <c r="C62" s="73" t="s">
        <v>1519</v>
      </c>
      <c r="D62" s="74" t="s">
        <v>1520</v>
      </c>
      <c r="E62" s="74"/>
      <c r="F62" s="74" t="s">
        <v>1521</v>
      </c>
      <c r="G62" s="74" t="s">
        <v>1521</v>
      </c>
      <c r="H62" s="74" t="s">
        <v>1522</v>
      </c>
      <c r="I62" s="74" t="s">
        <v>1523</v>
      </c>
      <c r="J62" s="74" t="s">
        <v>1475</v>
      </c>
      <c r="K62" s="120" t="s">
        <v>1524</v>
      </c>
      <c r="L62" s="120"/>
      <c r="M62" s="116">
        <v>1025.6400000000001</v>
      </c>
      <c r="N62" s="116"/>
      <c r="O62" s="116"/>
      <c r="P62" s="74"/>
      <c r="Q62" s="74"/>
      <c r="R62" s="116"/>
      <c r="S62" s="116"/>
    </row>
    <row r="63" spans="1:19">
      <c r="A63" s="584"/>
      <c r="B63" s="584"/>
      <c r="C63" s="73" t="s">
        <v>1525</v>
      </c>
      <c r="D63" s="74" t="s">
        <v>1526</v>
      </c>
      <c r="E63" s="74"/>
      <c r="F63" s="74" t="s">
        <v>1521</v>
      </c>
      <c r="G63" s="74" t="s">
        <v>1521</v>
      </c>
      <c r="H63" s="74" t="s">
        <v>1195</v>
      </c>
      <c r="I63" s="74" t="s">
        <v>1469</v>
      </c>
      <c r="J63" s="74" t="s">
        <v>1475</v>
      </c>
      <c r="K63" s="120" t="s">
        <v>1524</v>
      </c>
      <c r="L63" s="120"/>
      <c r="M63" s="116">
        <v>1230.77</v>
      </c>
      <c r="N63" s="116"/>
      <c r="O63" s="116"/>
      <c r="P63" s="74"/>
      <c r="Q63" s="74"/>
      <c r="R63" s="116"/>
      <c r="S63" s="116"/>
    </row>
    <row r="64" spans="1:19">
      <c r="A64" s="584"/>
      <c r="B64" s="584"/>
      <c r="C64" s="73" t="s">
        <v>1463</v>
      </c>
      <c r="D64" s="74" t="s">
        <v>1464</v>
      </c>
      <c r="E64" s="74"/>
      <c r="F64" s="74"/>
      <c r="G64" s="74"/>
      <c r="H64" s="74"/>
      <c r="I64" s="74"/>
      <c r="J64" s="74"/>
      <c r="K64" s="120" t="s">
        <v>1527</v>
      </c>
      <c r="L64" s="120"/>
      <c r="M64" s="116">
        <v>348</v>
      </c>
      <c r="N64" s="116"/>
      <c r="O64" s="116"/>
      <c r="P64" s="74"/>
      <c r="Q64" s="74"/>
      <c r="R64" s="116"/>
      <c r="S64" s="116"/>
    </row>
    <row r="65" spans="1:19">
      <c r="A65" s="584"/>
      <c r="B65" s="584"/>
      <c r="C65" s="73" t="s">
        <v>1528</v>
      </c>
      <c r="D65" s="74" t="s">
        <v>1529</v>
      </c>
      <c r="E65" s="74"/>
      <c r="F65" s="74"/>
      <c r="G65" s="74" t="s">
        <v>1530</v>
      </c>
      <c r="H65" s="74" t="s">
        <v>1195</v>
      </c>
      <c r="I65" s="74" t="s">
        <v>1469</v>
      </c>
      <c r="J65" s="74"/>
      <c r="K65" s="120" t="s">
        <v>1531</v>
      </c>
      <c r="L65" s="120"/>
      <c r="M65" s="116">
        <v>5788</v>
      </c>
      <c r="N65" s="116"/>
      <c r="O65" s="116"/>
      <c r="P65" s="74"/>
      <c r="Q65" s="74"/>
      <c r="R65" s="116"/>
      <c r="S65" s="116"/>
    </row>
    <row r="66" spans="1:19">
      <c r="A66" s="584"/>
      <c r="B66" s="584"/>
      <c r="C66" s="73" t="s">
        <v>1463</v>
      </c>
      <c r="D66" s="74" t="s">
        <v>1464</v>
      </c>
      <c r="E66" s="74"/>
      <c r="F66" s="74"/>
      <c r="G66" s="74"/>
      <c r="H66" s="74"/>
      <c r="I66" s="74"/>
      <c r="J66" s="74"/>
      <c r="K66" s="120" t="s">
        <v>1532</v>
      </c>
      <c r="L66" s="120"/>
      <c r="M66" s="116">
        <v>348</v>
      </c>
      <c r="N66" s="116"/>
      <c r="O66" s="116"/>
      <c r="P66" s="74"/>
      <c r="Q66" s="74"/>
      <c r="R66" s="116"/>
      <c r="S66" s="116"/>
    </row>
    <row r="67" spans="1:19">
      <c r="A67" s="584"/>
      <c r="B67" s="584"/>
      <c r="C67" s="73" t="s">
        <v>1463</v>
      </c>
      <c r="D67" s="74" t="s">
        <v>1464</v>
      </c>
      <c r="E67" s="74"/>
      <c r="F67" s="74"/>
      <c r="G67" s="74"/>
      <c r="H67" s="74"/>
      <c r="I67" s="74"/>
      <c r="J67" s="74"/>
      <c r="K67" s="120" t="s">
        <v>1533</v>
      </c>
      <c r="L67" s="120"/>
      <c r="M67" s="116">
        <v>435</v>
      </c>
      <c r="N67" s="116"/>
      <c r="O67" s="116"/>
      <c r="P67" s="74"/>
      <c r="Q67" s="74"/>
      <c r="R67" s="116"/>
      <c r="S67" s="116"/>
    </row>
    <row r="68" spans="1:19">
      <c r="A68" s="584"/>
      <c r="B68" s="584"/>
      <c r="C68" s="73" t="s">
        <v>1466</v>
      </c>
      <c r="D68" s="74" t="s">
        <v>1467</v>
      </c>
      <c r="E68" s="74"/>
      <c r="F68" s="74" t="s">
        <v>1468</v>
      </c>
      <c r="G68" s="74" t="s">
        <v>1468</v>
      </c>
      <c r="H68" s="74" t="s">
        <v>1195</v>
      </c>
      <c r="I68" s="74" t="s">
        <v>1469</v>
      </c>
      <c r="J68" s="74" t="s">
        <v>1470</v>
      </c>
      <c r="K68" s="120" t="s">
        <v>1533</v>
      </c>
      <c r="L68" s="120"/>
      <c r="M68" s="116">
        <v>1152.56</v>
      </c>
      <c r="N68" s="116"/>
      <c r="O68" s="116"/>
      <c r="P68" s="74"/>
      <c r="Q68" s="74"/>
      <c r="R68" s="116"/>
      <c r="S68" s="116"/>
    </row>
    <row r="69" spans="1:19">
      <c r="A69" s="584"/>
      <c r="B69" s="584"/>
      <c r="C69" s="73" t="s">
        <v>1534</v>
      </c>
      <c r="D69" s="74" t="s">
        <v>1535</v>
      </c>
      <c r="E69" s="74"/>
      <c r="F69" s="74" t="s">
        <v>1521</v>
      </c>
      <c r="G69" s="74" t="s">
        <v>1521</v>
      </c>
      <c r="H69" s="74" t="s">
        <v>1195</v>
      </c>
      <c r="I69" s="74" t="s">
        <v>1469</v>
      </c>
      <c r="J69" s="74" t="s">
        <v>1470</v>
      </c>
      <c r="K69" s="120" t="s">
        <v>1536</v>
      </c>
      <c r="L69" s="120"/>
      <c r="M69" s="116">
        <v>166.7</v>
      </c>
      <c r="N69" s="116"/>
      <c r="O69" s="116"/>
      <c r="P69" s="74"/>
      <c r="Q69" s="74"/>
      <c r="R69" s="116"/>
      <c r="S69" s="116"/>
    </row>
    <row r="70" spans="1:19">
      <c r="A70" s="584"/>
      <c r="B70" s="584"/>
      <c r="C70" s="73" t="s">
        <v>1463</v>
      </c>
      <c r="D70" s="74" t="s">
        <v>1464</v>
      </c>
      <c r="E70" s="74"/>
      <c r="F70" s="74"/>
      <c r="G70" s="74"/>
      <c r="H70" s="74"/>
      <c r="I70" s="74"/>
      <c r="J70" s="74"/>
      <c r="K70" s="120" t="s">
        <v>1537</v>
      </c>
      <c r="L70" s="120"/>
      <c r="M70" s="116">
        <v>435</v>
      </c>
      <c r="N70" s="116"/>
      <c r="O70" s="116"/>
      <c r="P70" s="74"/>
      <c r="Q70" s="74"/>
      <c r="R70" s="116"/>
      <c r="S70" s="116"/>
    </row>
    <row r="71" spans="1:19">
      <c r="A71" s="577"/>
      <c r="B71" s="577"/>
      <c r="C71" s="73" t="s">
        <v>1463</v>
      </c>
      <c r="D71" s="74" t="s">
        <v>1464</v>
      </c>
      <c r="E71" s="74"/>
      <c r="F71" s="74"/>
      <c r="G71" s="74"/>
      <c r="H71" s="74"/>
      <c r="I71" s="74"/>
      <c r="J71" s="74"/>
      <c r="K71" s="120" t="s">
        <v>1538</v>
      </c>
      <c r="L71" s="120"/>
      <c r="M71" s="116">
        <v>435</v>
      </c>
      <c r="N71" s="116"/>
      <c r="O71" s="116"/>
      <c r="P71" s="74"/>
      <c r="Q71" s="74"/>
      <c r="R71" s="116"/>
      <c r="S71" s="116"/>
    </row>
    <row r="72" spans="1:19">
      <c r="A72" s="571">
        <v>17</v>
      </c>
      <c r="B72" s="571" t="s">
        <v>102</v>
      </c>
      <c r="C72" s="76" t="s">
        <v>1539</v>
      </c>
      <c r="D72" s="76" t="s">
        <v>1540</v>
      </c>
      <c r="E72" s="86">
        <v>0.5</v>
      </c>
      <c r="F72" s="76" t="s">
        <v>1091</v>
      </c>
      <c r="G72" s="76" t="s">
        <v>1541</v>
      </c>
      <c r="H72" s="76" t="s">
        <v>1542</v>
      </c>
      <c r="I72" s="76" t="s">
        <v>1543</v>
      </c>
      <c r="J72" s="76"/>
      <c r="K72" s="76" t="s">
        <v>1544</v>
      </c>
      <c r="L72" s="76" t="s">
        <v>1545</v>
      </c>
      <c r="M72" s="117">
        <v>85000</v>
      </c>
      <c r="N72" s="117">
        <v>85000</v>
      </c>
      <c r="O72" s="76"/>
      <c r="P72" s="76"/>
      <c r="Q72" s="76"/>
      <c r="R72" s="76"/>
      <c r="S72" s="76"/>
    </row>
    <row r="73" spans="1:19">
      <c r="A73" s="573"/>
      <c r="B73" s="573"/>
      <c r="C73" s="76" t="s">
        <v>1546</v>
      </c>
      <c r="D73" s="76" t="s">
        <v>1547</v>
      </c>
      <c r="E73" s="86">
        <v>0.5</v>
      </c>
      <c r="F73" s="76" t="s">
        <v>1091</v>
      </c>
      <c r="G73" s="76" t="s">
        <v>1541</v>
      </c>
      <c r="H73" s="76" t="s">
        <v>1542</v>
      </c>
      <c r="I73" s="76" t="s">
        <v>1548</v>
      </c>
      <c r="J73" s="76"/>
      <c r="K73" s="76" t="s">
        <v>1544</v>
      </c>
      <c r="L73" s="76" t="s">
        <v>1244</v>
      </c>
      <c r="M73" s="117">
        <v>10000</v>
      </c>
      <c r="N73" s="117">
        <v>120000</v>
      </c>
      <c r="O73" s="76"/>
      <c r="P73" s="76"/>
      <c r="Q73" s="76"/>
      <c r="R73" s="76"/>
      <c r="S73" s="76"/>
    </row>
    <row r="74" spans="1:19">
      <c r="A74" s="576">
        <v>23</v>
      </c>
      <c r="B74" s="588" t="s">
        <v>161</v>
      </c>
      <c r="C74" s="109" t="s">
        <v>1549</v>
      </c>
      <c r="D74" s="109" t="s">
        <v>1550</v>
      </c>
      <c r="E74" s="73"/>
      <c r="F74" s="73"/>
      <c r="G74" s="73"/>
      <c r="H74" s="73"/>
      <c r="I74" s="73"/>
      <c r="J74" s="73"/>
      <c r="K74" s="120">
        <v>44568</v>
      </c>
      <c r="L74" s="120">
        <v>44568</v>
      </c>
      <c r="M74" s="129">
        <v>1846.5</v>
      </c>
      <c r="N74" s="129">
        <v>1846.5</v>
      </c>
      <c r="O74" s="129">
        <v>1846.5</v>
      </c>
      <c r="P74" s="74"/>
      <c r="Q74" s="74"/>
      <c r="R74" s="74"/>
      <c r="S74" s="74"/>
    </row>
    <row r="75" spans="1:19" ht="24">
      <c r="A75" s="584"/>
      <c r="B75" s="612"/>
      <c r="C75" s="109" t="s">
        <v>1551</v>
      </c>
      <c r="D75" s="109" t="s">
        <v>1552</v>
      </c>
      <c r="E75" s="73"/>
      <c r="F75" s="73"/>
      <c r="G75" s="73"/>
      <c r="H75" s="73"/>
      <c r="I75" s="73"/>
      <c r="J75" s="73"/>
      <c r="K75" s="120">
        <v>44579</v>
      </c>
      <c r="L75" s="120">
        <v>44579</v>
      </c>
      <c r="M75" s="129">
        <v>408</v>
      </c>
      <c r="N75" s="129">
        <v>408</v>
      </c>
      <c r="O75" s="129">
        <v>408</v>
      </c>
      <c r="P75" s="74"/>
      <c r="Q75" s="74"/>
      <c r="R75" s="74"/>
      <c r="S75" s="74"/>
    </row>
    <row r="76" spans="1:19" ht="48">
      <c r="A76" s="584"/>
      <c r="B76" s="612"/>
      <c r="C76" s="109" t="s">
        <v>1553</v>
      </c>
      <c r="D76" s="109" t="s">
        <v>1554</v>
      </c>
      <c r="E76" s="73"/>
      <c r="F76" s="73"/>
      <c r="G76" s="73"/>
      <c r="H76" s="73"/>
      <c r="I76" s="73"/>
      <c r="J76" s="73"/>
      <c r="K76" s="120">
        <v>44595</v>
      </c>
      <c r="L76" s="120">
        <v>44595</v>
      </c>
      <c r="M76" s="129">
        <v>4340</v>
      </c>
      <c r="N76" s="129">
        <v>4340</v>
      </c>
      <c r="O76" s="129">
        <v>4340</v>
      </c>
      <c r="P76" s="74"/>
      <c r="Q76" s="74"/>
      <c r="R76" s="74"/>
      <c r="S76" s="74"/>
    </row>
    <row r="77" spans="1:19" ht="24">
      <c r="A77" s="584"/>
      <c r="B77" s="612"/>
      <c r="C77" s="109" t="s">
        <v>1555</v>
      </c>
      <c r="D77" s="109" t="s">
        <v>1556</v>
      </c>
      <c r="E77" s="73"/>
      <c r="F77" s="73"/>
      <c r="G77" s="73"/>
      <c r="H77" s="73"/>
      <c r="I77" s="73"/>
      <c r="J77" s="73"/>
      <c r="K77" s="120">
        <v>44627</v>
      </c>
      <c r="L77" s="120">
        <v>44627</v>
      </c>
      <c r="M77" s="129">
        <v>1210</v>
      </c>
      <c r="N77" s="129">
        <v>1210</v>
      </c>
      <c r="O77" s="129">
        <v>1210</v>
      </c>
      <c r="P77" s="74"/>
      <c r="Q77" s="74"/>
      <c r="R77" s="74"/>
      <c r="S77" s="74"/>
    </row>
    <row r="78" spans="1:19" ht="48">
      <c r="A78" s="577"/>
      <c r="B78" s="589"/>
      <c r="C78" s="109" t="s">
        <v>1557</v>
      </c>
      <c r="D78" s="109" t="s">
        <v>1558</v>
      </c>
      <c r="E78" s="73"/>
      <c r="F78" s="73"/>
      <c r="G78" s="73"/>
      <c r="H78" s="73"/>
      <c r="I78" s="73"/>
      <c r="J78" s="73"/>
      <c r="K78" s="120">
        <v>44728</v>
      </c>
      <c r="L78" s="120">
        <v>44728</v>
      </c>
      <c r="M78" s="129">
        <v>5000</v>
      </c>
      <c r="N78" s="129">
        <v>5000</v>
      </c>
      <c r="O78" s="129">
        <v>5000</v>
      </c>
      <c r="P78" s="74"/>
      <c r="Q78" s="74"/>
      <c r="R78" s="74"/>
      <c r="S78" s="74"/>
    </row>
    <row r="79" spans="1:19">
      <c r="A79" s="571">
        <v>24</v>
      </c>
      <c r="B79" s="580" t="s">
        <v>729</v>
      </c>
      <c r="C79" s="77" t="s">
        <v>1559</v>
      </c>
      <c r="D79" s="76" t="s">
        <v>1560</v>
      </c>
      <c r="E79" s="76"/>
      <c r="F79" s="76" t="s">
        <v>1256</v>
      </c>
      <c r="G79" s="76" t="s">
        <v>1257</v>
      </c>
      <c r="H79" s="76"/>
      <c r="I79" s="76"/>
      <c r="J79" s="76"/>
      <c r="K79" s="76"/>
      <c r="L79" s="76"/>
      <c r="M79" s="76"/>
      <c r="N79" s="76"/>
      <c r="O79" s="76"/>
      <c r="P79" s="76"/>
      <c r="Q79" s="76"/>
      <c r="R79" s="76"/>
      <c r="S79" s="117">
        <v>343408.16999999993</v>
      </c>
    </row>
    <row r="80" spans="1:19">
      <c r="A80" s="572"/>
      <c r="B80" s="581"/>
      <c r="C80" s="77" t="s">
        <v>1561</v>
      </c>
      <c r="D80" s="76" t="s">
        <v>1560</v>
      </c>
      <c r="E80" s="76"/>
      <c r="F80" s="76" t="s">
        <v>1256</v>
      </c>
      <c r="G80" s="76" t="s">
        <v>1257</v>
      </c>
      <c r="H80" s="76"/>
      <c r="I80" s="76"/>
      <c r="J80" s="76"/>
      <c r="K80" s="76"/>
      <c r="L80" s="76"/>
      <c r="M80" s="76"/>
      <c r="N80" s="76"/>
      <c r="O80" s="76"/>
      <c r="P80" s="76"/>
      <c r="Q80" s="76"/>
      <c r="R80" s="76"/>
      <c r="S80" s="117">
        <v>128115.3</v>
      </c>
    </row>
    <row r="81" spans="1:19">
      <c r="A81" s="572"/>
      <c r="B81" s="581"/>
      <c r="C81" s="77" t="s">
        <v>1562</v>
      </c>
      <c r="D81" s="76" t="s">
        <v>1560</v>
      </c>
      <c r="E81" s="76"/>
      <c r="F81" s="76" t="s">
        <v>1256</v>
      </c>
      <c r="G81" s="76" t="s">
        <v>1257</v>
      </c>
      <c r="H81" s="76"/>
      <c r="I81" s="76"/>
      <c r="J81" s="76"/>
      <c r="K81" s="76"/>
      <c r="L81" s="76"/>
      <c r="M81" s="76"/>
      <c r="N81" s="76"/>
      <c r="O81" s="76"/>
      <c r="P81" s="76"/>
      <c r="Q81" s="76"/>
      <c r="R81" s="76"/>
      <c r="S81" s="117">
        <v>471523.46999999991</v>
      </c>
    </row>
    <row r="82" spans="1:19">
      <c r="A82" s="572"/>
      <c r="B82" s="581"/>
      <c r="C82" s="77" t="s">
        <v>1563</v>
      </c>
      <c r="D82" s="76" t="s">
        <v>1560</v>
      </c>
      <c r="E82" s="76"/>
      <c r="F82" s="76" t="s">
        <v>1256</v>
      </c>
      <c r="G82" s="76" t="s">
        <v>1257</v>
      </c>
      <c r="H82" s="76"/>
      <c r="I82" s="76"/>
      <c r="J82" s="76"/>
      <c r="K82" s="76"/>
      <c r="L82" s="76"/>
      <c r="M82" s="76"/>
      <c r="N82" s="76"/>
      <c r="O82" s="76"/>
      <c r="P82" s="76"/>
      <c r="Q82" s="76"/>
      <c r="R82" s="76"/>
      <c r="S82" s="117">
        <v>1750</v>
      </c>
    </row>
    <row r="83" spans="1:19">
      <c r="A83" s="572"/>
      <c r="B83" s="581"/>
      <c r="C83" s="77" t="s">
        <v>1564</v>
      </c>
      <c r="D83" s="76" t="s">
        <v>1560</v>
      </c>
      <c r="E83" s="76"/>
      <c r="F83" s="76" t="s">
        <v>1256</v>
      </c>
      <c r="G83" s="76" t="s">
        <v>1257</v>
      </c>
      <c r="H83" s="76"/>
      <c r="I83" s="76"/>
      <c r="J83" s="76"/>
      <c r="K83" s="76"/>
      <c r="L83" s="76"/>
      <c r="M83" s="76"/>
      <c r="N83" s="76"/>
      <c r="O83" s="76"/>
      <c r="P83" s="76"/>
      <c r="Q83" s="76"/>
      <c r="R83" s="76"/>
      <c r="S83" s="117">
        <v>29001</v>
      </c>
    </row>
    <row r="84" spans="1:19">
      <c r="A84" s="572"/>
      <c r="B84" s="581"/>
      <c r="C84" s="77" t="s">
        <v>1565</v>
      </c>
      <c r="D84" s="76" t="s">
        <v>1560</v>
      </c>
      <c r="E84" s="76"/>
      <c r="F84" s="76" t="s">
        <v>1256</v>
      </c>
      <c r="G84" s="76" t="s">
        <v>1257</v>
      </c>
      <c r="H84" s="76"/>
      <c r="I84" s="76"/>
      <c r="J84" s="76"/>
      <c r="K84" s="76"/>
      <c r="L84" s="76"/>
      <c r="M84" s="76"/>
      <c r="N84" s="76"/>
      <c r="O84" s="76"/>
      <c r="P84" s="76"/>
      <c r="Q84" s="76"/>
      <c r="R84" s="76"/>
      <c r="S84" s="117">
        <v>9935</v>
      </c>
    </row>
    <row r="85" spans="1:19">
      <c r="A85" s="572"/>
      <c r="B85" s="581"/>
      <c r="C85" s="77" t="s">
        <v>1566</v>
      </c>
      <c r="D85" s="76" t="s">
        <v>1560</v>
      </c>
      <c r="E85" s="76"/>
      <c r="F85" s="76" t="s">
        <v>1256</v>
      </c>
      <c r="G85" s="76" t="s">
        <v>1257</v>
      </c>
      <c r="H85" s="76"/>
      <c r="I85" s="76"/>
      <c r="J85" s="76"/>
      <c r="K85" s="76"/>
      <c r="L85" s="76"/>
      <c r="M85" s="76"/>
      <c r="N85" s="76"/>
      <c r="O85" s="76"/>
      <c r="P85" s="76"/>
      <c r="Q85" s="76"/>
      <c r="R85" s="76"/>
      <c r="S85" s="117">
        <v>90845</v>
      </c>
    </row>
    <row r="86" spans="1:19">
      <c r="A86" s="572"/>
      <c r="B86" s="581"/>
      <c r="C86" s="77" t="s">
        <v>1567</v>
      </c>
      <c r="D86" s="76" t="s">
        <v>1560</v>
      </c>
      <c r="E86" s="76"/>
      <c r="F86" s="76" t="s">
        <v>1256</v>
      </c>
      <c r="G86" s="76" t="s">
        <v>1257</v>
      </c>
      <c r="H86" s="76"/>
      <c r="I86" s="76"/>
      <c r="J86" s="76"/>
      <c r="K86" s="76"/>
      <c r="L86" s="76"/>
      <c r="M86" s="76"/>
      <c r="N86" s="76"/>
      <c r="O86" s="76"/>
      <c r="P86" s="76"/>
      <c r="Q86" s="76"/>
      <c r="R86" s="76"/>
      <c r="S86" s="117">
        <v>22200</v>
      </c>
    </row>
    <row r="87" spans="1:19">
      <c r="A87" s="573"/>
      <c r="B87" s="582"/>
      <c r="C87" s="77" t="s">
        <v>1568</v>
      </c>
      <c r="D87" s="76" t="s">
        <v>1560</v>
      </c>
      <c r="E87" s="76"/>
      <c r="F87" s="76" t="s">
        <v>1256</v>
      </c>
      <c r="G87" s="76" t="s">
        <v>1257</v>
      </c>
      <c r="H87" s="76"/>
      <c r="I87" s="76"/>
      <c r="J87" s="76"/>
      <c r="K87" s="76"/>
      <c r="L87" s="76"/>
      <c r="M87" s="76"/>
      <c r="N87" s="76"/>
      <c r="O87" s="76"/>
      <c r="P87" s="76"/>
      <c r="Q87" s="76"/>
      <c r="R87" s="76"/>
      <c r="S87" s="117">
        <v>11961.11</v>
      </c>
    </row>
    <row r="88" spans="1:19" ht="48">
      <c r="A88" s="576">
        <v>29</v>
      </c>
      <c r="B88" s="588" t="s">
        <v>752</v>
      </c>
      <c r="C88" s="110" t="s">
        <v>1569</v>
      </c>
      <c r="D88" s="110" t="s">
        <v>1570</v>
      </c>
      <c r="E88" s="110" t="s">
        <v>1295</v>
      </c>
      <c r="F88" s="110" t="s">
        <v>1571</v>
      </c>
      <c r="G88" s="110" t="s">
        <v>1295</v>
      </c>
      <c r="H88" s="110" t="s">
        <v>1295</v>
      </c>
      <c r="I88" s="110" t="s">
        <v>1295</v>
      </c>
      <c r="J88" s="110" t="s">
        <v>1295</v>
      </c>
      <c r="K88" s="110"/>
      <c r="L88" s="130"/>
      <c r="M88" s="110"/>
      <c r="N88" s="111"/>
      <c r="O88" s="110"/>
      <c r="P88" s="110"/>
      <c r="Q88" s="130">
        <v>44582</v>
      </c>
      <c r="R88" s="111">
        <v>1125</v>
      </c>
      <c r="S88" s="110"/>
    </row>
    <row r="89" spans="1:19" ht="36">
      <c r="A89" s="584"/>
      <c r="B89" s="612"/>
      <c r="C89" s="110" t="s">
        <v>1572</v>
      </c>
      <c r="D89" s="110" t="s">
        <v>1573</v>
      </c>
      <c r="E89" s="110" t="s">
        <v>1295</v>
      </c>
      <c r="F89" s="110" t="s">
        <v>1574</v>
      </c>
      <c r="G89" s="110" t="s">
        <v>1295</v>
      </c>
      <c r="H89" s="110" t="s">
        <v>1295</v>
      </c>
      <c r="I89" s="110" t="s">
        <v>1295</v>
      </c>
      <c r="J89" s="110" t="s">
        <v>1295</v>
      </c>
      <c r="K89" s="110"/>
      <c r="L89" s="130"/>
      <c r="M89" s="110"/>
      <c r="N89" s="111"/>
      <c r="O89" s="110"/>
      <c r="P89" s="110"/>
      <c r="Q89" s="130">
        <v>44607</v>
      </c>
      <c r="R89" s="111">
        <v>7096</v>
      </c>
      <c r="S89" s="110"/>
    </row>
    <row r="90" spans="1:19" ht="36">
      <c r="A90" s="584"/>
      <c r="B90" s="612"/>
      <c r="C90" s="110" t="s">
        <v>1575</v>
      </c>
      <c r="D90" s="110" t="s">
        <v>1576</v>
      </c>
      <c r="E90" s="110" t="s">
        <v>1295</v>
      </c>
      <c r="F90" s="110" t="s">
        <v>1296</v>
      </c>
      <c r="G90" s="110" t="s">
        <v>1295</v>
      </c>
      <c r="H90" s="110" t="s">
        <v>1295</v>
      </c>
      <c r="I90" s="110" t="s">
        <v>1295</v>
      </c>
      <c r="J90" s="110" t="s">
        <v>1295</v>
      </c>
      <c r="K90" s="110"/>
      <c r="L90" s="130"/>
      <c r="M90" s="110"/>
      <c r="N90" s="111"/>
      <c r="O90" s="110"/>
      <c r="P90" s="110"/>
      <c r="Q90" s="130">
        <v>44614</v>
      </c>
      <c r="R90" s="111">
        <v>9600</v>
      </c>
      <c r="S90" s="110"/>
    </row>
    <row r="91" spans="1:19" ht="60">
      <c r="A91" s="584"/>
      <c r="B91" s="612"/>
      <c r="C91" s="110" t="s">
        <v>1577</v>
      </c>
      <c r="D91" s="110" t="s">
        <v>1578</v>
      </c>
      <c r="E91" s="110" t="s">
        <v>1295</v>
      </c>
      <c r="F91" s="110" t="s">
        <v>1571</v>
      </c>
      <c r="G91" s="110" t="s">
        <v>1295</v>
      </c>
      <c r="H91" s="110" t="s">
        <v>1295</v>
      </c>
      <c r="I91" s="110" t="s">
        <v>1295</v>
      </c>
      <c r="J91" s="110" t="s">
        <v>1295</v>
      </c>
      <c r="K91" s="110"/>
      <c r="L91" s="130"/>
      <c r="M91" s="110"/>
      <c r="N91" s="111"/>
      <c r="O91" s="110"/>
      <c r="P91" s="110"/>
      <c r="Q91" s="130">
        <v>44635</v>
      </c>
      <c r="R91" s="111">
        <v>1950</v>
      </c>
      <c r="S91" s="110"/>
    </row>
    <row r="92" spans="1:19" ht="36">
      <c r="A92" s="584"/>
      <c r="B92" s="612"/>
      <c r="C92" s="110" t="s">
        <v>1579</v>
      </c>
      <c r="D92" s="110" t="s">
        <v>1580</v>
      </c>
      <c r="E92" s="110" t="s">
        <v>1295</v>
      </c>
      <c r="F92" s="110" t="s">
        <v>1571</v>
      </c>
      <c r="G92" s="110" t="s">
        <v>1295</v>
      </c>
      <c r="H92" s="110" t="s">
        <v>1295</v>
      </c>
      <c r="I92" s="110" t="s">
        <v>1295</v>
      </c>
      <c r="J92" s="110" t="s">
        <v>1295</v>
      </c>
      <c r="K92" s="110"/>
      <c r="L92" s="130">
        <v>44644</v>
      </c>
      <c r="M92" s="110"/>
      <c r="N92" s="111">
        <v>500</v>
      </c>
      <c r="O92" s="110"/>
      <c r="P92" s="110"/>
      <c r="Q92" s="130"/>
      <c r="R92" s="111"/>
      <c r="S92" s="110"/>
    </row>
    <row r="93" spans="1:19" ht="72">
      <c r="A93" s="584"/>
      <c r="B93" s="612"/>
      <c r="C93" s="110" t="s">
        <v>1581</v>
      </c>
      <c r="D93" s="110" t="s">
        <v>1582</v>
      </c>
      <c r="E93" s="110" t="s">
        <v>1295</v>
      </c>
      <c r="F93" s="110" t="s">
        <v>1574</v>
      </c>
      <c r="G93" s="110" t="s">
        <v>1295</v>
      </c>
      <c r="H93" s="110" t="s">
        <v>1295</v>
      </c>
      <c r="I93" s="110" t="s">
        <v>1295</v>
      </c>
      <c r="J93" s="110" t="s">
        <v>1295</v>
      </c>
      <c r="K93" s="110"/>
      <c r="L93" s="130">
        <v>44645</v>
      </c>
      <c r="M93" s="110"/>
      <c r="N93" s="111">
        <v>50000</v>
      </c>
      <c r="O93" s="110"/>
      <c r="P93" s="110"/>
      <c r="Q93" s="130"/>
      <c r="R93" s="111"/>
      <c r="S93" s="110"/>
    </row>
    <row r="94" spans="1:19" ht="36">
      <c r="A94" s="584"/>
      <c r="B94" s="612"/>
      <c r="C94" s="110" t="s">
        <v>1583</v>
      </c>
      <c r="D94" s="110" t="s">
        <v>1584</v>
      </c>
      <c r="E94" s="110" t="s">
        <v>1295</v>
      </c>
      <c r="F94" s="110" t="s">
        <v>1296</v>
      </c>
      <c r="G94" s="110" t="s">
        <v>1295</v>
      </c>
      <c r="H94" s="110" t="s">
        <v>1295</v>
      </c>
      <c r="I94" s="110" t="s">
        <v>1295</v>
      </c>
      <c r="J94" s="110" t="s">
        <v>1295</v>
      </c>
      <c r="K94" s="110"/>
      <c r="L94" s="130"/>
      <c r="M94" s="110"/>
      <c r="N94" s="111"/>
      <c r="O94" s="110"/>
      <c r="P94" s="110"/>
      <c r="Q94" s="130">
        <v>44657</v>
      </c>
      <c r="R94" s="111">
        <v>2400</v>
      </c>
      <c r="S94" s="110"/>
    </row>
    <row r="95" spans="1:19" ht="48">
      <c r="A95" s="584"/>
      <c r="B95" s="612"/>
      <c r="C95" s="110" t="s">
        <v>1585</v>
      </c>
      <c r="D95" s="110" t="s">
        <v>1586</v>
      </c>
      <c r="E95" s="110" t="s">
        <v>1295</v>
      </c>
      <c r="F95" s="110" t="s">
        <v>1571</v>
      </c>
      <c r="G95" s="110" t="s">
        <v>1295</v>
      </c>
      <c r="H95" s="110" t="s">
        <v>1295</v>
      </c>
      <c r="I95" s="110" t="s">
        <v>1295</v>
      </c>
      <c r="J95" s="110" t="s">
        <v>1295</v>
      </c>
      <c r="K95" s="110"/>
      <c r="L95" s="130"/>
      <c r="M95" s="110"/>
      <c r="N95" s="111"/>
      <c r="O95" s="110"/>
      <c r="P95" s="110"/>
      <c r="Q95" s="130">
        <v>44672</v>
      </c>
      <c r="R95" s="111">
        <v>4900</v>
      </c>
      <c r="S95" s="110"/>
    </row>
    <row r="96" spans="1:19" ht="36">
      <c r="A96" s="584"/>
      <c r="B96" s="612"/>
      <c r="C96" s="110" t="s">
        <v>1587</v>
      </c>
      <c r="D96" s="110" t="s">
        <v>1294</v>
      </c>
      <c r="E96" s="110" t="s">
        <v>1295</v>
      </c>
      <c r="F96" s="110" t="s">
        <v>1296</v>
      </c>
      <c r="G96" s="110" t="s">
        <v>1295</v>
      </c>
      <c r="H96" s="110" t="s">
        <v>1295</v>
      </c>
      <c r="I96" s="110" t="s">
        <v>1295</v>
      </c>
      <c r="J96" s="110" t="s">
        <v>1295</v>
      </c>
      <c r="K96" s="110"/>
      <c r="L96" s="130"/>
      <c r="M96" s="110"/>
      <c r="N96" s="111"/>
      <c r="O96" s="110"/>
      <c r="P96" s="110"/>
      <c r="Q96" s="130">
        <v>44677</v>
      </c>
      <c r="R96" s="111">
        <v>3200</v>
      </c>
      <c r="S96" s="110"/>
    </row>
    <row r="97" spans="1:19" ht="36">
      <c r="A97" s="584"/>
      <c r="B97" s="612"/>
      <c r="C97" s="110" t="s">
        <v>1588</v>
      </c>
      <c r="D97" s="110" t="s">
        <v>1589</v>
      </c>
      <c r="E97" s="110" t="s">
        <v>1295</v>
      </c>
      <c r="F97" s="110" t="s">
        <v>1296</v>
      </c>
      <c r="G97" s="110" t="s">
        <v>1295</v>
      </c>
      <c r="H97" s="110" t="s">
        <v>1295</v>
      </c>
      <c r="I97" s="110" t="s">
        <v>1295</v>
      </c>
      <c r="J97" s="110" t="s">
        <v>1295</v>
      </c>
      <c r="K97" s="110"/>
      <c r="L97" s="130"/>
      <c r="M97" s="110"/>
      <c r="N97" s="111"/>
      <c r="O97" s="110"/>
      <c r="P97" s="110"/>
      <c r="Q97" s="130" t="s">
        <v>1590</v>
      </c>
      <c r="R97" s="111">
        <v>9600</v>
      </c>
      <c r="S97" s="110"/>
    </row>
    <row r="98" spans="1:19" ht="36">
      <c r="A98" s="584"/>
      <c r="B98" s="612"/>
      <c r="C98" s="110" t="s">
        <v>1591</v>
      </c>
      <c r="D98" s="110" t="s">
        <v>1592</v>
      </c>
      <c r="E98" s="110" t="s">
        <v>1295</v>
      </c>
      <c r="F98" s="110" t="s">
        <v>1296</v>
      </c>
      <c r="G98" s="110" t="s">
        <v>1295</v>
      </c>
      <c r="H98" s="110" t="s">
        <v>1295</v>
      </c>
      <c r="I98" s="110" t="s">
        <v>1295</v>
      </c>
      <c r="J98" s="110" t="s">
        <v>1295</v>
      </c>
      <c r="K98" s="110"/>
      <c r="L98" s="130"/>
      <c r="M98" s="110"/>
      <c r="N98" s="111"/>
      <c r="O98" s="110"/>
      <c r="P98" s="110"/>
      <c r="Q98" s="130" t="s">
        <v>1593</v>
      </c>
      <c r="R98" s="111">
        <v>9600</v>
      </c>
      <c r="S98" s="110"/>
    </row>
    <row r="99" spans="1:19" ht="36">
      <c r="A99" s="584"/>
      <c r="B99" s="612"/>
      <c r="C99" s="110" t="s">
        <v>1594</v>
      </c>
      <c r="D99" s="110" t="s">
        <v>1595</v>
      </c>
      <c r="E99" s="110" t="s">
        <v>1295</v>
      </c>
      <c r="F99" s="110" t="s">
        <v>1574</v>
      </c>
      <c r="G99" s="110" t="s">
        <v>1295</v>
      </c>
      <c r="H99" s="110" t="s">
        <v>1295</v>
      </c>
      <c r="I99" s="110" t="s">
        <v>1295</v>
      </c>
      <c r="J99" s="110" t="s">
        <v>1295</v>
      </c>
      <c r="K99" s="110"/>
      <c r="L99" s="130">
        <v>44742</v>
      </c>
      <c r="M99" s="110"/>
      <c r="N99" s="111">
        <v>800</v>
      </c>
      <c r="O99" s="110"/>
      <c r="P99" s="110"/>
      <c r="Q99" s="130"/>
      <c r="R99" s="111"/>
      <c r="S99" s="110"/>
    </row>
    <row r="100" spans="1:19" ht="60">
      <c r="A100" s="584"/>
      <c r="B100" s="612"/>
      <c r="C100" s="110" t="s">
        <v>1596</v>
      </c>
      <c r="D100" s="110" t="s">
        <v>1597</v>
      </c>
      <c r="E100" s="110" t="s">
        <v>1295</v>
      </c>
      <c r="F100" s="110" t="s">
        <v>1296</v>
      </c>
      <c r="G100" s="110" t="s">
        <v>1295</v>
      </c>
      <c r="H100" s="110" t="s">
        <v>1295</v>
      </c>
      <c r="I100" s="110" t="s">
        <v>1295</v>
      </c>
      <c r="J100" s="110" t="s">
        <v>1295</v>
      </c>
      <c r="K100" s="110"/>
      <c r="L100" s="130">
        <v>44746</v>
      </c>
      <c r="M100" s="110"/>
      <c r="N100" s="111">
        <v>1000</v>
      </c>
      <c r="O100" s="110"/>
      <c r="P100" s="110"/>
      <c r="Q100" s="130"/>
      <c r="R100" s="111"/>
      <c r="S100" s="110"/>
    </row>
    <row r="101" spans="1:19" ht="36">
      <c r="A101" s="584"/>
      <c r="B101" s="612"/>
      <c r="C101" s="110" t="s">
        <v>1598</v>
      </c>
      <c r="D101" s="110" t="s">
        <v>1599</v>
      </c>
      <c r="E101" s="110" t="s">
        <v>1295</v>
      </c>
      <c r="F101" s="110" t="s">
        <v>1571</v>
      </c>
      <c r="G101" s="110" t="s">
        <v>1295</v>
      </c>
      <c r="H101" s="110" t="s">
        <v>1295</v>
      </c>
      <c r="I101" s="110" t="s">
        <v>1295</v>
      </c>
      <c r="J101" s="110" t="s">
        <v>1295</v>
      </c>
      <c r="K101" s="110"/>
      <c r="L101" s="130"/>
      <c r="M101" s="110"/>
      <c r="N101" s="111"/>
      <c r="O101" s="110"/>
      <c r="P101" s="110"/>
      <c r="Q101" s="130" t="s">
        <v>1600</v>
      </c>
      <c r="R101" s="111">
        <v>16800</v>
      </c>
      <c r="S101" s="110"/>
    </row>
    <row r="102" spans="1:19" ht="60">
      <c r="A102" s="584"/>
      <c r="B102" s="612"/>
      <c r="C102" s="110" t="s">
        <v>1601</v>
      </c>
      <c r="D102" s="110" t="s">
        <v>1602</v>
      </c>
      <c r="E102" s="110" t="s">
        <v>1295</v>
      </c>
      <c r="F102" s="110" t="s">
        <v>1571</v>
      </c>
      <c r="G102" s="110" t="s">
        <v>1295</v>
      </c>
      <c r="H102" s="110" t="s">
        <v>1295</v>
      </c>
      <c r="I102" s="110" t="s">
        <v>1295</v>
      </c>
      <c r="J102" s="110" t="s">
        <v>1295</v>
      </c>
      <c r="K102" s="110"/>
      <c r="L102" s="130"/>
      <c r="M102" s="110"/>
      <c r="N102" s="111"/>
      <c r="O102" s="110"/>
      <c r="P102" s="110"/>
      <c r="Q102" s="130">
        <v>44807</v>
      </c>
      <c r="R102" s="111">
        <v>4800</v>
      </c>
      <c r="S102" s="110"/>
    </row>
    <row r="103" spans="1:19" ht="36">
      <c r="A103" s="584"/>
      <c r="B103" s="612"/>
      <c r="C103" s="110" t="s">
        <v>1603</v>
      </c>
      <c r="D103" s="110" t="s">
        <v>1604</v>
      </c>
      <c r="E103" s="110" t="s">
        <v>1295</v>
      </c>
      <c r="F103" s="110" t="s">
        <v>1571</v>
      </c>
      <c r="G103" s="110" t="s">
        <v>1295</v>
      </c>
      <c r="H103" s="110" t="s">
        <v>1295</v>
      </c>
      <c r="I103" s="110" t="s">
        <v>1295</v>
      </c>
      <c r="J103" s="110" t="s">
        <v>1295</v>
      </c>
      <c r="K103" s="110"/>
      <c r="L103" s="130"/>
      <c r="M103" s="110"/>
      <c r="N103" s="111"/>
      <c r="O103" s="110"/>
      <c r="P103" s="110"/>
      <c r="Q103" s="130" t="s">
        <v>1605</v>
      </c>
      <c r="R103" s="111">
        <v>10800</v>
      </c>
      <c r="S103" s="110"/>
    </row>
    <row r="104" spans="1:19" ht="36">
      <c r="A104" s="584"/>
      <c r="B104" s="612"/>
      <c r="C104" s="110" t="s">
        <v>1606</v>
      </c>
      <c r="D104" s="110" t="s">
        <v>1607</v>
      </c>
      <c r="E104" s="110" t="s">
        <v>1295</v>
      </c>
      <c r="F104" s="110" t="s">
        <v>1574</v>
      </c>
      <c r="G104" s="110" t="s">
        <v>1295</v>
      </c>
      <c r="H104" s="110" t="s">
        <v>1295</v>
      </c>
      <c r="I104" s="110" t="s">
        <v>1295</v>
      </c>
      <c r="J104" s="110" t="s">
        <v>1295</v>
      </c>
      <c r="K104" s="110"/>
      <c r="L104" s="130"/>
      <c r="M104" s="110"/>
      <c r="N104" s="111"/>
      <c r="O104" s="110"/>
      <c r="P104" s="110"/>
      <c r="Q104" s="130">
        <v>44848</v>
      </c>
      <c r="R104" s="111">
        <v>17570</v>
      </c>
      <c r="S104" s="110"/>
    </row>
    <row r="105" spans="1:19" ht="48">
      <c r="A105" s="584"/>
      <c r="B105" s="612"/>
      <c r="C105" s="110" t="s">
        <v>1608</v>
      </c>
      <c r="D105" s="110" t="s">
        <v>1609</v>
      </c>
      <c r="E105" s="110" t="s">
        <v>1295</v>
      </c>
      <c r="F105" s="110" t="s">
        <v>1296</v>
      </c>
      <c r="G105" s="110" t="s">
        <v>1295</v>
      </c>
      <c r="H105" s="110" t="s">
        <v>1295</v>
      </c>
      <c r="I105" s="110" t="s">
        <v>1295</v>
      </c>
      <c r="J105" s="110" t="s">
        <v>1295</v>
      </c>
      <c r="K105" s="110"/>
      <c r="L105" s="130"/>
      <c r="M105" s="110"/>
      <c r="N105" s="111"/>
      <c r="O105" s="110"/>
      <c r="P105" s="110"/>
      <c r="Q105" s="130">
        <v>44851</v>
      </c>
      <c r="R105" s="111">
        <v>3600</v>
      </c>
      <c r="S105" s="110"/>
    </row>
    <row r="106" spans="1:19" ht="36">
      <c r="A106" s="584"/>
      <c r="B106" s="612"/>
      <c r="C106" s="110" t="s">
        <v>1610</v>
      </c>
      <c r="D106" s="110" t="s">
        <v>1611</v>
      </c>
      <c r="E106" s="110" t="s">
        <v>1295</v>
      </c>
      <c r="F106" s="110" t="s">
        <v>1296</v>
      </c>
      <c r="G106" s="110" t="s">
        <v>1295</v>
      </c>
      <c r="H106" s="110" t="s">
        <v>1295</v>
      </c>
      <c r="I106" s="110" t="s">
        <v>1295</v>
      </c>
      <c r="J106" s="110" t="s">
        <v>1295</v>
      </c>
      <c r="K106" s="110"/>
      <c r="L106" s="130"/>
      <c r="M106" s="110"/>
      <c r="N106" s="111"/>
      <c r="O106" s="110"/>
      <c r="P106" s="110"/>
      <c r="Q106" s="130">
        <v>44866</v>
      </c>
      <c r="R106" s="111">
        <v>4800</v>
      </c>
      <c r="S106" s="110"/>
    </row>
    <row r="107" spans="1:19" ht="48">
      <c r="A107" s="584"/>
      <c r="B107" s="612"/>
      <c r="C107" s="110" t="s">
        <v>1612</v>
      </c>
      <c r="D107" s="110" t="s">
        <v>1613</v>
      </c>
      <c r="E107" s="110" t="s">
        <v>1295</v>
      </c>
      <c r="F107" s="110" t="s">
        <v>1571</v>
      </c>
      <c r="G107" s="110" t="s">
        <v>1295</v>
      </c>
      <c r="H107" s="110" t="s">
        <v>1295</v>
      </c>
      <c r="I107" s="110" t="s">
        <v>1295</v>
      </c>
      <c r="J107" s="110" t="s">
        <v>1295</v>
      </c>
      <c r="K107" s="110"/>
      <c r="L107" s="130"/>
      <c r="M107" s="110"/>
      <c r="N107" s="111"/>
      <c r="O107" s="110"/>
      <c r="P107" s="110"/>
      <c r="Q107" s="130">
        <v>44874</v>
      </c>
      <c r="R107" s="111">
        <v>720</v>
      </c>
      <c r="S107" s="110"/>
    </row>
    <row r="108" spans="1:19" ht="48">
      <c r="A108" s="584"/>
      <c r="B108" s="612"/>
      <c r="C108" s="110" t="s">
        <v>1614</v>
      </c>
      <c r="D108" s="110" t="s">
        <v>1615</v>
      </c>
      <c r="E108" s="110" t="s">
        <v>1295</v>
      </c>
      <c r="F108" s="110" t="s">
        <v>1571</v>
      </c>
      <c r="G108" s="110" t="s">
        <v>1295</v>
      </c>
      <c r="H108" s="110" t="s">
        <v>1295</v>
      </c>
      <c r="I108" s="110" t="s">
        <v>1295</v>
      </c>
      <c r="J108" s="110" t="s">
        <v>1295</v>
      </c>
      <c r="K108" s="110"/>
      <c r="L108" s="130"/>
      <c r="M108" s="110"/>
      <c r="N108" s="111"/>
      <c r="O108" s="110"/>
      <c r="P108" s="110"/>
      <c r="Q108" s="130">
        <v>44533</v>
      </c>
      <c r="R108" s="111">
        <v>605</v>
      </c>
      <c r="S108" s="110"/>
    </row>
    <row r="109" spans="1:19" ht="48">
      <c r="A109" s="584"/>
      <c r="B109" s="612"/>
      <c r="C109" s="110" t="s">
        <v>1616</v>
      </c>
      <c r="D109" s="110" t="s">
        <v>1573</v>
      </c>
      <c r="E109" s="110" t="s">
        <v>1295</v>
      </c>
      <c r="F109" s="110" t="s">
        <v>1574</v>
      </c>
      <c r="G109" s="110" t="s">
        <v>1295</v>
      </c>
      <c r="H109" s="110" t="s">
        <v>1295</v>
      </c>
      <c r="I109" s="110" t="s">
        <v>1295</v>
      </c>
      <c r="J109" s="110" t="s">
        <v>1295</v>
      </c>
      <c r="K109" s="110"/>
      <c r="L109" s="130">
        <v>44898</v>
      </c>
      <c r="M109" s="110"/>
      <c r="N109" s="111">
        <v>1450</v>
      </c>
      <c r="O109" s="110"/>
      <c r="P109" s="110"/>
      <c r="Q109" s="130">
        <v>44898</v>
      </c>
      <c r="R109" s="111">
        <v>325</v>
      </c>
      <c r="S109" s="110"/>
    </row>
    <row r="110" spans="1:19" ht="36">
      <c r="A110" s="577"/>
      <c r="B110" s="589"/>
      <c r="C110" s="110" t="s">
        <v>1617</v>
      </c>
      <c r="D110" s="110" t="s">
        <v>1618</v>
      </c>
      <c r="E110" s="110" t="s">
        <v>1295</v>
      </c>
      <c r="F110" s="110" t="s">
        <v>1571</v>
      </c>
      <c r="G110" s="110" t="s">
        <v>1295</v>
      </c>
      <c r="H110" s="110" t="s">
        <v>1295</v>
      </c>
      <c r="I110" s="110" t="s">
        <v>1295</v>
      </c>
      <c r="J110" s="110" t="s">
        <v>1295</v>
      </c>
      <c r="K110" s="110"/>
      <c r="L110" s="130"/>
      <c r="M110" s="110"/>
      <c r="N110" s="111"/>
      <c r="O110" s="110"/>
      <c r="P110" s="110"/>
      <c r="Q110" s="130">
        <v>44902</v>
      </c>
      <c r="R110" s="111">
        <v>8100</v>
      </c>
      <c r="S110" s="110"/>
    </row>
    <row r="111" spans="1:19" ht="36">
      <c r="A111" s="571">
        <v>33</v>
      </c>
      <c r="B111" s="580" t="s">
        <v>767</v>
      </c>
      <c r="C111" s="78" t="s">
        <v>1619</v>
      </c>
      <c r="D111" s="78" t="s">
        <v>1620</v>
      </c>
      <c r="E111" s="78"/>
      <c r="F111" s="78" t="s">
        <v>1317</v>
      </c>
      <c r="G111" s="78" t="s">
        <v>1621</v>
      </c>
      <c r="H111" s="78" t="s">
        <v>1318</v>
      </c>
      <c r="I111" s="78" t="s">
        <v>1622</v>
      </c>
      <c r="J111" s="78" t="s">
        <v>1623</v>
      </c>
      <c r="K111" s="78" t="s">
        <v>1624</v>
      </c>
      <c r="L111" s="131" t="s">
        <v>1625</v>
      </c>
      <c r="M111" s="78"/>
      <c r="N111" s="114"/>
      <c r="O111" s="114">
        <v>188475.64</v>
      </c>
      <c r="P111" s="76"/>
      <c r="Q111" s="89"/>
      <c r="R111" s="117"/>
      <c r="S111" s="76"/>
    </row>
    <row r="112" spans="1:19" ht="24">
      <c r="A112" s="572"/>
      <c r="B112" s="581"/>
      <c r="C112" s="78" t="s">
        <v>1626</v>
      </c>
      <c r="D112" s="78" t="s">
        <v>1627</v>
      </c>
      <c r="E112" s="78"/>
      <c r="F112" s="78" t="s">
        <v>1317</v>
      </c>
      <c r="G112" s="78" t="s">
        <v>1621</v>
      </c>
      <c r="H112" s="78" t="s">
        <v>1318</v>
      </c>
      <c r="I112" s="78" t="s">
        <v>1628</v>
      </c>
      <c r="J112" s="78" t="s">
        <v>1629</v>
      </c>
      <c r="K112" s="78" t="s">
        <v>1326</v>
      </c>
      <c r="L112" s="131" t="s">
        <v>1335</v>
      </c>
      <c r="M112" s="78"/>
      <c r="N112" s="114"/>
      <c r="O112" s="114">
        <v>15000</v>
      </c>
      <c r="P112" s="76"/>
      <c r="Q112" s="89"/>
      <c r="R112" s="117"/>
      <c r="S112" s="76"/>
    </row>
    <row r="113" spans="1:19" ht="24">
      <c r="A113" s="572"/>
      <c r="B113" s="581"/>
      <c r="C113" s="78" t="s">
        <v>1630</v>
      </c>
      <c r="D113" s="78" t="s">
        <v>1631</v>
      </c>
      <c r="E113" s="78"/>
      <c r="F113" s="78" t="s">
        <v>1317</v>
      </c>
      <c r="G113" s="78" t="s">
        <v>1621</v>
      </c>
      <c r="H113" s="78" t="s">
        <v>1318</v>
      </c>
      <c r="I113" s="78" t="s">
        <v>1632</v>
      </c>
      <c r="J113" s="78" t="s">
        <v>1633</v>
      </c>
      <c r="K113" s="78" t="s">
        <v>1326</v>
      </c>
      <c r="L113" s="131" t="s">
        <v>1335</v>
      </c>
      <c r="M113" s="78"/>
      <c r="N113" s="114"/>
      <c r="O113" s="114">
        <v>21530</v>
      </c>
      <c r="P113" s="76"/>
      <c r="Q113" s="89"/>
      <c r="R113" s="117"/>
      <c r="S113" s="76"/>
    </row>
    <row r="114" spans="1:19" ht="24">
      <c r="A114" s="573"/>
      <c r="B114" s="582"/>
      <c r="C114" s="78" t="s">
        <v>1634</v>
      </c>
      <c r="D114" s="78" t="s">
        <v>1635</v>
      </c>
      <c r="E114" s="78"/>
      <c r="F114" s="78" t="s">
        <v>1317</v>
      </c>
      <c r="G114" s="78" t="s">
        <v>1621</v>
      </c>
      <c r="H114" s="78" t="s">
        <v>1318</v>
      </c>
      <c r="I114" s="78" t="s">
        <v>1636</v>
      </c>
      <c r="J114" s="78" t="s">
        <v>1637</v>
      </c>
      <c r="K114" s="78" t="s">
        <v>1326</v>
      </c>
      <c r="L114" s="131" t="s">
        <v>1335</v>
      </c>
      <c r="M114" s="78"/>
      <c r="N114" s="114"/>
      <c r="O114" s="114">
        <v>10800</v>
      </c>
      <c r="P114" s="76"/>
      <c r="Q114" s="89"/>
      <c r="R114" s="117"/>
      <c r="S114" s="76"/>
    </row>
    <row r="115" spans="1:19">
      <c r="A115" s="576">
        <v>57</v>
      </c>
      <c r="B115" s="576" t="s">
        <v>182</v>
      </c>
      <c r="C115" s="74" t="s">
        <v>1638</v>
      </c>
      <c r="D115" s="74" t="s">
        <v>1639</v>
      </c>
      <c r="E115" s="74">
        <v>0.56000000000000005</v>
      </c>
      <c r="F115" s="74" t="s">
        <v>1504</v>
      </c>
      <c r="G115" s="74" t="s">
        <v>1640</v>
      </c>
      <c r="H115" s="74" t="s">
        <v>1641</v>
      </c>
      <c r="I115" s="74"/>
      <c r="J115" s="74"/>
      <c r="K115" s="74"/>
      <c r="L115" s="132"/>
      <c r="M115" s="116"/>
      <c r="N115" s="116"/>
      <c r="O115" s="74"/>
      <c r="P115" s="74"/>
      <c r="Q115" s="132"/>
      <c r="R115" s="116"/>
      <c r="S115" s="74"/>
    </row>
    <row r="116" spans="1:19">
      <c r="A116" s="584"/>
      <c r="B116" s="584"/>
      <c r="C116" s="74" t="s">
        <v>1642</v>
      </c>
      <c r="D116" s="74"/>
      <c r="E116" s="74"/>
      <c r="F116" s="74"/>
      <c r="G116" s="74"/>
      <c r="H116" s="74"/>
      <c r="I116" s="74"/>
      <c r="J116" s="74"/>
      <c r="K116" s="74"/>
      <c r="L116" s="132"/>
      <c r="M116" s="116"/>
      <c r="N116" s="116"/>
      <c r="O116" s="74"/>
      <c r="P116" s="74"/>
      <c r="Q116" s="132"/>
      <c r="R116" s="116"/>
      <c r="S116" s="74"/>
    </row>
    <row r="117" spans="1:19">
      <c r="A117" s="584"/>
      <c r="B117" s="584"/>
      <c r="C117" s="74" t="s">
        <v>1643</v>
      </c>
      <c r="D117" s="74" t="s">
        <v>1644</v>
      </c>
      <c r="E117" s="74">
        <v>0.4</v>
      </c>
      <c r="F117" s="74" t="s">
        <v>1504</v>
      </c>
      <c r="G117" s="74" t="s">
        <v>1504</v>
      </c>
      <c r="H117" s="74" t="s">
        <v>1645</v>
      </c>
      <c r="I117" s="74"/>
      <c r="J117" s="74"/>
      <c r="K117" s="74"/>
      <c r="L117" s="132"/>
      <c r="M117" s="116">
        <v>100000</v>
      </c>
      <c r="N117" s="116"/>
      <c r="O117" s="74"/>
      <c r="P117" s="74"/>
      <c r="Q117" s="132"/>
      <c r="R117" s="116"/>
      <c r="S117" s="74"/>
    </row>
    <row r="118" spans="1:19">
      <c r="A118" s="584"/>
      <c r="B118" s="584"/>
      <c r="C118" s="74" t="s">
        <v>1646</v>
      </c>
      <c r="D118" s="74" t="s">
        <v>1647</v>
      </c>
      <c r="E118" s="74">
        <v>0.95</v>
      </c>
      <c r="F118" s="74" t="s">
        <v>1504</v>
      </c>
      <c r="G118" s="74" t="s">
        <v>1648</v>
      </c>
      <c r="H118" s="74" t="s">
        <v>1645</v>
      </c>
      <c r="I118" s="74"/>
      <c r="J118" s="74"/>
      <c r="K118" s="74"/>
      <c r="L118" s="132"/>
      <c r="M118" s="116">
        <v>444587.5</v>
      </c>
      <c r="N118" s="116"/>
      <c r="O118" s="74"/>
      <c r="P118" s="74"/>
      <c r="Q118" s="132"/>
      <c r="R118" s="116"/>
      <c r="S118" s="74"/>
    </row>
    <row r="119" spans="1:19">
      <c r="A119" s="584"/>
      <c r="B119" s="584"/>
      <c r="C119" s="74" t="s">
        <v>1649</v>
      </c>
      <c r="D119" s="74" t="s">
        <v>1650</v>
      </c>
      <c r="E119" s="74">
        <v>0.95</v>
      </c>
      <c r="F119" s="74" t="s">
        <v>1504</v>
      </c>
      <c r="G119" s="74" t="s">
        <v>1504</v>
      </c>
      <c r="H119" s="74" t="s">
        <v>1651</v>
      </c>
      <c r="I119" s="74"/>
      <c r="J119" s="74"/>
      <c r="K119" s="74"/>
      <c r="L119" s="132"/>
      <c r="M119" s="116">
        <v>26000</v>
      </c>
      <c r="N119" s="116"/>
      <c r="O119" s="74"/>
      <c r="P119" s="74"/>
      <c r="Q119" s="132"/>
      <c r="R119" s="116"/>
      <c r="S119" s="74"/>
    </row>
    <row r="120" spans="1:19">
      <c r="A120" s="584"/>
      <c r="B120" s="584"/>
      <c r="C120" s="74" t="s">
        <v>1652</v>
      </c>
      <c r="D120" s="74" t="s">
        <v>1653</v>
      </c>
      <c r="E120" s="74" t="s">
        <v>1504</v>
      </c>
      <c r="F120" s="74" t="s">
        <v>1504</v>
      </c>
      <c r="G120" s="74" t="s">
        <v>1504</v>
      </c>
      <c r="H120" s="74" t="s">
        <v>1654</v>
      </c>
      <c r="I120" s="74"/>
      <c r="J120" s="74"/>
      <c r="K120" s="74"/>
      <c r="L120" s="132"/>
      <c r="M120" s="116">
        <v>37800</v>
      </c>
      <c r="N120" s="116"/>
      <c r="O120" s="74"/>
      <c r="P120" s="74"/>
      <c r="Q120" s="132"/>
      <c r="R120" s="116"/>
      <c r="S120" s="74"/>
    </row>
    <row r="121" spans="1:19">
      <c r="A121" s="584"/>
      <c r="B121" s="584"/>
      <c r="C121" s="74" t="s">
        <v>1655</v>
      </c>
      <c r="D121" s="74" t="s">
        <v>1650</v>
      </c>
      <c r="E121" s="74" t="s">
        <v>1504</v>
      </c>
      <c r="F121" s="74" t="s">
        <v>1504</v>
      </c>
      <c r="G121" s="74" t="s">
        <v>1504</v>
      </c>
      <c r="H121" s="74" t="s">
        <v>1656</v>
      </c>
      <c r="I121" s="74"/>
      <c r="J121" s="74"/>
      <c r="K121" s="74"/>
      <c r="L121" s="132"/>
      <c r="M121" s="116">
        <v>12000</v>
      </c>
      <c r="N121" s="116"/>
      <c r="O121" s="74"/>
      <c r="P121" s="74"/>
      <c r="Q121" s="132"/>
      <c r="R121" s="116"/>
      <c r="S121" s="74"/>
    </row>
    <row r="122" spans="1:19">
      <c r="A122" s="584"/>
      <c r="B122" s="584"/>
      <c r="C122" s="74" t="s">
        <v>1657</v>
      </c>
      <c r="D122" s="74" t="s">
        <v>1650</v>
      </c>
      <c r="E122" s="74" t="s">
        <v>1504</v>
      </c>
      <c r="F122" s="74" t="s">
        <v>1504</v>
      </c>
      <c r="G122" s="74" t="s">
        <v>1504</v>
      </c>
      <c r="H122" s="74"/>
      <c r="I122" s="74"/>
      <c r="J122" s="74"/>
      <c r="K122" s="74"/>
      <c r="L122" s="132"/>
      <c r="M122" s="116">
        <v>3750</v>
      </c>
      <c r="N122" s="116"/>
      <c r="O122" s="74"/>
      <c r="P122" s="74"/>
      <c r="Q122" s="132"/>
      <c r="R122" s="116"/>
      <c r="S122" s="74"/>
    </row>
    <row r="123" spans="1:19">
      <c r="A123" s="584"/>
      <c r="B123" s="584"/>
      <c r="C123" s="74" t="s">
        <v>1658</v>
      </c>
      <c r="D123" s="74" t="s">
        <v>1650</v>
      </c>
      <c r="E123" s="74" t="s">
        <v>1504</v>
      </c>
      <c r="F123" s="74" t="s">
        <v>1504</v>
      </c>
      <c r="G123" s="74" t="s">
        <v>1504</v>
      </c>
      <c r="H123" s="74" t="s">
        <v>1645</v>
      </c>
      <c r="I123" s="74"/>
      <c r="J123" s="74"/>
      <c r="K123" s="74"/>
      <c r="L123" s="132"/>
      <c r="M123" s="116">
        <v>26500</v>
      </c>
      <c r="N123" s="116"/>
      <c r="O123" s="74"/>
      <c r="P123" s="74"/>
      <c r="Q123" s="132"/>
      <c r="R123" s="116"/>
      <c r="S123" s="74"/>
    </row>
    <row r="124" spans="1:19">
      <c r="A124" s="584"/>
      <c r="B124" s="584"/>
      <c r="C124" s="74" t="s">
        <v>1659</v>
      </c>
      <c r="D124" s="74" t="s">
        <v>1650</v>
      </c>
      <c r="E124" s="74" t="s">
        <v>1504</v>
      </c>
      <c r="F124" s="74" t="s">
        <v>1504</v>
      </c>
      <c r="G124" s="74" t="s">
        <v>1504</v>
      </c>
      <c r="H124" s="74" t="s">
        <v>1660</v>
      </c>
      <c r="I124" s="74"/>
      <c r="J124" s="74"/>
      <c r="K124" s="74"/>
      <c r="L124" s="132"/>
      <c r="M124" s="116">
        <v>100000</v>
      </c>
      <c r="N124" s="116"/>
      <c r="O124" s="74"/>
      <c r="P124" s="74"/>
      <c r="Q124" s="132"/>
      <c r="R124" s="116"/>
      <c r="S124" s="74"/>
    </row>
    <row r="125" spans="1:19">
      <c r="A125" s="577"/>
      <c r="B125" s="577"/>
      <c r="C125" s="74" t="s">
        <v>1661</v>
      </c>
      <c r="D125" s="74" t="s">
        <v>1662</v>
      </c>
      <c r="E125" s="74" t="s">
        <v>1504</v>
      </c>
      <c r="F125" s="74" t="s">
        <v>1504</v>
      </c>
      <c r="G125" s="74" t="s">
        <v>1504</v>
      </c>
      <c r="H125" s="74" t="s">
        <v>1663</v>
      </c>
      <c r="I125" s="74"/>
      <c r="J125" s="74"/>
      <c r="K125" s="74"/>
      <c r="L125" s="132"/>
      <c r="M125" s="116">
        <v>6200</v>
      </c>
      <c r="N125" s="116"/>
      <c r="O125" s="74"/>
      <c r="P125" s="74"/>
      <c r="Q125" s="132"/>
      <c r="R125" s="116"/>
      <c r="S125" s="74"/>
    </row>
    <row r="126" spans="1:19">
      <c r="A126" s="76">
        <v>95</v>
      </c>
      <c r="B126" s="76" t="s">
        <v>914</v>
      </c>
      <c r="C126" s="76" t="s">
        <v>1664</v>
      </c>
      <c r="D126" s="76" t="s">
        <v>1665</v>
      </c>
      <c r="E126" s="76"/>
      <c r="F126" s="76" t="s">
        <v>1666</v>
      </c>
      <c r="G126" s="76"/>
      <c r="H126" s="76"/>
      <c r="I126" s="76"/>
      <c r="J126" s="76"/>
      <c r="K126" s="76"/>
      <c r="L126" s="76"/>
      <c r="M126" s="117">
        <v>33086.28</v>
      </c>
      <c r="N126" s="117">
        <v>33086.28</v>
      </c>
      <c r="O126" s="76"/>
      <c r="P126" s="76"/>
      <c r="Q126" s="89"/>
      <c r="R126" s="117"/>
      <c r="S126" s="76"/>
    </row>
    <row r="127" spans="1:19" ht="18" customHeight="1">
      <c r="A127" s="576">
        <v>18</v>
      </c>
      <c r="B127" s="588" t="s">
        <v>3331</v>
      </c>
      <c r="C127" s="74"/>
      <c r="D127" s="74" t="s">
        <v>3340</v>
      </c>
      <c r="E127" s="74"/>
      <c r="F127" s="74" t="s">
        <v>3341</v>
      </c>
      <c r="G127" s="74"/>
      <c r="H127" s="74"/>
      <c r="I127" s="74"/>
      <c r="J127" s="74"/>
      <c r="K127" s="74"/>
      <c r="L127" s="132">
        <v>44595</v>
      </c>
      <c r="M127" s="116">
        <v>83333</v>
      </c>
      <c r="N127" s="116">
        <v>83333</v>
      </c>
      <c r="O127" s="74"/>
      <c r="P127" s="74"/>
      <c r="Q127" s="132"/>
      <c r="R127" s="116"/>
      <c r="S127" s="74"/>
    </row>
    <row r="128" spans="1:19">
      <c r="A128" s="584"/>
      <c r="B128" s="612"/>
      <c r="C128" s="74"/>
      <c r="D128" s="74" t="s">
        <v>3340</v>
      </c>
      <c r="E128" s="74"/>
      <c r="F128" s="74" t="s">
        <v>3341</v>
      </c>
      <c r="G128" s="74"/>
      <c r="H128" s="74"/>
      <c r="I128" s="74"/>
      <c r="J128" s="74"/>
      <c r="K128" s="74"/>
      <c r="L128" s="132">
        <v>44622</v>
      </c>
      <c r="M128" s="116">
        <v>83333.33</v>
      </c>
      <c r="N128" s="116">
        <v>83333.33</v>
      </c>
      <c r="O128" s="74"/>
      <c r="P128" s="74"/>
      <c r="Q128" s="132"/>
      <c r="R128" s="116"/>
      <c r="S128" s="74"/>
    </row>
    <row r="129" spans="1:19">
      <c r="A129" s="584"/>
      <c r="B129" s="612"/>
      <c r="C129" s="74"/>
      <c r="D129" s="74" t="s">
        <v>3340</v>
      </c>
      <c r="E129" s="74"/>
      <c r="F129" s="74" t="s">
        <v>3341</v>
      </c>
      <c r="G129" s="74"/>
      <c r="H129" s="74"/>
      <c r="I129" s="74"/>
      <c r="J129" s="74"/>
      <c r="K129" s="74"/>
      <c r="L129" s="132">
        <v>44649</v>
      </c>
      <c r="M129" s="116">
        <v>83333.33</v>
      </c>
      <c r="N129" s="116">
        <v>83333.33</v>
      </c>
      <c r="O129" s="74"/>
      <c r="P129" s="74"/>
      <c r="Q129" s="132"/>
      <c r="R129" s="116"/>
      <c r="S129" s="74"/>
    </row>
    <row r="130" spans="1:19">
      <c r="A130" s="584"/>
      <c r="B130" s="612"/>
      <c r="C130" s="74"/>
      <c r="D130" s="74" t="s">
        <v>3340</v>
      </c>
      <c r="E130" s="74"/>
      <c r="F130" s="74" t="s">
        <v>3341</v>
      </c>
      <c r="G130" s="74"/>
      <c r="H130" s="74"/>
      <c r="I130" s="74"/>
      <c r="J130" s="74"/>
      <c r="K130" s="74"/>
      <c r="L130" s="132">
        <v>44680</v>
      </c>
      <c r="M130" s="116">
        <v>83333.33</v>
      </c>
      <c r="N130" s="116">
        <v>83333.33</v>
      </c>
      <c r="O130" s="74"/>
      <c r="P130" s="74"/>
      <c r="Q130" s="132"/>
      <c r="R130" s="116"/>
      <c r="S130" s="74"/>
    </row>
    <row r="131" spans="1:19">
      <c r="A131" s="584"/>
      <c r="B131" s="612"/>
      <c r="C131" s="74"/>
      <c r="D131" s="74" t="s">
        <v>3340</v>
      </c>
      <c r="E131" s="74"/>
      <c r="F131" s="74" t="s">
        <v>3341</v>
      </c>
      <c r="G131" s="74"/>
      <c r="H131" s="74"/>
      <c r="I131" s="74"/>
      <c r="J131" s="74"/>
      <c r="K131" s="74"/>
      <c r="L131" s="132">
        <v>44715</v>
      </c>
      <c r="M131" s="116">
        <v>83333.33</v>
      </c>
      <c r="N131" s="116">
        <v>83333.33</v>
      </c>
      <c r="O131" s="74"/>
      <c r="P131" s="74"/>
      <c r="Q131" s="132"/>
      <c r="R131" s="116"/>
      <c r="S131" s="74"/>
    </row>
    <row r="132" spans="1:19">
      <c r="A132" s="584"/>
      <c r="B132" s="612"/>
      <c r="C132" s="74"/>
      <c r="D132" s="74" t="s">
        <v>3340</v>
      </c>
      <c r="E132" s="74"/>
      <c r="F132" s="74" t="s">
        <v>3341</v>
      </c>
      <c r="G132" s="74"/>
      <c r="H132" s="74"/>
      <c r="I132" s="74"/>
      <c r="J132" s="74"/>
      <c r="K132" s="74"/>
      <c r="L132" s="132">
        <v>44732</v>
      </c>
      <c r="M132" s="116">
        <v>46666.67</v>
      </c>
      <c r="N132" s="116">
        <v>46666.67</v>
      </c>
      <c r="O132" s="74"/>
      <c r="P132" s="74"/>
      <c r="Q132" s="132"/>
      <c r="R132" s="116"/>
      <c r="S132" s="74"/>
    </row>
    <row r="133" spans="1:19">
      <c r="A133" s="584"/>
      <c r="B133" s="612"/>
      <c r="C133" s="74"/>
      <c r="D133" s="74" t="s">
        <v>3340</v>
      </c>
      <c r="E133" s="74"/>
      <c r="F133" s="74" t="s">
        <v>3341</v>
      </c>
      <c r="G133" s="74"/>
      <c r="H133" s="74"/>
      <c r="I133" s="74"/>
      <c r="J133" s="74"/>
      <c r="K133" s="74"/>
      <c r="L133" s="132">
        <v>44743</v>
      </c>
      <c r="M133" s="116">
        <v>110000</v>
      </c>
      <c r="N133" s="116">
        <v>110000</v>
      </c>
      <c r="O133" s="136"/>
      <c r="P133" s="74"/>
      <c r="Q133" s="132"/>
      <c r="R133" s="116"/>
      <c r="S133" s="74"/>
    </row>
    <row r="134" spans="1:19">
      <c r="A134" s="584"/>
      <c r="B134" s="612"/>
      <c r="C134" s="74"/>
      <c r="D134" s="74" t="s">
        <v>3340</v>
      </c>
      <c r="E134" s="74"/>
      <c r="F134" s="74" t="s">
        <v>3341</v>
      </c>
      <c r="G134" s="74"/>
      <c r="H134" s="74"/>
      <c r="I134" s="74"/>
      <c r="J134" s="74"/>
      <c r="K134" s="74"/>
      <c r="L134" s="132">
        <v>44781</v>
      </c>
      <c r="M134" s="116">
        <v>110000</v>
      </c>
      <c r="N134" s="116">
        <v>110000</v>
      </c>
      <c r="O134" s="74"/>
      <c r="P134" s="74"/>
      <c r="Q134" s="132"/>
      <c r="R134" s="116"/>
      <c r="S134" s="74"/>
    </row>
    <row r="135" spans="1:19">
      <c r="A135" s="584"/>
      <c r="B135" s="612"/>
      <c r="C135" s="74"/>
      <c r="D135" s="74" t="s">
        <v>3340</v>
      </c>
      <c r="E135" s="74"/>
      <c r="F135" s="74" t="s">
        <v>3341</v>
      </c>
      <c r="G135" s="74"/>
      <c r="H135" s="74"/>
      <c r="I135" s="74"/>
      <c r="J135" s="74"/>
      <c r="K135" s="74"/>
      <c r="L135" s="132">
        <v>44806</v>
      </c>
      <c r="M135" s="116">
        <v>100000</v>
      </c>
      <c r="N135" s="116">
        <v>100000</v>
      </c>
      <c r="O135" s="74"/>
      <c r="P135" s="74"/>
      <c r="Q135" s="132"/>
      <c r="R135" s="116"/>
      <c r="S135" s="74"/>
    </row>
    <row r="136" spans="1:19">
      <c r="A136" s="584"/>
      <c r="B136" s="612"/>
      <c r="C136" s="74"/>
      <c r="D136" s="74" t="s">
        <v>3340</v>
      </c>
      <c r="E136" s="74"/>
      <c r="F136" s="74" t="s">
        <v>3341</v>
      </c>
      <c r="G136" s="74"/>
      <c r="H136" s="74"/>
      <c r="I136" s="74"/>
      <c r="J136" s="74"/>
      <c r="K136" s="74"/>
      <c r="L136" s="132">
        <v>44841</v>
      </c>
      <c r="M136" s="116">
        <v>80000</v>
      </c>
      <c r="N136" s="116">
        <v>80000</v>
      </c>
      <c r="O136" s="74"/>
      <c r="P136" s="74"/>
      <c r="Q136" s="132"/>
      <c r="R136" s="116"/>
      <c r="S136" s="74"/>
    </row>
    <row r="137" spans="1:19">
      <c r="A137" s="584"/>
      <c r="B137" s="612"/>
      <c r="C137" s="74"/>
      <c r="D137" s="74" t="s">
        <v>3340</v>
      </c>
      <c r="E137" s="74"/>
      <c r="F137" s="74" t="s">
        <v>3341</v>
      </c>
      <c r="G137" s="74"/>
      <c r="H137" s="74"/>
      <c r="I137" s="74"/>
      <c r="J137" s="74"/>
      <c r="K137" s="74"/>
      <c r="L137" s="132">
        <v>44869</v>
      </c>
      <c r="M137" s="116">
        <v>80000</v>
      </c>
      <c r="N137" s="116">
        <v>80000</v>
      </c>
      <c r="O137" s="74"/>
      <c r="P137" s="74"/>
      <c r="Q137" s="132"/>
      <c r="R137" s="116"/>
      <c r="S137" s="74"/>
    </row>
    <row r="138" spans="1:19">
      <c r="A138" s="577"/>
      <c r="B138" s="589"/>
      <c r="C138" s="74"/>
      <c r="D138" s="74" t="s">
        <v>3340</v>
      </c>
      <c r="E138" s="74"/>
      <c r="F138" s="74" t="s">
        <v>3341</v>
      </c>
      <c r="G138" s="74"/>
      <c r="H138" s="74"/>
      <c r="I138" s="74"/>
      <c r="J138" s="74"/>
      <c r="K138" s="74"/>
      <c r="L138" s="132">
        <v>44910</v>
      </c>
      <c r="M138" s="116">
        <v>29349</v>
      </c>
      <c r="N138" s="116">
        <v>29349</v>
      </c>
      <c r="O138" s="74"/>
      <c r="P138" s="74"/>
      <c r="Q138" s="132"/>
      <c r="R138" s="116"/>
      <c r="S138" s="74"/>
    </row>
    <row r="139" spans="1:19">
      <c r="A139" s="571"/>
      <c r="B139" s="608" t="s">
        <v>3659</v>
      </c>
      <c r="C139" s="77" t="s">
        <v>3665</v>
      </c>
      <c r="D139" s="76" t="s">
        <v>3666</v>
      </c>
      <c r="E139" s="76"/>
      <c r="F139" s="77" t="s">
        <v>3667</v>
      </c>
      <c r="G139" s="76" t="s">
        <v>3668</v>
      </c>
      <c r="H139" s="76"/>
      <c r="I139" s="76"/>
      <c r="J139" s="76"/>
      <c r="K139" s="76"/>
      <c r="L139" s="76"/>
      <c r="M139" s="76"/>
      <c r="N139" s="117"/>
      <c r="O139" s="76"/>
      <c r="P139" s="88">
        <v>44564</v>
      </c>
      <c r="Q139" s="88">
        <v>44564</v>
      </c>
      <c r="R139" s="76"/>
      <c r="S139" s="117">
        <v>2250</v>
      </c>
    </row>
    <row r="140" spans="1:19">
      <c r="A140" s="572"/>
      <c r="B140" s="610"/>
      <c r="C140" s="77" t="s">
        <v>3669</v>
      </c>
      <c r="D140" s="76" t="s">
        <v>3670</v>
      </c>
      <c r="E140" s="76"/>
      <c r="F140" s="77" t="s">
        <v>3671</v>
      </c>
      <c r="G140" s="76" t="s">
        <v>3672</v>
      </c>
      <c r="H140" s="76"/>
      <c r="I140" s="76"/>
      <c r="J140" s="76"/>
      <c r="K140" s="88">
        <v>44582</v>
      </c>
      <c r="L140" s="88">
        <v>44582</v>
      </c>
      <c r="M140" s="76"/>
      <c r="N140" s="117">
        <v>200</v>
      </c>
      <c r="O140" s="76"/>
      <c r="P140" s="88"/>
      <c r="Q140" s="88"/>
      <c r="R140" s="76"/>
      <c r="S140" s="117"/>
    </row>
    <row r="141" spans="1:19">
      <c r="A141" s="572"/>
      <c r="B141" s="610"/>
      <c r="C141" s="77" t="s">
        <v>3673</v>
      </c>
      <c r="D141" s="76" t="s">
        <v>3674</v>
      </c>
      <c r="E141" s="76"/>
      <c r="F141" s="77" t="s">
        <v>3671</v>
      </c>
      <c r="G141" s="76" t="s">
        <v>3675</v>
      </c>
      <c r="H141" s="76"/>
      <c r="I141" s="76"/>
      <c r="J141" s="76"/>
      <c r="K141" s="88">
        <v>44587</v>
      </c>
      <c r="L141" s="88">
        <v>44587</v>
      </c>
      <c r="M141" s="76"/>
      <c r="N141" s="117">
        <v>1000</v>
      </c>
      <c r="O141" s="76"/>
      <c r="P141" s="88"/>
      <c r="Q141" s="88"/>
      <c r="R141" s="76"/>
      <c r="S141" s="117"/>
    </row>
    <row r="142" spans="1:19">
      <c r="A142" s="572"/>
      <c r="B142" s="610"/>
      <c r="C142" s="77" t="s">
        <v>3676</v>
      </c>
      <c r="D142" s="76" t="s">
        <v>3674</v>
      </c>
      <c r="E142" s="76"/>
      <c r="F142" s="77" t="s">
        <v>3671</v>
      </c>
      <c r="G142" s="76" t="s">
        <v>3675</v>
      </c>
      <c r="H142" s="76"/>
      <c r="I142" s="76"/>
      <c r="J142" s="76"/>
      <c r="K142" s="88">
        <v>44587</v>
      </c>
      <c r="L142" s="88">
        <v>44587</v>
      </c>
      <c r="M142" s="76"/>
      <c r="N142" s="117">
        <v>1185</v>
      </c>
      <c r="O142" s="76"/>
      <c r="P142" s="88"/>
      <c r="Q142" s="88"/>
      <c r="R142" s="76"/>
      <c r="S142" s="117"/>
    </row>
    <row r="143" spans="1:19">
      <c r="A143" s="572"/>
      <c r="B143" s="610"/>
      <c r="C143" s="77" t="s">
        <v>3677</v>
      </c>
      <c r="D143" s="76" t="s">
        <v>3678</v>
      </c>
      <c r="E143" s="76"/>
      <c r="F143" s="77" t="s">
        <v>3671</v>
      </c>
      <c r="G143" s="76" t="s">
        <v>3672</v>
      </c>
      <c r="H143" s="76"/>
      <c r="I143" s="76"/>
      <c r="J143" s="76"/>
      <c r="K143" s="88">
        <v>44595</v>
      </c>
      <c r="L143" s="88">
        <v>44595</v>
      </c>
      <c r="M143" s="76"/>
      <c r="N143" s="117">
        <v>200</v>
      </c>
      <c r="O143" s="76"/>
      <c r="P143" s="88"/>
      <c r="Q143" s="88"/>
      <c r="R143" s="76"/>
      <c r="S143" s="117"/>
    </row>
    <row r="144" spans="1:19">
      <c r="A144" s="572"/>
      <c r="B144" s="610"/>
      <c r="C144" s="77" t="s">
        <v>3669</v>
      </c>
      <c r="D144" s="76" t="s">
        <v>3670</v>
      </c>
      <c r="E144" s="76"/>
      <c r="F144" s="77" t="s">
        <v>3671</v>
      </c>
      <c r="G144" s="76" t="s">
        <v>3672</v>
      </c>
      <c r="H144" s="76"/>
      <c r="I144" s="76"/>
      <c r="J144" s="76"/>
      <c r="K144" s="88">
        <v>44596</v>
      </c>
      <c r="L144" s="88">
        <v>44596</v>
      </c>
      <c r="M144" s="76"/>
      <c r="N144" s="117">
        <v>200</v>
      </c>
      <c r="O144" s="76"/>
      <c r="P144" s="88"/>
      <c r="Q144" s="88"/>
      <c r="R144" s="76"/>
      <c r="S144" s="117"/>
    </row>
    <row r="145" spans="1:19">
      <c r="A145" s="572"/>
      <c r="B145" s="610"/>
      <c r="C145" s="77" t="s">
        <v>3679</v>
      </c>
      <c r="D145" s="76" t="s">
        <v>3670</v>
      </c>
      <c r="E145" s="76"/>
      <c r="F145" s="77" t="s">
        <v>3671</v>
      </c>
      <c r="G145" s="76" t="s">
        <v>3672</v>
      </c>
      <c r="H145" s="76"/>
      <c r="I145" s="76"/>
      <c r="J145" s="76"/>
      <c r="K145" s="88">
        <v>44760</v>
      </c>
      <c r="L145" s="88">
        <v>44760</v>
      </c>
      <c r="M145" s="76"/>
      <c r="N145" s="117">
        <v>200</v>
      </c>
      <c r="O145" s="137"/>
      <c r="P145" s="88"/>
      <c r="Q145" s="88"/>
      <c r="R145" s="76"/>
      <c r="S145" s="117"/>
    </row>
    <row r="146" spans="1:19">
      <c r="A146" s="572"/>
      <c r="B146" s="610"/>
      <c r="C146" s="77" t="s">
        <v>3680</v>
      </c>
      <c r="D146" s="76" t="s">
        <v>3681</v>
      </c>
      <c r="E146" s="76"/>
      <c r="F146" s="77" t="s">
        <v>3671</v>
      </c>
      <c r="G146" s="76" t="s">
        <v>3682</v>
      </c>
      <c r="H146" s="76"/>
      <c r="I146" s="76"/>
      <c r="J146" s="76"/>
      <c r="K146" s="88">
        <v>44771</v>
      </c>
      <c r="L146" s="88">
        <v>44771</v>
      </c>
      <c r="M146" s="76"/>
      <c r="N146" s="117">
        <v>200</v>
      </c>
      <c r="O146" s="76"/>
      <c r="P146" s="88"/>
      <c r="Q146" s="88"/>
      <c r="R146" s="76"/>
      <c r="S146" s="117"/>
    </row>
    <row r="147" spans="1:19">
      <c r="A147" s="572"/>
      <c r="B147" s="610"/>
      <c r="C147" s="77" t="s">
        <v>3669</v>
      </c>
      <c r="D147" s="76" t="s">
        <v>3670</v>
      </c>
      <c r="E147" s="76"/>
      <c r="F147" s="77" t="s">
        <v>3671</v>
      </c>
      <c r="G147" s="76" t="s">
        <v>3672</v>
      </c>
      <c r="H147" s="76"/>
      <c r="I147" s="76"/>
      <c r="J147" s="76"/>
      <c r="K147" s="88">
        <v>44772</v>
      </c>
      <c r="L147" s="88">
        <v>44772</v>
      </c>
      <c r="M147" s="76"/>
      <c r="N147" s="117">
        <v>200</v>
      </c>
      <c r="O147" s="76"/>
      <c r="P147" s="88"/>
      <c r="Q147" s="88"/>
      <c r="R147" s="76"/>
      <c r="S147" s="117"/>
    </row>
    <row r="148" spans="1:19">
      <c r="A148" s="572"/>
      <c r="B148" s="610"/>
      <c r="C148" s="77" t="s">
        <v>3683</v>
      </c>
      <c r="D148" s="76" t="s">
        <v>3678</v>
      </c>
      <c r="E148" s="76"/>
      <c r="F148" s="77" t="s">
        <v>3671</v>
      </c>
      <c r="G148" s="76" t="s">
        <v>3672</v>
      </c>
      <c r="H148" s="76"/>
      <c r="I148" s="76"/>
      <c r="J148" s="76"/>
      <c r="K148" s="88">
        <v>44782</v>
      </c>
      <c r="L148" s="88">
        <v>44782</v>
      </c>
      <c r="M148" s="76"/>
      <c r="N148" s="117">
        <v>200</v>
      </c>
      <c r="O148" s="76"/>
      <c r="P148" s="88"/>
      <c r="Q148" s="88"/>
      <c r="R148" s="76"/>
      <c r="S148" s="117"/>
    </row>
    <row r="149" spans="1:19">
      <c r="A149" s="572"/>
      <c r="B149" s="610"/>
      <c r="C149" s="77" t="s">
        <v>3669</v>
      </c>
      <c r="D149" s="76" t="s">
        <v>3670</v>
      </c>
      <c r="E149" s="76"/>
      <c r="F149" s="77" t="s">
        <v>3671</v>
      </c>
      <c r="G149" s="76" t="s">
        <v>3672</v>
      </c>
      <c r="H149" s="76"/>
      <c r="I149" s="76"/>
      <c r="J149" s="76"/>
      <c r="K149" s="88">
        <v>44796</v>
      </c>
      <c r="L149" s="88">
        <v>44796</v>
      </c>
      <c r="M149" s="76"/>
      <c r="N149" s="117">
        <v>200</v>
      </c>
      <c r="O149" s="76"/>
      <c r="P149" s="88"/>
      <c r="Q149" s="88"/>
      <c r="R149" s="76"/>
      <c r="S149" s="117"/>
    </row>
    <row r="150" spans="1:19">
      <c r="A150" s="572"/>
      <c r="B150" s="610"/>
      <c r="C150" s="77" t="s">
        <v>3684</v>
      </c>
      <c r="D150" s="76" t="s">
        <v>3685</v>
      </c>
      <c r="E150" s="76"/>
      <c r="F150" s="77" t="s">
        <v>3671</v>
      </c>
      <c r="G150" s="76" t="s">
        <v>3686</v>
      </c>
      <c r="H150" s="76"/>
      <c r="I150" s="76"/>
      <c r="J150" s="76"/>
      <c r="K150" s="88">
        <v>44796</v>
      </c>
      <c r="L150" s="88">
        <v>44796</v>
      </c>
      <c r="M150" s="76"/>
      <c r="N150" s="117">
        <v>2500</v>
      </c>
      <c r="O150" s="76"/>
      <c r="P150" s="88"/>
      <c r="Q150" s="88"/>
      <c r="R150" s="76"/>
      <c r="S150" s="117"/>
    </row>
    <row r="151" spans="1:19">
      <c r="A151" s="572"/>
      <c r="B151" s="610"/>
      <c r="C151" s="77" t="s">
        <v>3687</v>
      </c>
      <c r="D151" s="76" t="s">
        <v>3688</v>
      </c>
      <c r="E151" s="76"/>
      <c r="F151" s="77" t="s">
        <v>3671</v>
      </c>
      <c r="G151" s="76" t="s">
        <v>3672</v>
      </c>
      <c r="H151" s="76"/>
      <c r="I151" s="76"/>
      <c r="J151" s="76"/>
      <c r="K151" s="88">
        <v>44803</v>
      </c>
      <c r="L151" s="88">
        <v>44803</v>
      </c>
      <c r="M151" s="76"/>
      <c r="N151" s="117">
        <v>400</v>
      </c>
      <c r="O151" s="76"/>
      <c r="P151" s="88"/>
      <c r="Q151" s="88"/>
      <c r="R151" s="76"/>
      <c r="S151" s="117"/>
    </row>
    <row r="152" spans="1:19">
      <c r="A152" s="572"/>
      <c r="B152" s="610"/>
      <c r="C152" s="77" t="s">
        <v>3689</v>
      </c>
      <c r="D152" s="76" t="s">
        <v>3674</v>
      </c>
      <c r="E152" s="76"/>
      <c r="F152" s="77" t="s">
        <v>3690</v>
      </c>
      <c r="G152" s="76" t="s">
        <v>3675</v>
      </c>
      <c r="H152" s="76"/>
      <c r="I152" s="76"/>
      <c r="J152" s="76"/>
      <c r="K152" s="88">
        <v>44827</v>
      </c>
      <c r="L152" s="88">
        <v>44827</v>
      </c>
      <c r="M152" s="76"/>
      <c r="N152" s="117">
        <v>3244</v>
      </c>
      <c r="O152" s="76"/>
      <c r="P152" s="88"/>
      <c r="Q152" s="88"/>
      <c r="R152" s="76"/>
      <c r="S152" s="117"/>
    </row>
    <row r="153" spans="1:19">
      <c r="A153" s="572"/>
      <c r="B153" s="610"/>
      <c r="C153" s="77" t="s">
        <v>3669</v>
      </c>
      <c r="D153" s="76" t="s">
        <v>3670</v>
      </c>
      <c r="E153" s="76"/>
      <c r="F153" s="77" t="s">
        <v>3671</v>
      </c>
      <c r="G153" s="76" t="s">
        <v>3672</v>
      </c>
      <c r="H153" s="76"/>
      <c r="I153" s="76"/>
      <c r="J153" s="76"/>
      <c r="K153" s="88">
        <v>44831</v>
      </c>
      <c r="L153" s="88">
        <v>44831</v>
      </c>
      <c r="M153" s="76"/>
      <c r="N153" s="117">
        <v>200</v>
      </c>
      <c r="O153" s="76"/>
      <c r="P153" s="88"/>
      <c r="Q153" s="88"/>
      <c r="R153" s="76"/>
      <c r="S153" s="117"/>
    </row>
    <row r="154" spans="1:19">
      <c r="A154" s="572"/>
      <c r="B154" s="610"/>
      <c r="C154" s="77" t="s">
        <v>3691</v>
      </c>
      <c r="D154" s="76" t="s">
        <v>3688</v>
      </c>
      <c r="E154" s="76"/>
      <c r="F154" s="77" t="s">
        <v>3671</v>
      </c>
      <c r="G154" s="76" t="s">
        <v>3692</v>
      </c>
      <c r="H154" s="76"/>
      <c r="I154" s="76"/>
      <c r="J154" s="76"/>
      <c r="K154" s="88">
        <v>44866</v>
      </c>
      <c r="L154" s="88">
        <v>44866</v>
      </c>
      <c r="M154" s="76"/>
      <c r="N154" s="117">
        <v>605</v>
      </c>
      <c r="O154" s="76"/>
      <c r="P154" s="88"/>
      <c r="Q154" s="88"/>
      <c r="R154" s="76"/>
      <c r="S154" s="117"/>
    </row>
    <row r="155" spans="1:19">
      <c r="A155" s="572"/>
      <c r="B155" s="610"/>
      <c r="C155" s="77" t="s">
        <v>3669</v>
      </c>
      <c r="D155" s="76" t="s">
        <v>3670</v>
      </c>
      <c r="E155" s="76"/>
      <c r="F155" s="77" t="s">
        <v>3671</v>
      </c>
      <c r="G155" s="76" t="s">
        <v>3672</v>
      </c>
      <c r="H155" s="76"/>
      <c r="I155" s="76"/>
      <c r="J155" s="76"/>
      <c r="K155" s="88">
        <v>44866</v>
      </c>
      <c r="L155" s="88">
        <v>44866</v>
      </c>
      <c r="M155" s="76"/>
      <c r="N155" s="117">
        <v>200</v>
      </c>
      <c r="O155" s="76"/>
      <c r="P155" s="88"/>
      <c r="Q155" s="88"/>
      <c r="R155" s="76"/>
      <c r="S155" s="117"/>
    </row>
    <row r="156" spans="1:19">
      <c r="A156" s="572"/>
      <c r="B156" s="610"/>
      <c r="C156" s="77" t="s">
        <v>3669</v>
      </c>
      <c r="D156" s="76" t="s">
        <v>3670</v>
      </c>
      <c r="E156" s="76"/>
      <c r="F156" s="77" t="s">
        <v>3671</v>
      </c>
      <c r="G156" s="76" t="s">
        <v>3672</v>
      </c>
      <c r="H156" s="76"/>
      <c r="I156" s="76"/>
      <c r="J156" s="76"/>
      <c r="K156" s="88">
        <v>44894</v>
      </c>
      <c r="L156" s="88">
        <v>44894</v>
      </c>
      <c r="M156" s="76"/>
      <c r="N156" s="117">
        <v>200</v>
      </c>
      <c r="O156" s="76"/>
      <c r="P156" s="88"/>
      <c r="Q156" s="88"/>
      <c r="R156" s="76"/>
      <c r="S156" s="117"/>
    </row>
    <row r="157" spans="1:19">
      <c r="A157" s="572"/>
      <c r="B157" s="610"/>
      <c r="C157" s="77" t="s">
        <v>3693</v>
      </c>
      <c r="D157" s="76" t="s">
        <v>3688</v>
      </c>
      <c r="E157" s="76"/>
      <c r="F157" s="77" t="s">
        <v>3671</v>
      </c>
      <c r="G157" s="76" t="s">
        <v>3692</v>
      </c>
      <c r="H157" s="76"/>
      <c r="I157" s="76"/>
      <c r="J157" s="76"/>
      <c r="K157" s="88">
        <v>44894</v>
      </c>
      <c r="L157" s="88">
        <v>44894</v>
      </c>
      <c r="M157" s="76"/>
      <c r="N157" s="117">
        <v>200</v>
      </c>
      <c r="O157" s="76"/>
      <c r="P157" s="88"/>
      <c r="Q157" s="88"/>
      <c r="R157" s="76"/>
      <c r="S157" s="117"/>
    </row>
    <row r="158" spans="1:19">
      <c r="A158" s="572"/>
      <c r="B158" s="610"/>
      <c r="C158" s="77" t="s">
        <v>3694</v>
      </c>
      <c r="D158" s="76" t="s">
        <v>3695</v>
      </c>
      <c r="E158" s="76"/>
      <c r="F158" s="77" t="s">
        <v>3671</v>
      </c>
      <c r="G158" s="76" t="s">
        <v>3672</v>
      </c>
      <c r="H158" s="76"/>
      <c r="I158" s="76"/>
      <c r="J158" s="76"/>
      <c r="K158" s="88"/>
      <c r="L158" s="88"/>
      <c r="M158" s="76"/>
      <c r="N158" s="117"/>
      <c r="O158" s="76"/>
      <c r="P158" s="88">
        <v>44914</v>
      </c>
      <c r="Q158" s="88">
        <v>44914</v>
      </c>
      <c r="R158" s="76"/>
      <c r="S158" s="117">
        <v>3500</v>
      </c>
    </row>
    <row r="159" spans="1:19">
      <c r="A159" s="573"/>
      <c r="B159" s="609"/>
      <c r="C159" s="77" t="s">
        <v>3669</v>
      </c>
      <c r="D159" s="76" t="s">
        <v>3670</v>
      </c>
      <c r="E159" s="76"/>
      <c r="F159" s="77" t="s">
        <v>3671</v>
      </c>
      <c r="G159" s="76" t="s">
        <v>3672</v>
      </c>
      <c r="H159" s="76"/>
      <c r="I159" s="76"/>
      <c r="J159" s="76"/>
      <c r="K159" s="88">
        <v>44915</v>
      </c>
      <c r="L159" s="88">
        <v>44915</v>
      </c>
      <c r="M159" s="76"/>
      <c r="N159" s="117">
        <v>200</v>
      </c>
      <c r="O159" s="76"/>
      <c r="P159" s="88"/>
      <c r="Q159" s="88"/>
      <c r="R159" s="76"/>
      <c r="S159" s="117"/>
    </row>
  </sheetData>
  <autoFilter ref="K7:N114"/>
  <mergeCells count="40">
    <mergeCell ref="B139:B159"/>
    <mergeCell ref="A139:A159"/>
    <mergeCell ref="B127:B138"/>
    <mergeCell ref="A127:A138"/>
    <mergeCell ref="P6:S6"/>
    <mergeCell ref="A6:A7"/>
    <mergeCell ref="B6:B7"/>
    <mergeCell ref="C6:C7"/>
    <mergeCell ref="D6:D7"/>
    <mergeCell ref="E6:E7"/>
    <mergeCell ref="F6:F7"/>
    <mergeCell ref="G6:G7"/>
    <mergeCell ref="H6:H7"/>
    <mergeCell ref="I6:I7"/>
    <mergeCell ref="J6:J7"/>
    <mergeCell ref="K6:O6"/>
    <mergeCell ref="A8:A17"/>
    <mergeCell ref="B8:B17"/>
    <mergeCell ref="A18:A23"/>
    <mergeCell ref="B18:B23"/>
    <mergeCell ref="A24:A29"/>
    <mergeCell ref="B24:B29"/>
    <mergeCell ref="A31:A39"/>
    <mergeCell ref="B31:B39"/>
    <mergeCell ref="A40:A43"/>
    <mergeCell ref="B40:B43"/>
    <mergeCell ref="A44:A71"/>
    <mergeCell ref="B44:B71"/>
    <mergeCell ref="A72:A73"/>
    <mergeCell ref="B72:B73"/>
    <mergeCell ref="A74:A78"/>
    <mergeCell ref="B74:B78"/>
    <mergeCell ref="A79:A87"/>
    <mergeCell ref="B79:B87"/>
    <mergeCell ref="A88:A110"/>
    <mergeCell ref="B88:B110"/>
    <mergeCell ref="A111:A114"/>
    <mergeCell ref="B111:B114"/>
    <mergeCell ref="A115:A125"/>
    <mergeCell ref="B115:B125"/>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7"/>
  <dimension ref="A2:V10"/>
  <sheetViews>
    <sheetView zoomScale="80" zoomScaleNormal="80" workbookViewId="0">
      <selection activeCell="A2" sqref="A2"/>
    </sheetView>
  </sheetViews>
  <sheetFormatPr baseColWidth="10" defaultRowHeight="13.8"/>
  <cols>
    <col min="2" max="2" width="19.69921875" bestFit="1" customWidth="1"/>
    <col min="3" max="3" width="34.296875" customWidth="1"/>
    <col min="4" max="4" width="31" customWidth="1"/>
    <col min="5" max="5" width="14.3984375" customWidth="1"/>
    <col min="6" max="6" width="21.69921875" customWidth="1"/>
    <col min="7" max="7" width="26.59765625" customWidth="1"/>
    <col min="8" max="8" width="15.69921875" customWidth="1"/>
    <col min="9" max="9" width="21.296875" customWidth="1"/>
    <col min="10" max="10" width="28.69921875" customWidth="1"/>
    <col min="13" max="13" width="11.3984375" bestFit="1" customWidth="1"/>
    <col min="14" max="14" width="15" bestFit="1" customWidth="1"/>
    <col min="15" max="15" width="17.59765625" customWidth="1"/>
    <col min="18" max="19" width="15.3984375" customWidth="1"/>
    <col min="20" max="20" width="30.59765625" customWidth="1"/>
    <col min="21" max="21" width="15" customWidth="1"/>
    <col min="22" max="22" width="15.69921875" customWidth="1"/>
  </cols>
  <sheetData>
    <row r="2" spans="1:22" ht="18.600000000000001">
      <c r="A2" s="65" t="s">
        <v>3808</v>
      </c>
    </row>
    <row r="6" spans="1:22" ht="14.4" thickBot="1"/>
    <row r="7" spans="1:22" s="105" customFormat="1" ht="15" customHeight="1" thickTop="1">
      <c r="A7" s="676" t="s">
        <v>1098</v>
      </c>
      <c r="B7" s="676" t="s">
        <v>0</v>
      </c>
      <c r="C7" s="676" t="s">
        <v>1099</v>
      </c>
      <c r="D7" s="677" t="s">
        <v>1100</v>
      </c>
      <c r="E7" s="676" t="s">
        <v>1101</v>
      </c>
      <c r="F7" s="680" t="s">
        <v>1102</v>
      </c>
      <c r="G7" s="680" t="s">
        <v>1103</v>
      </c>
      <c r="H7" s="676" t="s">
        <v>1104</v>
      </c>
      <c r="I7" s="676" t="s">
        <v>1105</v>
      </c>
      <c r="J7" s="676" t="s">
        <v>1106</v>
      </c>
      <c r="K7" s="676" t="s">
        <v>1107</v>
      </c>
      <c r="L7" s="676"/>
      <c r="M7" s="676"/>
      <c r="N7" s="676"/>
      <c r="O7" s="676"/>
      <c r="P7" s="676" t="s">
        <v>1108</v>
      </c>
      <c r="Q7" s="676"/>
      <c r="R7" s="676"/>
      <c r="S7" s="677"/>
      <c r="T7" s="671" t="s">
        <v>1109</v>
      </c>
      <c r="U7" s="672"/>
      <c r="V7" s="673"/>
    </row>
    <row r="8" spans="1:22" s="105" customFormat="1" ht="57.6">
      <c r="A8" s="676"/>
      <c r="B8" s="676"/>
      <c r="C8" s="676"/>
      <c r="D8" s="677"/>
      <c r="E8" s="676"/>
      <c r="F8" s="680"/>
      <c r="G8" s="680"/>
      <c r="H8" s="676"/>
      <c r="I8" s="676"/>
      <c r="J8" s="676"/>
      <c r="K8" s="103" t="s">
        <v>1110</v>
      </c>
      <c r="L8" s="103" t="s">
        <v>1111</v>
      </c>
      <c r="M8" s="103" t="s">
        <v>1112</v>
      </c>
      <c r="N8" s="103" t="s">
        <v>1113</v>
      </c>
      <c r="O8" s="103" t="s">
        <v>1114</v>
      </c>
      <c r="P8" s="103" t="s">
        <v>1115</v>
      </c>
      <c r="Q8" s="103" t="s">
        <v>1116</v>
      </c>
      <c r="R8" s="103" t="s">
        <v>1117</v>
      </c>
      <c r="S8" s="104" t="s">
        <v>1114</v>
      </c>
      <c r="T8" s="106" t="s">
        <v>1118</v>
      </c>
      <c r="U8" s="103" t="s">
        <v>1119</v>
      </c>
      <c r="V8" s="103" t="s">
        <v>1120</v>
      </c>
    </row>
    <row r="9" spans="1:22" ht="60">
      <c r="A9" s="107">
        <v>1</v>
      </c>
      <c r="B9" s="108" t="s">
        <v>1023</v>
      </c>
      <c r="C9" s="109" t="s">
        <v>3249</v>
      </c>
      <c r="D9" s="109" t="s">
        <v>3250</v>
      </c>
      <c r="E9" s="110" t="s">
        <v>1295</v>
      </c>
      <c r="F9" s="110" t="s">
        <v>3251</v>
      </c>
      <c r="G9" s="110" t="s">
        <v>3252</v>
      </c>
      <c r="H9" s="110" t="s">
        <v>1295</v>
      </c>
      <c r="I9" s="110" t="s">
        <v>1295</v>
      </c>
      <c r="J9" s="109" t="s">
        <v>3253</v>
      </c>
      <c r="K9" s="110" t="s">
        <v>1295</v>
      </c>
      <c r="L9" s="110" t="s">
        <v>1295</v>
      </c>
      <c r="M9" s="111" t="s">
        <v>1295</v>
      </c>
      <c r="N9" s="111" t="s">
        <v>1295</v>
      </c>
      <c r="O9" s="111">
        <v>400000</v>
      </c>
      <c r="P9" s="110" t="s">
        <v>1295</v>
      </c>
      <c r="Q9" s="110" t="s">
        <v>1295</v>
      </c>
      <c r="R9" s="111" t="s">
        <v>1295</v>
      </c>
      <c r="S9" s="111" t="s">
        <v>1295</v>
      </c>
      <c r="T9" s="74" t="s">
        <v>1295</v>
      </c>
      <c r="U9" s="74" t="s">
        <v>1295</v>
      </c>
      <c r="V9" s="74" t="s">
        <v>1295</v>
      </c>
    </row>
    <row r="10" spans="1:22" s="115" customFormat="1" ht="60">
      <c r="A10" s="85">
        <v>4</v>
      </c>
      <c r="B10" s="112" t="s">
        <v>1032</v>
      </c>
      <c r="C10" s="113" t="s">
        <v>3249</v>
      </c>
      <c r="D10" s="78" t="s">
        <v>3250</v>
      </c>
      <c r="E10" s="78" t="s">
        <v>3254</v>
      </c>
      <c r="F10" s="78" t="s">
        <v>3251</v>
      </c>
      <c r="G10" s="78" t="s">
        <v>3252</v>
      </c>
      <c r="H10" s="78" t="s">
        <v>3254</v>
      </c>
      <c r="I10" s="78" t="s">
        <v>3254</v>
      </c>
      <c r="J10" s="78" t="s">
        <v>3255</v>
      </c>
      <c r="K10" s="78" t="s">
        <v>3254</v>
      </c>
      <c r="L10" s="78" t="s">
        <v>3254</v>
      </c>
      <c r="M10" s="114" t="s">
        <v>3254</v>
      </c>
      <c r="N10" s="114" t="s">
        <v>3254</v>
      </c>
      <c r="O10" s="114">
        <v>200000</v>
      </c>
      <c r="P10" s="78" t="s">
        <v>3254</v>
      </c>
      <c r="Q10" s="78" t="s">
        <v>3254</v>
      </c>
      <c r="R10" s="114" t="s">
        <v>3254</v>
      </c>
      <c r="S10" s="114" t="s">
        <v>3254</v>
      </c>
      <c r="T10" s="78" t="s">
        <v>3254</v>
      </c>
      <c r="U10" s="78" t="s">
        <v>3254</v>
      </c>
      <c r="V10" s="78" t="s">
        <v>3254</v>
      </c>
    </row>
  </sheetData>
  <mergeCells count="13">
    <mergeCell ref="F7:F8"/>
    <mergeCell ref="A7:A8"/>
    <mergeCell ref="B7:B8"/>
    <mergeCell ref="C7:C8"/>
    <mergeCell ref="D7:D8"/>
    <mergeCell ref="E7:E8"/>
    <mergeCell ref="T7:V7"/>
    <mergeCell ref="G7:G8"/>
    <mergeCell ref="H7:H8"/>
    <mergeCell ref="I7:I8"/>
    <mergeCell ref="J7:J8"/>
    <mergeCell ref="K7:O7"/>
    <mergeCell ref="P7:S7"/>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8"/>
  <dimension ref="A2:R84"/>
  <sheetViews>
    <sheetView zoomScale="70" zoomScaleNormal="70" workbookViewId="0">
      <selection activeCell="A2" sqref="A2"/>
    </sheetView>
  </sheetViews>
  <sheetFormatPr baseColWidth="10" defaultRowHeight="13.8"/>
  <cols>
    <col min="2" max="2" width="23.69921875" customWidth="1"/>
    <col min="3" max="3" width="40.296875" customWidth="1"/>
    <col min="4" max="5" width="13.59765625" customWidth="1"/>
    <col min="6" max="6" width="12.3984375" customWidth="1"/>
    <col min="7" max="7" width="17.69921875" customWidth="1"/>
    <col min="8" max="8" width="40.3984375" customWidth="1"/>
    <col min="9" max="9" width="15.296875" customWidth="1"/>
    <col min="11" max="12" width="11.69921875" bestFit="1" customWidth="1"/>
    <col min="13" max="13" width="18.69921875" customWidth="1"/>
    <col min="14" max="14" width="14.59765625" customWidth="1"/>
    <col min="16" max="16" width="17.59765625" customWidth="1"/>
    <col min="17" max="17" width="18.296875" customWidth="1"/>
  </cols>
  <sheetData>
    <row r="2" spans="1:17" ht="18.600000000000001">
      <c r="A2" s="65" t="s">
        <v>3809</v>
      </c>
    </row>
    <row r="3" spans="1:17">
      <c r="F3" s="66" t="s">
        <v>606</v>
      </c>
      <c r="G3" s="66">
        <v>71</v>
      </c>
    </row>
    <row r="4" spans="1:17">
      <c r="F4" s="66" t="s">
        <v>1078</v>
      </c>
      <c r="G4" s="66">
        <v>11</v>
      </c>
    </row>
    <row r="5" spans="1:17">
      <c r="F5" s="68" t="s">
        <v>1079</v>
      </c>
      <c r="G5" s="68">
        <f>+G3-G4</f>
        <v>60</v>
      </c>
    </row>
    <row r="7" spans="1:17" s="115" customFormat="1" ht="14.7" customHeight="1">
      <c r="A7" s="689" t="s">
        <v>609</v>
      </c>
      <c r="B7" s="689" t="s">
        <v>1358</v>
      </c>
      <c r="C7" s="689" t="s">
        <v>1099</v>
      </c>
      <c r="D7" s="689" t="s">
        <v>1102</v>
      </c>
      <c r="E7" s="689" t="s">
        <v>1360</v>
      </c>
      <c r="F7" s="689" t="s">
        <v>1104</v>
      </c>
      <c r="G7" s="689" t="s">
        <v>1105</v>
      </c>
      <c r="H7" s="689" t="s">
        <v>1667</v>
      </c>
      <c r="I7" s="691" t="s">
        <v>1107</v>
      </c>
      <c r="J7" s="692"/>
      <c r="K7" s="692"/>
      <c r="L7" s="692"/>
      <c r="M7" s="693"/>
      <c r="N7" s="691" t="s">
        <v>1108</v>
      </c>
      <c r="O7" s="692"/>
      <c r="P7" s="692"/>
      <c r="Q7" s="693"/>
    </row>
    <row r="8" spans="1:17" s="115" customFormat="1" ht="41.4">
      <c r="A8" s="690"/>
      <c r="B8" s="690"/>
      <c r="C8" s="690"/>
      <c r="D8" s="690"/>
      <c r="E8" s="690"/>
      <c r="F8" s="690"/>
      <c r="G8" s="690"/>
      <c r="H8" s="690"/>
      <c r="I8" s="133" t="s">
        <v>1110</v>
      </c>
      <c r="J8" s="133" t="s">
        <v>1111</v>
      </c>
      <c r="K8" s="133" t="s">
        <v>1668</v>
      </c>
      <c r="L8" s="133" t="s">
        <v>1113</v>
      </c>
      <c r="M8" s="133" t="s">
        <v>1114</v>
      </c>
      <c r="N8" s="133" t="s">
        <v>1115</v>
      </c>
      <c r="O8" s="133" t="s">
        <v>1116</v>
      </c>
      <c r="P8" s="133" t="s">
        <v>1117</v>
      </c>
      <c r="Q8" s="133" t="s">
        <v>1114</v>
      </c>
    </row>
    <row r="9" spans="1:17" s="75" customFormat="1" ht="24">
      <c r="A9" s="674">
        <v>1</v>
      </c>
      <c r="B9" s="674" t="s">
        <v>97</v>
      </c>
      <c r="C9" s="110" t="s">
        <v>1669</v>
      </c>
      <c r="D9" s="110" t="s">
        <v>1670</v>
      </c>
      <c r="E9" s="110" t="s">
        <v>1671</v>
      </c>
      <c r="F9" s="110"/>
      <c r="G9" s="110" t="s">
        <v>1672</v>
      </c>
      <c r="H9" s="110" t="s">
        <v>1673</v>
      </c>
      <c r="I9" s="130">
        <v>44593</v>
      </c>
      <c r="J9" s="130">
        <v>44774</v>
      </c>
      <c r="K9" s="111">
        <v>20160</v>
      </c>
      <c r="L9" s="111">
        <v>20160</v>
      </c>
      <c r="M9" s="111">
        <v>20160</v>
      </c>
      <c r="N9" s="74"/>
      <c r="O9" s="74"/>
      <c r="P9" s="74"/>
      <c r="Q9" s="74"/>
    </row>
    <row r="10" spans="1:17" s="75" customFormat="1" ht="24">
      <c r="A10" s="584"/>
      <c r="B10" s="584"/>
      <c r="C10" s="110" t="s">
        <v>1674</v>
      </c>
      <c r="D10" s="110" t="s">
        <v>1670</v>
      </c>
      <c r="E10" s="110" t="s">
        <v>1675</v>
      </c>
      <c r="F10" s="110"/>
      <c r="G10" s="110" t="s">
        <v>1672</v>
      </c>
      <c r="H10" s="110" t="s">
        <v>1673</v>
      </c>
      <c r="I10" s="130">
        <v>44621</v>
      </c>
      <c r="J10" s="130">
        <v>44805</v>
      </c>
      <c r="K10" s="111">
        <v>38880</v>
      </c>
      <c r="L10" s="111">
        <v>38880</v>
      </c>
      <c r="M10" s="111">
        <v>38880</v>
      </c>
      <c r="N10" s="74"/>
      <c r="O10" s="74"/>
      <c r="P10" s="74"/>
      <c r="Q10" s="74"/>
    </row>
    <row r="11" spans="1:17" s="75" customFormat="1" ht="24">
      <c r="A11" s="584"/>
      <c r="B11" s="584"/>
      <c r="C11" s="110" t="s">
        <v>1676</v>
      </c>
      <c r="D11" s="110" t="s">
        <v>1670</v>
      </c>
      <c r="E11" s="110" t="s">
        <v>1677</v>
      </c>
      <c r="F11" s="110"/>
      <c r="G11" s="110" t="s">
        <v>1678</v>
      </c>
      <c r="H11" s="110" t="s">
        <v>1673</v>
      </c>
      <c r="I11" s="130">
        <v>44635</v>
      </c>
      <c r="J11" s="130">
        <v>45000</v>
      </c>
      <c r="K11" s="111">
        <v>59500</v>
      </c>
      <c r="L11" s="111">
        <v>59500</v>
      </c>
      <c r="M11" s="111">
        <v>59500</v>
      </c>
      <c r="N11" s="74"/>
      <c r="O11" s="74"/>
      <c r="P11" s="74"/>
      <c r="Q11" s="74"/>
    </row>
    <row r="12" spans="1:17" s="75" customFormat="1" ht="24">
      <c r="A12" s="584"/>
      <c r="B12" s="584"/>
      <c r="C12" s="110" t="s">
        <v>1679</v>
      </c>
      <c r="D12" s="110" t="s">
        <v>1670</v>
      </c>
      <c r="E12" s="110" t="s">
        <v>1680</v>
      </c>
      <c r="F12" s="110"/>
      <c r="G12" s="110" t="s">
        <v>1678</v>
      </c>
      <c r="H12" s="110" t="s">
        <v>1673</v>
      </c>
      <c r="I12" s="130">
        <v>44635</v>
      </c>
      <c r="J12" s="130">
        <v>45731</v>
      </c>
      <c r="K12" s="111">
        <v>44740</v>
      </c>
      <c r="L12" s="111">
        <v>44740</v>
      </c>
      <c r="M12" s="111">
        <v>20500</v>
      </c>
      <c r="N12" s="74"/>
      <c r="O12" s="74"/>
      <c r="P12" s="74"/>
      <c r="Q12" s="74"/>
    </row>
    <row r="13" spans="1:17" s="75" customFormat="1">
      <c r="A13" s="584"/>
      <c r="B13" s="584"/>
      <c r="C13" s="110" t="s">
        <v>1681</v>
      </c>
      <c r="D13" s="110" t="s">
        <v>1670</v>
      </c>
      <c r="E13" s="110" t="s">
        <v>1682</v>
      </c>
      <c r="F13" s="110"/>
      <c r="G13" s="110" t="s">
        <v>1683</v>
      </c>
      <c r="H13" s="110" t="s">
        <v>1673</v>
      </c>
      <c r="I13" s="130">
        <v>44613</v>
      </c>
      <c r="J13" s="130">
        <v>45006</v>
      </c>
      <c r="K13" s="111">
        <v>361500</v>
      </c>
      <c r="L13" s="111">
        <v>361500</v>
      </c>
      <c r="M13" s="111">
        <v>361500</v>
      </c>
      <c r="N13" s="74"/>
      <c r="O13" s="74"/>
      <c r="P13" s="74"/>
      <c r="Q13" s="74"/>
    </row>
    <row r="14" spans="1:17" s="75" customFormat="1">
      <c r="A14" s="584"/>
      <c r="B14" s="584"/>
      <c r="C14" s="110" t="s">
        <v>1684</v>
      </c>
      <c r="D14" s="110" t="s">
        <v>1670</v>
      </c>
      <c r="E14" s="110" t="s">
        <v>1682</v>
      </c>
      <c r="F14" s="110"/>
      <c r="G14" s="110" t="s">
        <v>1685</v>
      </c>
      <c r="H14" s="110" t="s">
        <v>1673</v>
      </c>
      <c r="I14" s="130">
        <v>44621</v>
      </c>
      <c r="J14" s="130">
        <v>44986</v>
      </c>
      <c r="K14" s="111">
        <v>2991.61</v>
      </c>
      <c r="L14" s="111">
        <v>2991.61</v>
      </c>
      <c r="M14" s="111">
        <v>2991.61</v>
      </c>
      <c r="N14" s="74"/>
      <c r="O14" s="74"/>
      <c r="P14" s="74"/>
      <c r="Q14" s="74"/>
    </row>
    <row r="15" spans="1:17" s="75" customFormat="1" ht="24">
      <c r="A15" s="584"/>
      <c r="B15" s="584"/>
      <c r="C15" s="110" t="s">
        <v>1686</v>
      </c>
      <c r="D15" s="110" t="s">
        <v>1670</v>
      </c>
      <c r="E15" s="110" t="s">
        <v>1682</v>
      </c>
      <c r="F15" s="110"/>
      <c r="G15" s="110" t="s">
        <v>1687</v>
      </c>
      <c r="H15" s="110" t="s">
        <v>1673</v>
      </c>
      <c r="I15" s="130">
        <v>44623</v>
      </c>
      <c r="J15" s="130">
        <v>45023</v>
      </c>
      <c r="K15" s="111">
        <v>182294.3</v>
      </c>
      <c r="L15" s="111" t="s">
        <v>1688</v>
      </c>
      <c r="M15" s="134" t="s">
        <v>1688</v>
      </c>
      <c r="N15" s="74"/>
      <c r="O15" s="74"/>
      <c r="P15" s="74"/>
      <c r="Q15" s="74"/>
    </row>
    <row r="16" spans="1:17" s="75" customFormat="1" ht="24">
      <c r="A16" s="584"/>
      <c r="B16" s="584"/>
      <c r="C16" s="110" t="s">
        <v>1689</v>
      </c>
      <c r="D16" s="110" t="s">
        <v>1670</v>
      </c>
      <c r="E16" s="110" t="s">
        <v>1682</v>
      </c>
      <c r="F16" s="110"/>
      <c r="G16" s="110" t="s">
        <v>1690</v>
      </c>
      <c r="H16" s="110" t="s">
        <v>1673</v>
      </c>
      <c r="I16" s="130">
        <v>45017</v>
      </c>
      <c r="J16" s="130">
        <v>45383</v>
      </c>
      <c r="K16" s="111">
        <v>198901.92</v>
      </c>
      <c r="L16" s="111" t="s">
        <v>1691</v>
      </c>
      <c r="M16" s="134" t="s">
        <v>1691</v>
      </c>
      <c r="N16" s="74"/>
      <c r="O16" s="74"/>
      <c r="P16" s="74"/>
      <c r="Q16" s="74"/>
    </row>
    <row r="17" spans="1:17" s="75" customFormat="1" ht="24">
      <c r="A17" s="584"/>
      <c r="B17" s="584"/>
      <c r="C17" s="110" t="s">
        <v>1692</v>
      </c>
      <c r="D17" s="110" t="s">
        <v>1670</v>
      </c>
      <c r="E17" s="110" t="s">
        <v>1693</v>
      </c>
      <c r="F17" s="110"/>
      <c r="G17" s="110" t="s">
        <v>1694</v>
      </c>
      <c r="H17" s="110" t="s">
        <v>1673</v>
      </c>
      <c r="I17" s="130">
        <v>44958</v>
      </c>
      <c r="J17" s="130">
        <v>45323</v>
      </c>
      <c r="K17" s="111">
        <v>62550</v>
      </c>
      <c r="L17" s="111">
        <v>62550</v>
      </c>
      <c r="M17" s="111">
        <v>62550</v>
      </c>
      <c r="N17" s="74"/>
      <c r="O17" s="74"/>
      <c r="P17" s="74"/>
      <c r="Q17" s="74"/>
    </row>
    <row r="18" spans="1:17" s="75" customFormat="1" ht="24">
      <c r="A18" s="584"/>
      <c r="B18" s="584"/>
      <c r="C18" s="109" t="s">
        <v>1695</v>
      </c>
      <c r="D18" s="110" t="s">
        <v>1670</v>
      </c>
      <c r="E18" s="110" t="s">
        <v>1675</v>
      </c>
      <c r="F18" s="110"/>
      <c r="G18" s="110" t="s">
        <v>1672</v>
      </c>
      <c r="H18" s="110" t="s">
        <v>1673</v>
      </c>
      <c r="I18" s="130">
        <v>44610</v>
      </c>
      <c r="J18" s="130">
        <v>44791</v>
      </c>
      <c r="K18" s="111">
        <v>43680</v>
      </c>
      <c r="L18" s="111">
        <v>43680</v>
      </c>
      <c r="M18" s="111">
        <v>43680</v>
      </c>
      <c r="N18" s="74"/>
      <c r="O18" s="74"/>
      <c r="P18" s="74"/>
      <c r="Q18" s="74"/>
    </row>
    <row r="19" spans="1:17" s="75" customFormat="1" ht="24">
      <c r="A19" s="584"/>
      <c r="B19" s="584"/>
      <c r="C19" s="109" t="s">
        <v>1696</v>
      </c>
      <c r="D19" s="110" t="s">
        <v>1670</v>
      </c>
      <c r="E19" s="110" t="s">
        <v>1675</v>
      </c>
      <c r="F19" s="110"/>
      <c r="G19" s="110" t="s">
        <v>1678</v>
      </c>
      <c r="H19" s="110" t="s">
        <v>1673</v>
      </c>
      <c r="I19" s="130">
        <v>44635</v>
      </c>
      <c r="J19" s="130">
        <v>45000</v>
      </c>
      <c r="K19" s="111">
        <v>84012.5</v>
      </c>
      <c r="L19" s="111">
        <v>84012.5</v>
      </c>
      <c r="M19" s="111">
        <v>84012.5</v>
      </c>
      <c r="N19" s="74"/>
      <c r="O19" s="74"/>
      <c r="P19" s="74"/>
      <c r="Q19" s="74"/>
    </row>
    <row r="20" spans="1:17" s="75" customFormat="1" ht="24">
      <c r="A20" s="584"/>
      <c r="B20" s="584"/>
      <c r="C20" s="109" t="s">
        <v>1697</v>
      </c>
      <c r="D20" s="110" t="s">
        <v>1670</v>
      </c>
      <c r="E20" s="110" t="s">
        <v>1675</v>
      </c>
      <c r="F20" s="110"/>
      <c r="G20" s="110" t="s">
        <v>1672</v>
      </c>
      <c r="H20" s="110" t="s">
        <v>1673</v>
      </c>
      <c r="I20" s="130">
        <v>44795</v>
      </c>
      <c r="J20" s="130">
        <v>44826</v>
      </c>
      <c r="K20" s="111">
        <v>19720</v>
      </c>
      <c r="L20" s="111">
        <v>19720</v>
      </c>
      <c r="M20" s="111">
        <v>19720</v>
      </c>
      <c r="N20" s="74"/>
      <c r="O20" s="74"/>
      <c r="P20" s="74"/>
      <c r="Q20" s="74"/>
    </row>
    <row r="21" spans="1:17" s="75" customFormat="1" ht="36">
      <c r="A21" s="584"/>
      <c r="B21" s="584"/>
      <c r="C21" s="109" t="s">
        <v>1698</v>
      </c>
      <c r="D21" s="110" t="s">
        <v>1670</v>
      </c>
      <c r="E21" s="110" t="s">
        <v>1682</v>
      </c>
      <c r="F21" s="110"/>
      <c r="G21" s="110" t="s">
        <v>1699</v>
      </c>
      <c r="H21" s="110" t="s">
        <v>1673</v>
      </c>
      <c r="I21" s="130">
        <v>44805</v>
      </c>
      <c r="J21" s="130">
        <v>44866</v>
      </c>
      <c r="K21" s="111">
        <v>23850</v>
      </c>
      <c r="L21" s="111">
        <v>23850</v>
      </c>
      <c r="M21" s="111">
        <v>23850</v>
      </c>
      <c r="N21" s="74"/>
      <c r="O21" s="74"/>
      <c r="P21" s="74"/>
      <c r="Q21" s="74"/>
    </row>
    <row r="22" spans="1:17" s="75" customFormat="1" ht="24">
      <c r="A22" s="584"/>
      <c r="B22" s="584"/>
      <c r="C22" s="109" t="s">
        <v>1700</v>
      </c>
      <c r="D22" s="110" t="s">
        <v>1670</v>
      </c>
      <c r="E22" s="110" t="s">
        <v>1682</v>
      </c>
      <c r="F22" s="110"/>
      <c r="G22" s="110" t="s">
        <v>1672</v>
      </c>
      <c r="H22" s="110" t="s">
        <v>1673</v>
      </c>
      <c r="I22" s="130">
        <v>44774</v>
      </c>
      <c r="J22" s="130">
        <v>44926</v>
      </c>
      <c r="K22" s="111">
        <v>20160</v>
      </c>
      <c r="L22" s="111">
        <v>20160</v>
      </c>
      <c r="M22" s="111">
        <v>20160</v>
      </c>
      <c r="N22" s="74"/>
      <c r="O22" s="74"/>
      <c r="P22" s="74"/>
      <c r="Q22" s="74"/>
    </row>
    <row r="23" spans="1:17" s="75" customFormat="1" ht="24">
      <c r="A23" s="584"/>
      <c r="B23" s="584"/>
      <c r="C23" s="109" t="s">
        <v>1701</v>
      </c>
      <c r="D23" s="110" t="s">
        <v>1670</v>
      </c>
      <c r="E23" s="110" t="s">
        <v>1675</v>
      </c>
      <c r="F23" s="110"/>
      <c r="G23" s="110" t="s">
        <v>1672</v>
      </c>
      <c r="H23" s="110" t="s">
        <v>1673</v>
      </c>
      <c r="I23" s="130">
        <v>44774</v>
      </c>
      <c r="J23" s="130">
        <v>44926</v>
      </c>
      <c r="K23" s="111">
        <v>43680</v>
      </c>
      <c r="L23" s="111">
        <v>43680</v>
      </c>
      <c r="M23" s="111">
        <v>43680</v>
      </c>
      <c r="N23" s="74"/>
      <c r="O23" s="74"/>
      <c r="P23" s="74"/>
      <c r="Q23" s="74"/>
    </row>
    <row r="24" spans="1:17" s="75" customFormat="1" ht="24">
      <c r="A24" s="584"/>
      <c r="B24" s="584"/>
      <c r="C24" s="109" t="s">
        <v>1702</v>
      </c>
      <c r="D24" s="110" t="s">
        <v>1670</v>
      </c>
      <c r="E24" s="110" t="s">
        <v>1682</v>
      </c>
      <c r="F24" s="110"/>
      <c r="G24" s="110" t="s">
        <v>1672</v>
      </c>
      <c r="H24" s="110" t="s">
        <v>1673</v>
      </c>
      <c r="I24" s="130">
        <v>44805</v>
      </c>
      <c r="J24" s="130">
        <v>44927</v>
      </c>
      <c r="K24" s="111">
        <v>48180</v>
      </c>
      <c r="L24" s="111">
        <v>48180</v>
      </c>
      <c r="M24" s="111">
        <v>48180</v>
      </c>
      <c r="N24" s="74"/>
      <c r="O24" s="74"/>
      <c r="P24" s="74"/>
      <c r="Q24" s="74"/>
    </row>
    <row r="25" spans="1:17" s="75" customFormat="1" ht="24">
      <c r="A25" s="584"/>
      <c r="B25" s="584"/>
      <c r="C25" s="109" t="s">
        <v>1703</v>
      </c>
      <c r="D25" s="110" t="s">
        <v>1670</v>
      </c>
      <c r="E25" s="110" t="s">
        <v>1675</v>
      </c>
      <c r="F25" s="110"/>
      <c r="G25" s="110" t="s">
        <v>1672</v>
      </c>
      <c r="H25" s="110" t="s">
        <v>1673</v>
      </c>
      <c r="I25" s="130">
        <v>44826</v>
      </c>
      <c r="J25" s="130">
        <v>44883</v>
      </c>
      <c r="K25" s="111">
        <v>19720</v>
      </c>
      <c r="L25" s="111">
        <v>19720</v>
      </c>
      <c r="M25" s="111">
        <v>19720</v>
      </c>
      <c r="N25" s="74"/>
      <c r="O25" s="74"/>
      <c r="P25" s="74"/>
      <c r="Q25" s="74"/>
    </row>
    <row r="26" spans="1:17" s="75" customFormat="1" ht="24">
      <c r="A26" s="584"/>
      <c r="B26" s="584"/>
      <c r="C26" s="109" t="s">
        <v>1704</v>
      </c>
      <c r="D26" s="110" t="s">
        <v>1670</v>
      </c>
      <c r="E26" s="110" t="s">
        <v>1671</v>
      </c>
      <c r="F26" s="110"/>
      <c r="G26" s="110" t="s">
        <v>1672</v>
      </c>
      <c r="H26" s="110" t="s">
        <v>1673</v>
      </c>
      <c r="I26" s="130">
        <v>44805</v>
      </c>
      <c r="J26" s="130" t="s">
        <v>1705</v>
      </c>
      <c r="K26" s="111">
        <v>51678</v>
      </c>
      <c r="L26" s="111">
        <v>51678</v>
      </c>
      <c r="M26" s="111">
        <v>51678</v>
      </c>
      <c r="N26" s="74"/>
      <c r="O26" s="74"/>
      <c r="P26" s="74"/>
      <c r="Q26" s="74"/>
    </row>
    <row r="27" spans="1:17" s="75" customFormat="1" ht="24">
      <c r="A27" s="584"/>
      <c r="B27" s="584"/>
      <c r="C27" s="109" t="s">
        <v>1706</v>
      </c>
      <c r="D27" s="110" t="s">
        <v>1670</v>
      </c>
      <c r="E27" s="110" t="s">
        <v>1675</v>
      </c>
      <c r="F27" s="110"/>
      <c r="G27" s="110" t="s">
        <v>1672</v>
      </c>
      <c r="H27" s="110" t="s">
        <v>1673</v>
      </c>
      <c r="I27" s="130">
        <v>44774</v>
      </c>
      <c r="J27" s="130">
        <v>45016</v>
      </c>
      <c r="K27" s="111">
        <v>14520</v>
      </c>
      <c r="L27" s="111">
        <v>14520</v>
      </c>
      <c r="M27" s="111">
        <v>14520</v>
      </c>
      <c r="N27" s="74"/>
      <c r="O27" s="74"/>
      <c r="P27" s="74"/>
      <c r="Q27" s="74"/>
    </row>
    <row r="28" spans="1:17" s="75" customFormat="1" ht="24">
      <c r="A28" s="584"/>
      <c r="B28" s="584"/>
      <c r="C28" s="109" t="s">
        <v>1707</v>
      </c>
      <c r="D28" s="110" t="s">
        <v>1670</v>
      </c>
      <c r="E28" s="110" t="s">
        <v>1675</v>
      </c>
      <c r="F28" s="110"/>
      <c r="G28" s="110" t="s">
        <v>1672</v>
      </c>
      <c r="H28" s="110" t="s">
        <v>1673</v>
      </c>
      <c r="I28" s="130">
        <v>44927</v>
      </c>
      <c r="J28" s="130">
        <v>45016</v>
      </c>
      <c r="K28" s="111">
        <v>24090</v>
      </c>
      <c r="L28" s="111">
        <v>24090</v>
      </c>
      <c r="M28" s="111">
        <v>24090</v>
      </c>
      <c r="N28" s="74"/>
      <c r="O28" s="74"/>
      <c r="P28" s="74"/>
      <c r="Q28" s="74"/>
    </row>
    <row r="29" spans="1:17" s="75" customFormat="1" ht="24">
      <c r="A29" s="577"/>
      <c r="B29" s="577"/>
      <c r="C29" s="109" t="s">
        <v>1708</v>
      </c>
      <c r="D29" s="110" t="s">
        <v>1670</v>
      </c>
      <c r="E29" s="110" t="s">
        <v>1682</v>
      </c>
      <c r="F29" s="110"/>
      <c r="G29" s="110" t="s">
        <v>1709</v>
      </c>
      <c r="H29" s="110" t="s">
        <v>1673</v>
      </c>
      <c r="I29" s="130">
        <v>44958</v>
      </c>
      <c r="J29" s="130">
        <v>45323</v>
      </c>
      <c r="K29" s="111">
        <v>30000</v>
      </c>
      <c r="L29" s="111">
        <v>30000</v>
      </c>
      <c r="M29" s="111">
        <v>30000</v>
      </c>
      <c r="N29" s="74"/>
      <c r="O29" s="74"/>
      <c r="P29" s="74"/>
      <c r="Q29" s="74"/>
    </row>
    <row r="30" spans="1:17" ht="24">
      <c r="A30" s="571">
        <v>2</v>
      </c>
      <c r="B30" s="580" t="s">
        <v>624</v>
      </c>
      <c r="C30" s="113" t="s">
        <v>1710</v>
      </c>
      <c r="D30" s="78" t="s">
        <v>1711</v>
      </c>
      <c r="E30" s="78"/>
      <c r="F30" s="78"/>
      <c r="G30" s="78"/>
      <c r="H30" s="78"/>
      <c r="I30" s="78"/>
      <c r="J30" s="78"/>
      <c r="K30" s="78"/>
      <c r="L30" s="78"/>
      <c r="M30" s="135"/>
      <c r="N30" s="78"/>
      <c r="O30" s="78"/>
      <c r="P30" s="78"/>
      <c r="Q30" s="114">
        <v>100000</v>
      </c>
    </row>
    <row r="31" spans="1:17" ht="24">
      <c r="A31" s="572"/>
      <c r="B31" s="581"/>
      <c r="C31" s="113" t="s">
        <v>1712</v>
      </c>
      <c r="D31" s="78" t="s">
        <v>1711</v>
      </c>
      <c r="E31" s="78"/>
      <c r="F31" s="78"/>
      <c r="G31" s="78"/>
      <c r="H31" s="78" t="s">
        <v>1713</v>
      </c>
      <c r="I31" s="78"/>
      <c r="J31" s="78"/>
      <c r="K31" s="78"/>
      <c r="L31" s="78"/>
      <c r="M31" s="78"/>
      <c r="N31" s="78"/>
      <c r="O31" s="78"/>
      <c r="P31" s="78"/>
      <c r="Q31" s="114">
        <v>84243.13</v>
      </c>
    </row>
    <row r="32" spans="1:17" ht="36">
      <c r="A32" s="572"/>
      <c r="B32" s="581"/>
      <c r="C32" s="113" t="s">
        <v>1714</v>
      </c>
      <c r="D32" s="78" t="s">
        <v>1711</v>
      </c>
      <c r="E32" s="78"/>
      <c r="F32" s="78"/>
      <c r="G32" s="78"/>
      <c r="H32" s="78" t="s">
        <v>1715</v>
      </c>
      <c r="I32" s="78"/>
      <c r="J32" s="78"/>
      <c r="K32" s="78"/>
      <c r="L32" s="78"/>
      <c r="M32" s="78"/>
      <c r="N32" s="78"/>
      <c r="O32" s="78"/>
      <c r="P32" s="78"/>
      <c r="Q32" s="114">
        <v>131532.81</v>
      </c>
    </row>
    <row r="33" spans="1:17" ht="36">
      <c r="A33" s="573"/>
      <c r="B33" s="582"/>
      <c r="C33" s="113" t="s">
        <v>1716</v>
      </c>
      <c r="D33" s="78" t="s">
        <v>1711</v>
      </c>
      <c r="E33" s="78"/>
      <c r="F33" s="78"/>
      <c r="G33" s="78"/>
      <c r="H33" s="78" t="s">
        <v>1717</v>
      </c>
      <c r="I33" s="78"/>
      <c r="J33" s="78"/>
      <c r="K33" s="78"/>
      <c r="L33" s="78"/>
      <c r="M33" s="78"/>
      <c r="N33" s="78"/>
      <c r="O33" s="78"/>
      <c r="P33" s="78"/>
      <c r="Q33" s="114">
        <v>143898</v>
      </c>
    </row>
    <row r="34" spans="1:17" ht="36">
      <c r="A34" s="576">
        <v>6</v>
      </c>
      <c r="B34" s="576" t="s">
        <v>648</v>
      </c>
      <c r="C34" s="109" t="s">
        <v>1718</v>
      </c>
      <c r="D34" s="110" t="s">
        <v>16</v>
      </c>
      <c r="E34" s="110" t="s">
        <v>1719</v>
      </c>
      <c r="F34" s="110" t="s">
        <v>1720</v>
      </c>
      <c r="G34" s="110" t="s">
        <v>1721</v>
      </c>
      <c r="H34" s="110" t="s">
        <v>1722</v>
      </c>
      <c r="I34" s="132">
        <v>44531</v>
      </c>
      <c r="J34" s="132">
        <v>44896</v>
      </c>
      <c r="K34" s="116">
        <v>355267.01</v>
      </c>
      <c r="L34" s="116">
        <v>355267.01</v>
      </c>
      <c r="M34" s="116">
        <v>259149.75</v>
      </c>
      <c r="N34" s="74"/>
      <c r="O34" s="74"/>
      <c r="P34" s="74"/>
      <c r="Q34" s="136"/>
    </row>
    <row r="35" spans="1:17">
      <c r="A35" s="584"/>
      <c r="B35" s="584"/>
      <c r="C35" s="109" t="s">
        <v>1723</v>
      </c>
      <c r="D35" s="110" t="s">
        <v>16</v>
      </c>
      <c r="E35" s="110" t="s">
        <v>1719</v>
      </c>
      <c r="F35" s="110" t="s">
        <v>1724</v>
      </c>
      <c r="G35" s="110" t="s">
        <v>1725</v>
      </c>
      <c r="H35" s="110" t="s">
        <v>1726</v>
      </c>
      <c r="I35" s="132">
        <v>44562</v>
      </c>
      <c r="J35" s="132">
        <v>44896</v>
      </c>
      <c r="K35" s="116">
        <v>7280.06</v>
      </c>
      <c r="L35" s="116">
        <v>7280.06</v>
      </c>
      <c r="M35" s="116">
        <v>7280.06</v>
      </c>
      <c r="N35" s="74"/>
      <c r="O35" s="74"/>
      <c r="P35" s="74"/>
      <c r="Q35" s="74"/>
    </row>
    <row r="36" spans="1:17" ht="24">
      <c r="A36" s="584"/>
      <c r="B36" s="584"/>
      <c r="C36" s="109" t="s">
        <v>1727</v>
      </c>
      <c r="D36" s="110" t="s">
        <v>16</v>
      </c>
      <c r="E36" s="110" t="s">
        <v>1719</v>
      </c>
      <c r="F36" s="110" t="s">
        <v>1728</v>
      </c>
      <c r="G36" s="110" t="s">
        <v>1729</v>
      </c>
      <c r="H36" s="110" t="s">
        <v>1730</v>
      </c>
      <c r="I36" s="132">
        <v>44593</v>
      </c>
      <c r="J36" s="132">
        <v>44652</v>
      </c>
      <c r="K36" s="116">
        <v>30917.75</v>
      </c>
      <c r="L36" s="116">
        <v>30917.75</v>
      </c>
      <c r="M36" s="116">
        <v>30917.75</v>
      </c>
      <c r="N36" s="74"/>
      <c r="O36" s="74"/>
      <c r="P36" s="74"/>
      <c r="Q36" s="74"/>
    </row>
    <row r="37" spans="1:17" ht="36">
      <c r="A37" s="584"/>
      <c r="B37" s="584"/>
      <c r="C37" s="109" t="s">
        <v>1731</v>
      </c>
      <c r="D37" s="110" t="s">
        <v>16</v>
      </c>
      <c r="E37" s="110" t="s">
        <v>1719</v>
      </c>
      <c r="F37" s="110" t="s">
        <v>1720</v>
      </c>
      <c r="G37" s="110" t="s">
        <v>1732</v>
      </c>
      <c r="H37" s="110" t="s">
        <v>1726</v>
      </c>
      <c r="I37" s="132">
        <v>44562</v>
      </c>
      <c r="J37" s="132">
        <v>44896</v>
      </c>
      <c r="K37" s="116">
        <v>151358.92000000001</v>
      </c>
      <c r="L37" s="116">
        <v>151358.92000000001</v>
      </c>
      <c r="M37" s="116">
        <v>151358.92000000001</v>
      </c>
      <c r="N37" s="74"/>
      <c r="O37" s="74"/>
      <c r="P37" s="74"/>
      <c r="Q37" s="74"/>
    </row>
    <row r="38" spans="1:17">
      <c r="A38" s="577"/>
      <c r="B38" s="577"/>
      <c r="C38" s="109" t="s">
        <v>1733</v>
      </c>
      <c r="D38" s="110" t="s">
        <v>16</v>
      </c>
      <c r="E38" s="110" t="s">
        <v>1719</v>
      </c>
      <c r="F38" s="110" t="s">
        <v>1724</v>
      </c>
      <c r="G38" s="110" t="s">
        <v>1725</v>
      </c>
      <c r="H38" s="110" t="s">
        <v>1726</v>
      </c>
      <c r="I38" s="132">
        <v>44562</v>
      </c>
      <c r="J38" s="132">
        <v>44896</v>
      </c>
      <c r="K38" s="116">
        <v>19439.7</v>
      </c>
      <c r="L38" s="116">
        <v>19439.7</v>
      </c>
      <c r="M38" s="116">
        <v>19439.7</v>
      </c>
      <c r="N38" s="136"/>
      <c r="O38" s="74"/>
      <c r="P38" s="74"/>
      <c r="Q38" s="74"/>
    </row>
    <row r="39" spans="1:17">
      <c r="A39" s="571">
        <v>8</v>
      </c>
      <c r="B39" s="571" t="s">
        <v>656</v>
      </c>
      <c r="C39" s="77" t="s">
        <v>1734</v>
      </c>
      <c r="D39" s="76" t="s">
        <v>1735</v>
      </c>
      <c r="E39" s="76" t="s">
        <v>1736</v>
      </c>
      <c r="F39" s="76" t="s">
        <v>1737</v>
      </c>
      <c r="G39" s="76" t="s">
        <v>1738</v>
      </c>
      <c r="H39" s="76" t="s">
        <v>1726</v>
      </c>
      <c r="I39" s="76" t="s">
        <v>1739</v>
      </c>
      <c r="J39" s="76" t="s">
        <v>1740</v>
      </c>
      <c r="K39" s="117">
        <v>374000</v>
      </c>
      <c r="L39" s="117">
        <v>374000</v>
      </c>
      <c r="M39" s="117">
        <v>374000</v>
      </c>
      <c r="N39" s="76"/>
      <c r="O39" s="76"/>
      <c r="P39" s="76"/>
      <c r="Q39" s="76"/>
    </row>
    <row r="40" spans="1:17">
      <c r="A40" s="572"/>
      <c r="B40" s="572"/>
      <c r="C40" s="77" t="s">
        <v>1741</v>
      </c>
      <c r="D40" s="76" t="s">
        <v>1735</v>
      </c>
      <c r="E40" s="76" t="s">
        <v>1736</v>
      </c>
      <c r="F40" s="76" t="s">
        <v>1737</v>
      </c>
      <c r="G40" s="76" t="s">
        <v>1738</v>
      </c>
      <c r="H40" s="76" t="s">
        <v>1742</v>
      </c>
      <c r="I40" s="76">
        <v>44713</v>
      </c>
      <c r="J40" s="76" t="s">
        <v>1743</v>
      </c>
      <c r="K40" s="117">
        <v>430000</v>
      </c>
      <c r="L40" s="117">
        <v>430000</v>
      </c>
      <c r="M40" s="117">
        <v>430000</v>
      </c>
      <c r="N40" s="76"/>
      <c r="O40" s="76"/>
      <c r="P40" s="76"/>
      <c r="Q40" s="76"/>
    </row>
    <row r="41" spans="1:17">
      <c r="A41" s="573"/>
      <c r="B41" s="573"/>
      <c r="C41" s="77" t="s">
        <v>1744</v>
      </c>
      <c r="D41" s="76" t="s">
        <v>1735</v>
      </c>
      <c r="E41" s="76" t="s">
        <v>1736</v>
      </c>
      <c r="F41" s="76" t="s">
        <v>1737</v>
      </c>
      <c r="G41" s="76" t="s">
        <v>1738</v>
      </c>
      <c r="H41" s="76" t="s">
        <v>1742</v>
      </c>
      <c r="I41" s="76" t="s">
        <v>1164</v>
      </c>
      <c r="J41" s="76" t="s">
        <v>1745</v>
      </c>
      <c r="K41" s="117">
        <v>10000</v>
      </c>
      <c r="L41" s="117">
        <v>10000</v>
      </c>
      <c r="M41" s="117">
        <v>10000</v>
      </c>
      <c r="N41" s="137"/>
      <c r="O41" s="76"/>
      <c r="P41" s="76"/>
      <c r="Q41" s="76"/>
    </row>
    <row r="42" spans="1:17" s="75" customFormat="1" ht="60">
      <c r="A42" s="576">
        <v>9</v>
      </c>
      <c r="B42" s="576" t="s">
        <v>662</v>
      </c>
      <c r="C42" s="109" t="s">
        <v>1746</v>
      </c>
      <c r="D42" s="110" t="s">
        <v>1747</v>
      </c>
      <c r="E42" s="110" t="s">
        <v>1748</v>
      </c>
      <c r="F42" s="110" t="s">
        <v>1749</v>
      </c>
      <c r="G42" s="110" t="s">
        <v>1747</v>
      </c>
      <c r="H42" s="110" t="s">
        <v>1750</v>
      </c>
      <c r="I42" s="110"/>
      <c r="J42" s="110"/>
      <c r="K42" s="110"/>
      <c r="L42" s="138">
        <v>83520</v>
      </c>
      <c r="M42" s="74"/>
      <c r="N42" s="74"/>
      <c r="O42" s="74"/>
      <c r="P42" s="74"/>
      <c r="Q42" s="74"/>
    </row>
    <row r="43" spans="1:17" s="75" customFormat="1" ht="48">
      <c r="A43" s="584"/>
      <c r="B43" s="584"/>
      <c r="C43" s="109" t="s">
        <v>1751</v>
      </c>
      <c r="D43" s="110" t="s">
        <v>1752</v>
      </c>
      <c r="E43" s="110" t="s">
        <v>1753</v>
      </c>
      <c r="F43" s="110" t="s">
        <v>1754</v>
      </c>
      <c r="G43" s="110" t="s">
        <v>1755</v>
      </c>
      <c r="H43" s="110" t="s">
        <v>1756</v>
      </c>
      <c r="I43" s="110"/>
      <c r="J43" s="110"/>
      <c r="K43" s="110"/>
      <c r="L43" s="138">
        <v>20000</v>
      </c>
      <c r="M43" s="74"/>
      <c r="N43" s="74"/>
      <c r="O43" s="74"/>
      <c r="P43" s="74"/>
      <c r="Q43" s="74"/>
    </row>
    <row r="44" spans="1:17" s="75" customFormat="1" ht="60">
      <c r="A44" s="584"/>
      <c r="B44" s="584"/>
      <c r="C44" s="109" t="s">
        <v>1757</v>
      </c>
      <c r="D44" s="110" t="s">
        <v>1747</v>
      </c>
      <c r="E44" s="110" t="s">
        <v>1748</v>
      </c>
      <c r="F44" s="110" t="s">
        <v>1749</v>
      </c>
      <c r="G44" s="110" t="s">
        <v>1747</v>
      </c>
      <c r="H44" s="110" t="s">
        <v>1758</v>
      </c>
      <c r="I44" s="110"/>
      <c r="J44" s="110"/>
      <c r="K44" s="110"/>
      <c r="L44" s="138">
        <v>6668</v>
      </c>
      <c r="M44" s="74"/>
      <c r="N44" s="74"/>
      <c r="O44" s="74"/>
      <c r="P44" s="74"/>
      <c r="Q44" s="74"/>
    </row>
    <row r="45" spans="1:17" s="75" customFormat="1" ht="48">
      <c r="A45" s="584"/>
      <c r="B45" s="584"/>
      <c r="C45" s="109" t="s">
        <v>1759</v>
      </c>
      <c r="D45" s="110" t="s">
        <v>1752</v>
      </c>
      <c r="E45" s="110" t="s">
        <v>1753</v>
      </c>
      <c r="F45" s="110" t="s">
        <v>1749</v>
      </c>
      <c r="G45" s="110" t="s">
        <v>1752</v>
      </c>
      <c r="H45" s="110" t="s">
        <v>1750</v>
      </c>
      <c r="I45" s="110"/>
      <c r="J45" s="110"/>
      <c r="K45" s="110"/>
      <c r="L45" s="138">
        <v>90480</v>
      </c>
      <c r="M45" s="74"/>
      <c r="N45" s="74"/>
      <c r="O45" s="74"/>
      <c r="P45" s="74"/>
      <c r="Q45" s="74"/>
    </row>
    <row r="46" spans="1:17" s="75" customFormat="1" ht="72">
      <c r="A46" s="577"/>
      <c r="B46" s="577"/>
      <c r="C46" s="109" t="s">
        <v>1760</v>
      </c>
      <c r="D46" s="110" t="s">
        <v>1747</v>
      </c>
      <c r="E46" s="110" t="s">
        <v>1748</v>
      </c>
      <c r="F46" s="110" t="s">
        <v>1749</v>
      </c>
      <c r="G46" s="110" t="s">
        <v>1747</v>
      </c>
      <c r="H46" s="110" t="s">
        <v>1761</v>
      </c>
      <c r="I46" s="110"/>
      <c r="J46" s="110"/>
      <c r="K46" s="110"/>
      <c r="L46" s="139">
        <v>28129.5</v>
      </c>
      <c r="M46" s="140"/>
      <c r="N46" s="74"/>
      <c r="O46" s="74"/>
      <c r="P46" s="74"/>
      <c r="Q46" s="74"/>
    </row>
    <row r="47" spans="1:17">
      <c r="A47" s="571">
        <v>13</v>
      </c>
      <c r="B47" s="580" t="s">
        <v>682</v>
      </c>
      <c r="C47" s="77" t="s">
        <v>1762</v>
      </c>
      <c r="D47" s="76" t="s">
        <v>1763</v>
      </c>
      <c r="E47" s="76" t="s">
        <v>1764</v>
      </c>
      <c r="F47" s="76" t="s">
        <v>1763</v>
      </c>
      <c r="G47" s="76" t="s">
        <v>1765</v>
      </c>
      <c r="H47" s="76" t="s">
        <v>1766</v>
      </c>
      <c r="I47" s="76"/>
      <c r="J47" s="88">
        <v>44562</v>
      </c>
      <c r="K47" s="117">
        <v>44926</v>
      </c>
      <c r="L47" s="117">
        <v>252537.52</v>
      </c>
      <c r="M47" s="76"/>
      <c r="N47" s="76"/>
      <c r="O47" s="76"/>
      <c r="P47" s="76"/>
      <c r="Q47" s="76"/>
    </row>
    <row r="48" spans="1:17">
      <c r="A48" s="572"/>
      <c r="B48" s="581"/>
      <c r="C48" s="77" t="s">
        <v>1767</v>
      </c>
      <c r="D48" s="76" t="s">
        <v>1763</v>
      </c>
      <c r="E48" s="76" t="s">
        <v>1764</v>
      </c>
      <c r="F48" s="76" t="s">
        <v>1763</v>
      </c>
      <c r="G48" s="76" t="s">
        <v>1765</v>
      </c>
      <c r="H48" s="76" t="s">
        <v>1766</v>
      </c>
      <c r="I48" s="76"/>
      <c r="J48" s="88">
        <v>44562</v>
      </c>
      <c r="K48" s="117">
        <v>44926</v>
      </c>
      <c r="L48" s="117">
        <v>39433.769999999997</v>
      </c>
      <c r="M48" s="76"/>
      <c r="N48" s="76"/>
      <c r="O48" s="76"/>
      <c r="P48" s="76"/>
      <c r="Q48" s="76"/>
    </row>
    <row r="49" spans="1:17">
      <c r="A49" s="572"/>
      <c r="B49" s="581"/>
      <c r="C49" s="77" t="s">
        <v>1768</v>
      </c>
      <c r="D49" s="76" t="s">
        <v>1763</v>
      </c>
      <c r="E49" s="76" t="s">
        <v>1764</v>
      </c>
      <c r="F49" s="76" t="s">
        <v>1763</v>
      </c>
      <c r="G49" s="76" t="s">
        <v>1765</v>
      </c>
      <c r="H49" s="76" t="s">
        <v>1766</v>
      </c>
      <c r="I49" s="76"/>
      <c r="J49" s="88">
        <v>44562</v>
      </c>
      <c r="K49" s="117">
        <v>44926</v>
      </c>
      <c r="L49" s="117">
        <v>66195.446599999996</v>
      </c>
      <c r="M49" s="76"/>
      <c r="N49" s="76"/>
      <c r="O49" s="76"/>
      <c r="P49" s="76"/>
      <c r="Q49" s="76"/>
    </row>
    <row r="50" spans="1:17">
      <c r="A50" s="572"/>
      <c r="B50" s="581"/>
      <c r="C50" s="77" t="s">
        <v>1769</v>
      </c>
      <c r="D50" s="76" t="s">
        <v>1763</v>
      </c>
      <c r="E50" s="76" t="s">
        <v>1764</v>
      </c>
      <c r="F50" s="76" t="s">
        <v>1763</v>
      </c>
      <c r="G50" s="76"/>
      <c r="H50" s="76" t="s">
        <v>1770</v>
      </c>
      <c r="I50" s="76"/>
      <c r="J50" s="88" t="s">
        <v>1771</v>
      </c>
      <c r="K50" s="117"/>
      <c r="L50" s="117">
        <v>13850</v>
      </c>
      <c r="M50" s="76"/>
      <c r="N50" s="76"/>
      <c r="O50" s="76"/>
      <c r="P50" s="76"/>
      <c r="Q50" s="76"/>
    </row>
    <row r="51" spans="1:17">
      <c r="A51" s="572"/>
      <c r="B51" s="581"/>
      <c r="C51" s="77" t="s">
        <v>1772</v>
      </c>
      <c r="D51" s="76" t="s">
        <v>1763</v>
      </c>
      <c r="E51" s="76" t="s">
        <v>1764</v>
      </c>
      <c r="F51" s="76" t="s">
        <v>1763</v>
      </c>
      <c r="G51" s="76"/>
      <c r="H51" s="76" t="s">
        <v>1770</v>
      </c>
      <c r="I51" s="76"/>
      <c r="J51" s="88" t="s">
        <v>1743</v>
      </c>
      <c r="K51" s="117"/>
      <c r="L51" s="117">
        <v>17450</v>
      </c>
      <c r="M51" s="76"/>
      <c r="N51" s="76"/>
      <c r="O51" s="76"/>
      <c r="P51" s="76"/>
      <c r="Q51" s="76"/>
    </row>
    <row r="52" spans="1:17">
      <c r="A52" s="573"/>
      <c r="B52" s="582"/>
      <c r="C52" s="77" t="s">
        <v>1773</v>
      </c>
      <c r="D52" s="76" t="s">
        <v>1763</v>
      </c>
      <c r="E52" s="76" t="s">
        <v>1764</v>
      </c>
      <c r="F52" s="76" t="s">
        <v>1763</v>
      </c>
      <c r="G52" s="76"/>
      <c r="H52" s="76" t="s">
        <v>1770</v>
      </c>
      <c r="I52" s="76"/>
      <c r="J52" s="88" t="s">
        <v>1774</v>
      </c>
      <c r="K52" s="117"/>
      <c r="L52" s="117">
        <v>240000</v>
      </c>
      <c r="M52" s="137"/>
      <c r="N52" s="76"/>
      <c r="O52" s="76"/>
      <c r="P52" s="76"/>
      <c r="Q52" s="76"/>
    </row>
    <row r="53" spans="1:17">
      <c r="A53" s="576">
        <v>17</v>
      </c>
      <c r="B53" s="576" t="s">
        <v>102</v>
      </c>
      <c r="C53" s="73" t="s">
        <v>1775</v>
      </c>
      <c r="D53" s="74" t="s">
        <v>1776</v>
      </c>
      <c r="E53" s="74" t="s">
        <v>89</v>
      </c>
      <c r="F53" s="74" t="s">
        <v>1777</v>
      </c>
      <c r="G53" s="74"/>
      <c r="H53" s="74" t="s">
        <v>1726</v>
      </c>
      <c r="I53" s="74"/>
      <c r="J53" s="74"/>
      <c r="K53" s="74"/>
      <c r="L53" s="116">
        <v>20616</v>
      </c>
      <c r="M53" s="116">
        <v>20616</v>
      </c>
      <c r="N53" s="116">
        <v>20616</v>
      </c>
      <c r="O53" s="74"/>
      <c r="P53" s="74"/>
      <c r="Q53" s="74"/>
    </row>
    <row r="54" spans="1:17">
      <c r="A54" s="584"/>
      <c r="B54" s="584"/>
      <c r="C54" s="73" t="s">
        <v>1778</v>
      </c>
      <c r="D54" s="74" t="s">
        <v>1776</v>
      </c>
      <c r="E54" s="74" t="s">
        <v>89</v>
      </c>
      <c r="F54" s="74" t="s">
        <v>1777</v>
      </c>
      <c r="G54" s="74"/>
      <c r="H54" s="74" t="s">
        <v>1726</v>
      </c>
      <c r="I54" s="74"/>
      <c r="J54" s="74"/>
      <c r="K54" s="74"/>
      <c r="L54" s="116">
        <v>20616</v>
      </c>
      <c r="M54" s="116">
        <v>20616</v>
      </c>
      <c r="N54" s="116">
        <v>20616</v>
      </c>
      <c r="O54" s="74"/>
      <c r="P54" s="74"/>
      <c r="Q54" s="74"/>
    </row>
    <row r="55" spans="1:17">
      <c r="A55" s="584"/>
      <c r="B55" s="584"/>
      <c r="C55" s="73" t="s">
        <v>1779</v>
      </c>
      <c r="D55" s="74" t="s">
        <v>1776</v>
      </c>
      <c r="E55" s="74" t="s">
        <v>89</v>
      </c>
      <c r="F55" s="74" t="s">
        <v>1777</v>
      </c>
      <c r="G55" s="74"/>
      <c r="H55" s="74" t="s">
        <v>1726</v>
      </c>
      <c r="I55" s="74"/>
      <c r="J55" s="74"/>
      <c r="K55" s="74"/>
      <c r="L55" s="116">
        <v>29376</v>
      </c>
      <c r="M55" s="116">
        <v>29376</v>
      </c>
      <c r="N55" s="116">
        <v>29376</v>
      </c>
      <c r="O55" s="74"/>
      <c r="P55" s="74"/>
      <c r="Q55" s="74"/>
    </row>
    <row r="56" spans="1:17">
      <c r="A56" s="577"/>
      <c r="B56" s="577"/>
      <c r="C56" s="73" t="s">
        <v>1780</v>
      </c>
      <c r="D56" s="74" t="s">
        <v>1781</v>
      </c>
      <c r="E56" s="74" t="s">
        <v>1496</v>
      </c>
      <c r="F56" s="74" t="s">
        <v>1777</v>
      </c>
      <c r="G56" s="74"/>
      <c r="H56" s="74" t="s">
        <v>1726</v>
      </c>
      <c r="I56" s="74"/>
      <c r="J56" s="74"/>
      <c r="K56" s="74"/>
      <c r="L56" s="116">
        <v>76684</v>
      </c>
      <c r="M56" s="116">
        <v>76684</v>
      </c>
      <c r="N56" s="116">
        <v>76684</v>
      </c>
      <c r="O56" s="136"/>
      <c r="P56" s="74"/>
      <c r="Q56" s="74"/>
    </row>
    <row r="57" spans="1:17">
      <c r="A57" s="571">
        <v>24</v>
      </c>
      <c r="B57" s="571" t="s">
        <v>729</v>
      </c>
      <c r="C57" s="574"/>
      <c r="D57" s="76" t="s">
        <v>1782</v>
      </c>
      <c r="E57" s="76" t="s">
        <v>1257</v>
      </c>
      <c r="F57" s="76" t="s">
        <v>1783</v>
      </c>
      <c r="G57" s="76" t="s">
        <v>1784</v>
      </c>
      <c r="H57" s="76" t="s">
        <v>1785</v>
      </c>
      <c r="I57" s="76"/>
      <c r="J57" s="76"/>
      <c r="K57" s="117">
        <v>0</v>
      </c>
      <c r="L57" s="117"/>
      <c r="M57" s="117">
        <v>39458</v>
      </c>
      <c r="N57" s="76"/>
      <c r="O57" s="76"/>
      <c r="P57" s="76"/>
      <c r="Q57" s="76"/>
    </row>
    <row r="58" spans="1:17">
      <c r="A58" s="572"/>
      <c r="B58" s="572"/>
      <c r="C58" s="583"/>
      <c r="D58" s="76" t="s">
        <v>1782</v>
      </c>
      <c r="E58" s="76" t="s">
        <v>1257</v>
      </c>
      <c r="F58" s="76" t="s">
        <v>1786</v>
      </c>
      <c r="G58" s="76" t="s">
        <v>1787</v>
      </c>
      <c r="H58" s="76" t="s">
        <v>1788</v>
      </c>
      <c r="I58" s="76"/>
      <c r="J58" s="76"/>
      <c r="K58" s="117">
        <v>4800</v>
      </c>
      <c r="L58" s="117"/>
      <c r="M58" s="117">
        <v>4800</v>
      </c>
      <c r="N58" s="76"/>
      <c r="O58" s="76"/>
      <c r="P58" s="76"/>
      <c r="Q58" s="76"/>
    </row>
    <row r="59" spans="1:17">
      <c r="A59" s="572"/>
      <c r="B59" s="572"/>
      <c r="C59" s="583"/>
      <c r="D59" s="76" t="s">
        <v>1782</v>
      </c>
      <c r="E59" s="76" t="s">
        <v>1257</v>
      </c>
      <c r="F59" s="76" t="s">
        <v>1786</v>
      </c>
      <c r="G59" s="76" t="s">
        <v>1789</v>
      </c>
      <c r="H59" s="76" t="s">
        <v>1788</v>
      </c>
      <c r="I59" s="76"/>
      <c r="J59" s="76"/>
      <c r="K59" s="117">
        <v>23760</v>
      </c>
      <c r="L59" s="117"/>
      <c r="M59" s="117">
        <v>23760</v>
      </c>
      <c r="N59" s="76"/>
      <c r="O59" s="76"/>
      <c r="P59" s="76"/>
      <c r="Q59" s="76"/>
    </row>
    <row r="60" spans="1:17">
      <c r="A60" s="572"/>
      <c r="B60" s="572"/>
      <c r="C60" s="583"/>
      <c r="D60" s="76" t="s">
        <v>1782</v>
      </c>
      <c r="E60" s="76" t="s">
        <v>1257</v>
      </c>
      <c r="F60" s="76" t="s">
        <v>1786</v>
      </c>
      <c r="G60" s="76" t="s">
        <v>1787</v>
      </c>
      <c r="H60" s="76" t="s">
        <v>1788</v>
      </c>
      <c r="I60" s="76"/>
      <c r="J60" s="76"/>
      <c r="K60" s="117">
        <v>12000</v>
      </c>
      <c r="L60" s="117"/>
      <c r="M60" s="117">
        <v>12000</v>
      </c>
      <c r="N60" s="76"/>
      <c r="O60" s="76"/>
      <c r="P60" s="76"/>
      <c r="Q60" s="76"/>
    </row>
    <row r="61" spans="1:17">
      <c r="A61" s="572"/>
      <c r="B61" s="572"/>
      <c r="C61" s="583"/>
      <c r="D61" s="76" t="s">
        <v>1782</v>
      </c>
      <c r="E61" s="76" t="s">
        <v>1257</v>
      </c>
      <c r="F61" s="76" t="s">
        <v>1783</v>
      </c>
      <c r="G61" s="76" t="s">
        <v>1784</v>
      </c>
      <c r="H61" s="76" t="s">
        <v>1785</v>
      </c>
      <c r="I61" s="76"/>
      <c r="J61" s="76"/>
      <c r="K61" s="117">
        <v>18000</v>
      </c>
      <c r="L61" s="117"/>
      <c r="M61" s="117">
        <v>18000</v>
      </c>
      <c r="N61" s="76"/>
      <c r="O61" s="76"/>
      <c r="P61" s="76"/>
      <c r="Q61" s="76"/>
    </row>
    <row r="62" spans="1:17">
      <c r="A62" s="572"/>
      <c r="B62" s="572"/>
      <c r="C62" s="583"/>
      <c r="D62" s="76" t="s">
        <v>1782</v>
      </c>
      <c r="E62" s="76" t="s">
        <v>1257</v>
      </c>
      <c r="F62" s="76" t="s">
        <v>1783</v>
      </c>
      <c r="G62" s="76" t="s">
        <v>1784</v>
      </c>
      <c r="H62" s="76" t="s">
        <v>1785</v>
      </c>
      <c r="I62" s="76"/>
      <c r="J62" s="76"/>
      <c r="K62" s="117">
        <v>20000</v>
      </c>
      <c r="L62" s="117"/>
      <c r="M62" s="117">
        <v>20000</v>
      </c>
      <c r="N62" s="76"/>
      <c r="O62" s="76"/>
      <c r="P62" s="76"/>
      <c r="Q62" s="76"/>
    </row>
    <row r="63" spans="1:17">
      <c r="A63" s="572"/>
      <c r="B63" s="572"/>
      <c r="C63" s="583"/>
      <c r="D63" s="76" t="s">
        <v>1782</v>
      </c>
      <c r="E63" s="76" t="s">
        <v>1257</v>
      </c>
      <c r="F63" s="76" t="s">
        <v>1783</v>
      </c>
      <c r="G63" s="76" t="s">
        <v>1790</v>
      </c>
      <c r="H63" s="76" t="s">
        <v>1791</v>
      </c>
      <c r="I63" s="76"/>
      <c r="J63" s="76"/>
      <c r="K63" s="117">
        <v>4193.3999999999996</v>
      </c>
      <c r="L63" s="117"/>
      <c r="M63" s="117">
        <v>0</v>
      </c>
      <c r="N63" s="76"/>
      <c r="O63" s="76"/>
      <c r="P63" s="76"/>
      <c r="Q63" s="76"/>
    </row>
    <row r="64" spans="1:17">
      <c r="A64" s="572"/>
      <c r="B64" s="572"/>
      <c r="C64" s="583"/>
      <c r="D64" s="76" t="s">
        <v>1782</v>
      </c>
      <c r="E64" s="76" t="s">
        <v>1257</v>
      </c>
      <c r="F64" s="76" t="s">
        <v>1792</v>
      </c>
      <c r="G64" s="76" t="s">
        <v>1790</v>
      </c>
      <c r="H64" s="76" t="s">
        <v>1791</v>
      </c>
      <c r="I64" s="76"/>
      <c r="J64" s="76"/>
      <c r="K64" s="117">
        <v>4997.6499999999996</v>
      </c>
      <c r="L64" s="117"/>
      <c r="M64" s="117">
        <v>0</v>
      </c>
      <c r="N64" s="76"/>
      <c r="O64" s="76"/>
      <c r="P64" s="76"/>
      <c r="Q64" s="76"/>
    </row>
    <row r="65" spans="1:17">
      <c r="A65" s="573"/>
      <c r="B65" s="573"/>
      <c r="C65" s="575"/>
      <c r="D65" s="76" t="s">
        <v>1782</v>
      </c>
      <c r="E65" s="76" t="s">
        <v>1257</v>
      </c>
      <c r="F65" s="76" t="s">
        <v>1792</v>
      </c>
      <c r="G65" s="76" t="s">
        <v>1793</v>
      </c>
      <c r="H65" s="76" t="s">
        <v>1791</v>
      </c>
      <c r="I65" s="76"/>
      <c r="J65" s="76"/>
      <c r="K65" s="117">
        <v>40769</v>
      </c>
      <c r="L65" s="117"/>
      <c r="M65" s="117">
        <v>68192</v>
      </c>
      <c r="N65" s="137"/>
      <c r="O65" s="76"/>
      <c r="P65" s="76"/>
      <c r="Q65" s="76"/>
    </row>
    <row r="66" spans="1:17">
      <c r="A66" s="576">
        <v>27</v>
      </c>
      <c r="B66" s="576" t="s">
        <v>115</v>
      </c>
      <c r="C66" s="109" t="s">
        <v>1794</v>
      </c>
      <c r="D66" s="74"/>
      <c r="E66" s="74" t="s">
        <v>1795</v>
      </c>
      <c r="F66" s="74"/>
      <c r="G66" s="74"/>
      <c r="H66" s="74" t="s">
        <v>1796</v>
      </c>
      <c r="I66" s="74"/>
      <c r="J66" s="74"/>
      <c r="K66" s="74"/>
      <c r="L66" s="116"/>
      <c r="M66" s="116">
        <v>71365</v>
      </c>
      <c r="N66" s="74"/>
      <c r="O66" s="74"/>
      <c r="P66" s="74"/>
      <c r="Q66" s="74"/>
    </row>
    <row r="67" spans="1:17">
      <c r="A67" s="584"/>
      <c r="B67" s="584"/>
      <c r="C67" s="109" t="s">
        <v>1797</v>
      </c>
      <c r="D67" s="74"/>
      <c r="E67" s="74" t="s">
        <v>1795</v>
      </c>
      <c r="F67" s="74"/>
      <c r="G67" s="74"/>
      <c r="H67" s="74" t="s">
        <v>1796</v>
      </c>
      <c r="I67" s="74"/>
      <c r="J67" s="74"/>
      <c r="K67" s="74"/>
      <c r="L67" s="116"/>
      <c r="M67" s="116">
        <v>4400</v>
      </c>
      <c r="N67" s="74"/>
      <c r="O67" s="74"/>
      <c r="P67" s="74"/>
      <c r="Q67" s="74"/>
    </row>
    <row r="68" spans="1:17" ht="24">
      <c r="A68" s="584"/>
      <c r="B68" s="584"/>
      <c r="C68" s="109" t="s">
        <v>1798</v>
      </c>
      <c r="D68" s="74"/>
      <c r="E68" s="74" t="s">
        <v>1795</v>
      </c>
      <c r="F68" s="74"/>
      <c r="G68" s="74"/>
      <c r="H68" s="74" t="s">
        <v>1796</v>
      </c>
      <c r="I68" s="74"/>
      <c r="J68" s="74"/>
      <c r="K68" s="74"/>
      <c r="L68" s="116"/>
      <c r="M68" s="116">
        <v>39875</v>
      </c>
      <c r="N68" s="74"/>
      <c r="O68" s="74"/>
      <c r="P68" s="74"/>
      <c r="Q68" s="74"/>
    </row>
    <row r="69" spans="1:17" ht="24">
      <c r="A69" s="584"/>
      <c r="B69" s="584"/>
      <c r="C69" s="109" t="s">
        <v>1799</v>
      </c>
      <c r="D69" s="74"/>
      <c r="E69" s="74" t="s">
        <v>1795</v>
      </c>
      <c r="F69" s="74"/>
      <c r="G69" s="74"/>
      <c r="H69" s="74" t="s">
        <v>1796</v>
      </c>
      <c r="I69" s="74"/>
      <c r="J69" s="74"/>
      <c r="K69" s="74"/>
      <c r="L69" s="116"/>
      <c r="M69" s="116">
        <v>185000</v>
      </c>
      <c r="N69" s="74"/>
      <c r="O69" s="74"/>
      <c r="P69" s="74"/>
      <c r="Q69" s="74"/>
    </row>
    <row r="70" spans="1:17" ht="24">
      <c r="A70" s="584"/>
      <c r="B70" s="584"/>
      <c r="C70" s="109" t="s">
        <v>1800</v>
      </c>
      <c r="D70" s="74"/>
      <c r="E70" s="74" t="s">
        <v>1795</v>
      </c>
      <c r="F70" s="74"/>
      <c r="G70" s="74"/>
      <c r="H70" s="74" t="s">
        <v>1796</v>
      </c>
      <c r="I70" s="74"/>
      <c r="J70" s="74"/>
      <c r="K70" s="74"/>
      <c r="L70" s="116"/>
      <c r="M70" s="116">
        <v>21555</v>
      </c>
      <c r="N70" s="74"/>
      <c r="O70" s="74"/>
      <c r="P70" s="74"/>
      <c r="Q70" s="74"/>
    </row>
    <row r="71" spans="1:17">
      <c r="A71" s="577"/>
      <c r="B71" s="577"/>
      <c r="C71" s="73" t="s">
        <v>1801</v>
      </c>
      <c r="D71" s="74"/>
      <c r="E71" s="74" t="s">
        <v>1795</v>
      </c>
      <c r="F71" s="74"/>
      <c r="G71" s="74"/>
      <c r="H71" s="74" t="s">
        <v>1796</v>
      </c>
      <c r="I71" s="74"/>
      <c r="J71" s="74"/>
      <c r="K71" s="74"/>
      <c r="L71" s="116"/>
      <c r="M71" s="116">
        <v>34569</v>
      </c>
      <c r="N71" s="136"/>
      <c r="O71" s="74"/>
      <c r="P71" s="74"/>
      <c r="Q71" s="74"/>
    </row>
    <row r="72" spans="1:17" ht="24">
      <c r="A72" s="76">
        <v>29</v>
      </c>
      <c r="B72" s="76" t="s">
        <v>752</v>
      </c>
      <c r="C72" s="78" t="s">
        <v>1802</v>
      </c>
      <c r="D72" s="76"/>
      <c r="E72" s="76" t="s">
        <v>1295</v>
      </c>
      <c r="F72" s="76" t="s">
        <v>1295</v>
      </c>
      <c r="G72" s="76" t="s">
        <v>1295</v>
      </c>
      <c r="H72" s="76" t="s">
        <v>1295</v>
      </c>
      <c r="I72" s="76" t="s">
        <v>1295</v>
      </c>
      <c r="J72" s="76" t="s">
        <v>1295</v>
      </c>
      <c r="K72" s="76" t="s">
        <v>1295</v>
      </c>
      <c r="L72" s="117">
        <v>113984</v>
      </c>
      <c r="M72" s="117">
        <v>113984</v>
      </c>
      <c r="N72" s="117"/>
      <c r="O72" s="76"/>
      <c r="P72" s="76"/>
      <c r="Q72" s="76"/>
    </row>
    <row r="73" spans="1:17">
      <c r="A73" s="576">
        <v>57</v>
      </c>
      <c r="B73" s="576" t="s">
        <v>182</v>
      </c>
      <c r="C73" s="74" t="s">
        <v>1803</v>
      </c>
      <c r="D73" s="74" t="s">
        <v>1804</v>
      </c>
      <c r="E73" s="74" t="s">
        <v>1504</v>
      </c>
      <c r="F73" s="74" t="s">
        <v>1504</v>
      </c>
      <c r="G73" s="74" t="s">
        <v>1805</v>
      </c>
      <c r="H73" s="74" t="s">
        <v>1806</v>
      </c>
      <c r="I73" s="74"/>
      <c r="J73" s="74"/>
      <c r="K73" s="74"/>
      <c r="L73" s="116"/>
      <c r="M73" s="116">
        <v>45725</v>
      </c>
      <c r="N73" s="116"/>
      <c r="O73" s="74"/>
      <c r="P73" s="74"/>
      <c r="Q73" s="74"/>
    </row>
    <row r="74" spans="1:17">
      <c r="A74" s="584"/>
      <c r="B74" s="584"/>
      <c r="C74" s="74" t="s">
        <v>1807</v>
      </c>
      <c r="D74" s="74" t="s">
        <v>1804</v>
      </c>
      <c r="E74" s="74" t="s">
        <v>1504</v>
      </c>
      <c r="F74" s="74" t="s">
        <v>1504</v>
      </c>
      <c r="G74" s="74" t="s">
        <v>1805</v>
      </c>
      <c r="H74" s="74" t="s">
        <v>1806</v>
      </c>
      <c r="I74" s="74"/>
      <c r="J74" s="74"/>
      <c r="K74" s="74"/>
      <c r="L74" s="116"/>
      <c r="M74" s="116">
        <v>3490</v>
      </c>
      <c r="N74" s="116"/>
      <c r="O74" s="74"/>
      <c r="P74" s="74"/>
      <c r="Q74" s="74"/>
    </row>
    <row r="75" spans="1:17">
      <c r="A75" s="584"/>
      <c r="B75" s="584"/>
      <c r="C75" s="74" t="s">
        <v>1808</v>
      </c>
      <c r="D75" s="74" t="s">
        <v>1645</v>
      </c>
      <c r="E75" s="74" t="s">
        <v>1504</v>
      </c>
      <c r="F75" s="74" t="s">
        <v>1504</v>
      </c>
      <c r="G75" s="74" t="s">
        <v>1809</v>
      </c>
      <c r="H75" s="74" t="s">
        <v>1806</v>
      </c>
      <c r="I75" s="74"/>
      <c r="J75" s="74"/>
      <c r="K75" s="74"/>
      <c r="L75" s="116"/>
      <c r="M75" s="116">
        <v>88500</v>
      </c>
      <c r="N75" s="116"/>
      <c r="O75" s="74"/>
      <c r="P75" s="74"/>
      <c r="Q75" s="74"/>
    </row>
    <row r="76" spans="1:17">
      <c r="A76" s="584"/>
      <c r="B76" s="584"/>
      <c r="C76" s="74" t="s">
        <v>1810</v>
      </c>
      <c r="D76" s="74" t="s">
        <v>1022</v>
      </c>
      <c r="E76" s="74" t="s">
        <v>651</v>
      </c>
      <c r="F76" s="74" t="s">
        <v>1504</v>
      </c>
      <c r="G76" s="74" t="s">
        <v>1811</v>
      </c>
      <c r="H76" s="74" t="s">
        <v>1806</v>
      </c>
      <c r="I76" s="74"/>
      <c r="J76" s="74"/>
      <c r="K76" s="74"/>
      <c r="L76" s="116"/>
      <c r="M76" s="116">
        <v>21000</v>
      </c>
      <c r="N76" s="116"/>
      <c r="O76" s="74"/>
      <c r="P76" s="74"/>
      <c r="Q76" s="74"/>
    </row>
    <row r="77" spans="1:17">
      <c r="A77" s="584"/>
      <c r="B77" s="584"/>
      <c r="C77" s="74" t="s">
        <v>1812</v>
      </c>
      <c r="D77" s="74" t="s">
        <v>1022</v>
      </c>
      <c r="E77" s="74" t="s">
        <v>651</v>
      </c>
      <c r="F77" s="74" t="s">
        <v>1504</v>
      </c>
      <c r="G77" s="74" t="s">
        <v>1813</v>
      </c>
      <c r="H77" s="74" t="s">
        <v>1806</v>
      </c>
      <c r="I77" s="74"/>
      <c r="J77" s="74"/>
      <c r="K77" s="74"/>
      <c r="L77" s="116"/>
      <c r="M77" s="116">
        <v>16100</v>
      </c>
      <c r="N77" s="116"/>
      <c r="O77" s="74"/>
      <c r="P77" s="74"/>
      <c r="Q77" s="74"/>
    </row>
    <row r="78" spans="1:17">
      <c r="A78" s="584"/>
      <c r="B78" s="584"/>
      <c r="C78" s="74" t="s">
        <v>1814</v>
      </c>
      <c r="D78" s="74" t="s">
        <v>1022</v>
      </c>
      <c r="E78" s="74" t="s">
        <v>651</v>
      </c>
      <c r="F78" s="74" t="s">
        <v>1504</v>
      </c>
      <c r="G78" s="74" t="s">
        <v>1</v>
      </c>
      <c r="H78" s="74" t="s">
        <v>1806</v>
      </c>
      <c r="I78" s="74"/>
      <c r="J78" s="74"/>
      <c r="K78" s="74"/>
      <c r="L78" s="116"/>
      <c r="M78" s="116">
        <v>0</v>
      </c>
      <c r="N78" s="116"/>
      <c r="O78" s="74"/>
      <c r="P78" s="74"/>
      <c r="Q78" s="74"/>
    </row>
    <row r="79" spans="1:17">
      <c r="A79" s="584"/>
      <c r="B79" s="584"/>
      <c r="C79" s="74" t="s">
        <v>1815</v>
      </c>
      <c r="D79" s="74" t="s">
        <v>1645</v>
      </c>
      <c r="E79" s="74" t="s">
        <v>1504</v>
      </c>
      <c r="F79" s="74" t="s">
        <v>1504</v>
      </c>
      <c r="G79" s="74" t="s">
        <v>1816</v>
      </c>
      <c r="H79" s="74" t="s">
        <v>1806</v>
      </c>
      <c r="I79" s="74"/>
      <c r="J79" s="74"/>
      <c r="K79" s="74"/>
      <c r="L79" s="116"/>
      <c r="M79" s="116">
        <v>197840</v>
      </c>
      <c r="N79" s="116"/>
      <c r="O79" s="74"/>
      <c r="P79" s="74"/>
      <c r="Q79" s="74"/>
    </row>
    <row r="80" spans="1:17">
      <c r="A80" s="584"/>
      <c r="B80" s="584"/>
      <c r="C80" s="74" t="s">
        <v>1817</v>
      </c>
      <c r="D80" s="74" t="s">
        <v>1022</v>
      </c>
      <c r="E80" s="74" t="s">
        <v>1504</v>
      </c>
      <c r="F80" s="74" t="s">
        <v>1504</v>
      </c>
      <c r="G80" s="74" t="s">
        <v>1818</v>
      </c>
      <c r="H80" s="74" t="s">
        <v>1806</v>
      </c>
      <c r="I80" s="74"/>
      <c r="J80" s="74"/>
      <c r="K80" s="74"/>
      <c r="L80" s="116"/>
      <c r="M80" s="116">
        <v>13782</v>
      </c>
      <c r="N80" s="116"/>
      <c r="O80" s="74"/>
      <c r="P80" s="74"/>
      <c r="Q80" s="74"/>
    </row>
    <row r="81" spans="1:18">
      <c r="A81" s="584"/>
      <c r="B81" s="584"/>
      <c r="C81" s="74" t="s">
        <v>1819</v>
      </c>
      <c r="D81" s="74" t="s">
        <v>1022</v>
      </c>
      <c r="E81" s="74" t="s">
        <v>651</v>
      </c>
      <c r="F81" s="74" t="s">
        <v>1504</v>
      </c>
      <c r="G81" s="74" t="s">
        <v>1</v>
      </c>
      <c r="H81" s="74" t="s">
        <v>1806</v>
      </c>
      <c r="I81" s="74"/>
      <c r="J81" s="74"/>
      <c r="K81" s="74"/>
      <c r="L81" s="116"/>
      <c r="M81" s="116">
        <v>395815.86</v>
      </c>
      <c r="N81" s="116"/>
      <c r="O81" s="74"/>
      <c r="P81" s="74"/>
      <c r="Q81" s="74"/>
    </row>
    <row r="82" spans="1:18">
      <c r="A82" s="584"/>
      <c r="B82" s="584"/>
      <c r="C82" s="74" t="s">
        <v>1820</v>
      </c>
      <c r="D82" s="74" t="s">
        <v>1645</v>
      </c>
      <c r="E82" s="74" t="s">
        <v>1504</v>
      </c>
      <c r="F82" s="74" t="s">
        <v>1504</v>
      </c>
      <c r="G82" s="74" t="s">
        <v>1821</v>
      </c>
      <c r="H82" s="74" t="s">
        <v>1806</v>
      </c>
      <c r="I82" s="74"/>
      <c r="J82" s="74"/>
      <c r="K82" s="74"/>
      <c r="L82" s="116"/>
      <c r="M82" s="116">
        <v>42817.21</v>
      </c>
      <c r="N82" s="116"/>
      <c r="O82" s="74"/>
      <c r="P82" s="74"/>
      <c r="Q82" s="74"/>
    </row>
    <row r="83" spans="1:18">
      <c r="A83" s="577"/>
      <c r="B83" s="577"/>
      <c r="C83" s="74" t="s">
        <v>1822</v>
      </c>
      <c r="D83" s="74" t="s">
        <v>1645</v>
      </c>
      <c r="E83" s="74" t="s">
        <v>1504</v>
      </c>
      <c r="F83" s="74" t="s">
        <v>1504</v>
      </c>
      <c r="G83" s="74" t="s">
        <v>1823</v>
      </c>
      <c r="H83" s="74" t="s">
        <v>1806</v>
      </c>
      <c r="I83" s="74"/>
      <c r="J83" s="74"/>
      <c r="K83" s="74"/>
      <c r="L83" s="116"/>
      <c r="M83" s="116">
        <v>65894.789999999994</v>
      </c>
      <c r="N83" s="116"/>
      <c r="O83" s="74"/>
      <c r="P83" s="74"/>
      <c r="Q83" s="74"/>
    </row>
    <row r="84" spans="1:18" ht="36">
      <c r="A84" s="76"/>
      <c r="B84" s="77" t="s">
        <v>3747</v>
      </c>
      <c r="C84" s="76" t="s">
        <v>3753</v>
      </c>
      <c r="D84" s="78" t="s">
        <v>3754</v>
      </c>
      <c r="E84" s="76" t="s">
        <v>3755</v>
      </c>
      <c r="F84" s="76" t="s">
        <v>3756</v>
      </c>
      <c r="G84" s="76"/>
      <c r="H84" s="76" t="s">
        <v>3757</v>
      </c>
      <c r="I84" s="280">
        <v>44562</v>
      </c>
      <c r="J84" s="280">
        <v>44926</v>
      </c>
      <c r="K84" s="117">
        <v>42220</v>
      </c>
      <c r="L84" s="117">
        <v>42220</v>
      </c>
      <c r="M84" s="117">
        <v>42220</v>
      </c>
      <c r="N84" s="117"/>
      <c r="O84" s="117"/>
      <c r="P84" s="76"/>
      <c r="Q84" s="76"/>
      <c r="R84" s="76"/>
    </row>
  </sheetData>
  <mergeCells count="31">
    <mergeCell ref="G7:G8"/>
    <mergeCell ref="H7:H8"/>
    <mergeCell ref="I7:M7"/>
    <mergeCell ref="N7:Q7"/>
    <mergeCell ref="A9:A29"/>
    <mergeCell ref="B9:B29"/>
    <mergeCell ref="A7:A8"/>
    <mergeCell ref="B7:B8"/>
    <mergeCell ref="C7:C8"/>
    <mergeCell ref="D7:D8"/>
    <mergeCell ref="E7:E8"/>
    <mergeCell ref="F7:F8"/>
    <mergeCell ref="A30:A33"/>
    <mergeCell ref="B30:B33"/>
    <mergeCell ref="A34:A38"/>
    <mergeCell ref="B34:B38"/>
    <mergeCell ref="A39:A41"/>
    <mergeCell ref="B39:B41"/>
    <mergeCell ref="A42:A46"/>
    <mergeCell ref="B42:B46"/>
    <mergeCell ref="A47:A52"/>
    <mergeCell ref="B47:B52"/>
    <mergeCell ref="A53:A56"/>
    <mergeCell ref="B53:B56"/>
    <mergeCell ref="C57:C65"/>
    <mergeCell ref="A66:A71"/>
    <mergeCell ref="B66:B71"/>
    <mergeCell ref="A73:A83"/>
    <mergeCell ref="B73:B83"/>
    <mergeCell ref="A57:A65"/>
    <mergeCell ref="B57:B65"/>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9"/>
  <dimension ref="A3:H68"/>
  <sheetViews>
    <sheetView zoomScale="80" zoomScaleNormal="80" workbookViewId="0">
      <selection activeCell="A3" sqref="A3"/>
    </sheetView>
  </sheetViews>
  <sheetFormatPr baseColWidth="10" defaultRowHeight="13.8"/>
  <cols>
    <col min="1" max="1" width="10.69921875" style="67"/>
    <col min="2" max="2" width="57.59765625" bestFit="1" customWidth="1"/>
  </cols>
  <sheetData>
    <row r="3" spans="1:8" ht="16.2">
      <c r="A3" s="10" t="s">
        <v>3810</v>
      </c>
    </row>
    <row r="7" spans="1:8">
      <c r="C7" s="613" t="s">
        <v>1824</v>
      </c>
      <c r="D7" s="613"/>
      <c r="E7" s="613" t="s">
        <v>1825</v>
      </c>
      <c r="F7" s="613"/>
      <c r="G7" s="613" t="s">
        <v>1826</v>
      </c>
      <c r="H7" s="613"/>
    </row>
    <row r="8" spans="1:8" ht="14.4" thickBot="1">
      <c r="B8" s="97" t="s">
        <v>1087</v>
      </c>
      <c r="C8" s="97" t="s">
        <v>1088</v>
      </c>
      <c r="D8" s="97" t="s">
        <v>1081</v>
      </c>
      <c r="E8" s="97" t="s">
        <v>1088</v>
      </c>
      <c r="F8" s="97" t="s">
        <v>1081</v>
      </c>
      <c r="G8" s="97" t="s">
        <v>1088</v>
      </c>
      <c r="H8" s="97" t="s">
        <v>1081</v>
      </c>
    </row>
    <row r="9" spans="1:8" ht="15" thickTop="1">
      <c r="A9" s="36">
        <v>5</v>
      </c>
      <c r="B9" s="98" t="s">
        <v>643</v>
      </c>
      <c r="C9" s="36" t="s">
        <v>1089</v>
      </c>
      <c r="D9" s="36"/>
      <c r="E9" s="36" t="s">
        <v>1089</v>
      </c>
      <c r="F9" s="36"/>
      <c r="G9" s="36" t="s">
        <v>1089</v>
      </c>
      <c r="H9" s="36"/>
    </row>
    <row r="10" spans="1:8" ht="14.4">
      <c r="A10" s="34">
        <v>8</v>
      </c>
      <c r="B10" s="99" t="s">
        <v>656</v>
      </c>
      <c r="C10" s="34" t="s">
        <v>1089</v>
      </c>
      <c r="D10" s="34"/>
      <c r="E10" s="34" t="s">
        <v>1089</v>
      </c>
      <c r="F10" s="34"/>
      <c r="G10" s="34" t="s">
        <v>1089</v>
      </c>
      <c r="H10" s="34"/>
    </row>
    <row r="11" spans="1:8" ht="14.4">
      <c r="A11" s="36">
        <v>10</v>
      </c>
      <c r="B11" s="98" t="s">
        <v>666</v>
      </c>
      <c r="C11" s="36" t="s">
        <v>1089</v>
      </c>
      <c r="D11" s="36"/>
      <c r="E11" s="36" t="s">
        <v>1089</v>
      </c>
      <c r="F11" s="36"/>
      <c r="G11" s="36" t="s">
        <v>1089</v>
      </c>
      <c r="H11" s="36"/>
    </row>
    <row r="12" spans="1:8" ht="14.4">
      <c r="A12" s="34">
        <v>11</v>
      </c>
      <c r="B12" s="99" t="s">
        <v>670</v>
      </c>
      <c r="C12" s="34" t="s">
        <v>1089</v>
      </c>
      <c r="D12" s="34"/>
      <c r="E12" s="34" t="s">
        <v>1089</v>
      </c>
      <c r="F12" s="34"/>
      <c r="G12" s="34" t="s">
        <v>1089</v>
      </c>
      <c r="H12" s="34"/>
    </row>
    <row r="13" spans="1:8" ht="14.4">
      <c r="A13" s="36">
        <v>13</v>
      </c>
      <c r="B13" s="98" t="s">
        <v>682</v>
      </c>
      <c r="C13" s="36" t="s">
        <v>1089</v>
      </c>
      <c r="D13" s="36"/>
      <c r="E13" s="36" t="s">
        <v>1089</v>
      </c>
      <c r="F13" s="36"/>
      <c r="G13" s="36" t="s">
        <v>1089</v>
      </c>
      <c r="H13" s="36"/>
    </row>
    <row r="14" spans="1:8" ht="14.4">
      <c r="A14" s="34">
        <v>14</v>
      </c>
      <c r="B14" s="99" t="s">
        <v>96</v>
      </c>
      <c r="C14" s="34" t="s">
        <v>1089</v>
      </c>
      <c r="D14" s="34"/>
      <c r="E14" s="34" t="s">
        <v>1089</v>
      </c>
      <c r="F14" s="34"/>
      <c r="G14" s="34"/>
      <c r="H14" s="34" t="s">
        <v>1089</v>
      </c>
    </row>
    <row r="15" spans="1:8" ht="14.4">
      <c r="A15" s="36">
        <v>16</v>
      </c>
      <c r="B15" s="98" t="s">
        <v>700</v>
      </c>
      <c r="C15" s="36" t="s">
        <v>1089</v>
      </c>
      <c r="D15" s="36"/>
      <c r="E15" s="36" t="s">
        <v>1089</v>
      </c>
      <c r="F15" s="36"/>
      <c r="G15" s="36" t="s">
        <v>1089</v>
      </c>
      <c r="H15" s="36"/>
    </row>
    <row r="16" spans="1:8" ht="14.4">
      <c r="A16" s="34">
        <v>17</v>
      </c>
      <c r="B16" s="99" t="s">
        <v>102</v>
      </c>
      <c r="C16" s="34" t="s">
        <v>1089</v>
      </c>
      <c r="D16" s="34"/>
      <c r="E16" s="34" t="s">
        <v>1089</v>
      </c>
      <c r="F16" s="34"/>
      <c r="G16" s="34"/>
      <c r="H16" s="34" t="s">
        <v>1089</v>
      </c>
    </row>
    <row r="17" spans="1:8" ht="14.4">
      <c r="A17" s="36">
        <v>19</v>
      </c>
      <c r="B17" s="98" t="s">
        <v>229</v>
      </c>
      <c r="C17" s="36"/>
      <c r="D17" s="36" t="s">
        <v>1089</v>
      </c>
      <c r="E17" s="36"/>
      <c r="F17" s="36" t="s">
        <v>1089</v>
      </c>
      <c r="G17" s="36"/>
      <c r="H17" s="36" t="s">
        <v>1089</v>
      </c>
    </row>
    <row r="18" spans="1:8" ht="14.4">
      <c r="A18" s="34">
        <v>20</v>
      </c>
      <c r="B18" s="99" t="s">
        <v>713</v>
      </c>
      <c r="C18" s="34"/>
      <c r="D18" s="34" t="s">
        <v>1089</v>
      </c>
      <c r="E18" s="34"/>
      <c r="F18" s="34" t="s">
        <v>1089</v>
      </c>
      <c r="G18" s="34"/>
      <c r="H18" s="34" t="s">
        <v>1089</v>
      </c>
    </row>
    <row r="19" spans="1:8" ht="14.4">
      <c r="A19" s="36">
        <v>21</v>
      </c>
      <c r="B19" s="98" t="s">
        <v>717</v>
      </c>
      <c r="C19" s="36" t="s">
        <v>1089</v>
      </c>
      <c r="D19" s="36"/>
      <c r="E19" s="36" t="s">
        <v>1089</v>
      </c>
      <c r="F19" s="36"/>
      <c r="G19" s="36"/>
      <c r="H19" s="36" t="s">
        <v>1089</v>
      </c>
    </row>
    <row r="20" spans="1:8" ht="14.4">
      <c r="A20" s="34">
        <v>22</v>
      </c>
      <c r="B20" s="99" t="s">
        <v>721</v>
      </c>
      <c r="C20" s="34"/>
      <c r="D20" s="34"/>
      <c r="E20" s="34" t="s">
        <v>1089</v>
      </c>
      <c r="F20" s="34"/>
      <c r="G20" s="34" t="s">
        <v>1089</v>
      </c>
      <c r="H20" s="34"/>
    </row>
    <row r="21" spans="1:8" ht="14.4">
      <c r="A21" s="36">
        <v>24</v>
      </c>
      <c r="B21" s="98" t="s">
        <v>729</v>
      </c>
      <c r="C21" s="36" t="s">
        <v>1089</v>
      </c>
      <c r="D21" s="36"/>
      <c r="E21" s="36" t="s">
        <v>1089</v>
      </c>
      <c r="F21" s="36"/>
      <c r="G21" s="36"/>
      <c r="H21" s="36" t="s">
        <v>1089</v>
      </c>
    </row>
    <row r="22" spans="1:8" ht="14.4">
      <c r="A22" s="34">
        <v>25</v>
      </c>
      <c r="B22" s="99" t="s">
        <v>128</v>
      </c>
      <c r="C22" s="34" t="s">
        <v>1089</v>
      </c>
      <c r="D22" s="34"/>
      <c r="E22" s="34" t="s">
        <v>1089</v>
      </c>
      <c r="F22" s="34"/>
      <c r="G22" s="34"/>
      <c r="H22" s="34" t="s">
        <v>1089</v>
      </c>
    </row>
    <row r="23" spans="1:8" ht="14.4">
      <c r="A23" s="36">
        <v>26</v>
      </c>
      <c r="B23" s="98" t="s">
        <v>740</v>
      </c>
      <c r="C23" s="36" t="s">
        <v>1089</v>
      </c>
      <c r="D23" s="36"/>
      <c r="E23" s="36" t="s">
        <v>1089</v>
      </c>
      <c r="F23" s="36"/>
      <c r="G23" s="36" t="s">
        <v>1089</v>
      </c>
      <c r="H23" s="36"/>
    </row>
    <row r="24" spans="1:8" ht="14.4">
      <c r="A24" s="34">
        <v>29</v>
      </c>
      <c r="B24" s="99" t="s">
        <v>752</v>
      </c>
      <c r="C24" s="34" t="s">
        <v>1089</v>
      </c>
      <c r="D24" s="34"/>
      <c r="E24" s="34" t="s">
        <v>1089</v>
      </c>
      <c r="F24" s="34"/>
      <c r="G24" s="34" t="s">
        <v>1089</v>
      </c>
      <c r="H24" s="34"/>
    </row>
    <row r="25" spans="1:8" ht="14.4">
      <c r="A25" s="36">
        <v>32</v>
      </c>
      <c r="B25" s="98" t="s">
        <v>763</v>
      </c>
      <c r="C25" s="36" t="s">
        <v>1089</v>
      </c>
      <c r="D25" s="36"/>
      <c r="E25" s="36" t="s">
        <v>1089</v>
      </c>
      <c r="F25" s="36"/>
      <c r="G25" s="36" t="s">
        <v>1089</v>
      </c>
      <c r="H25" s="36"/>
    </row>
    <row r="26" spans="1:8" ht="14.4">
      <c r="A26" s="34">
        <v>33</v>
      </c>
      <c r="B26" s="99" t="s">
        <v>767</v>
      </c>
      <c r="C26" s="34" t="s">
        <v>1089</v>
      </c>
      <c r="D26" s="34"/>
      <c r="E26" s="34" t="s">
        <v>1089</v>
      </c>
      <c r="F26" s="34"/>
      <c r="G26" s="34" t="s">
        <v>1089</v>
      </c>
      <c r="H26" s="34"/>
    </row>
    <row r="27" spans="1:8" ht="14.4">
      <c r="A27" s="36">
        <v>34</v>
      </c>
      <c r="B27" s="98" t="s">
        <v>774</v>
      </c>
      <c r="C27" s="36" t="s">
        <v>1089</v>
      </c>
      <c r="D27" s="36"/>
      <c r="E27" s="36" t="s">
        <v>1089</v>
      </c>
      <c r="F27" s="36"/>
      <c r="G27" s="36" t="s">
        <v>1089</v>
      </c>
      <c r="H27" s="36"/>
    </row>
    <row r="28" spans="1:8" ht="14.4">
      <c r="A28" s="34">
        <v>36</v>
      </c>
      <c r="B28" s="99" t="s">
        <v>778</v>
      </c>
      <c r="C28" s="34" t="s">
        <v>1089</v>
      </c>
      <c r="D28" s="34"/>
      <c r="E28" s="34" t="s">
        <v>1089</v>
      </c>
      <c r="F28" s="34"/>
      <c r="G28" s="34" t="s">
        <v>1089</v>
      </c>
      <c r="H28" s="34"/>
    </row>
    <row r="29" spans="1:8" ht="14.4">
      <c r="A29" s="36">
        <v>38</v>
      </c>
      <c r="B29" s="98" t="s">
        <v>786</v>
      </c>
      <c r="C29" s="36" t="s">
        <v>1827</v>
      </c>
      <c r="D29" s="36" t="s">
        <v>1827</v>
      </c>
      <c r="E29" s="36" t="s">
        <v>1827</v>
      </c>
      <c r="F29" s="36" t="s">
        <v>1827</v>
      </c>
      <c r="G29" s="36" t="s">
        <v>1827</v>
      </c>
      <c r="H29" s="36" t="s">
        <v>1827</v>
      </c>
    </row>
    <row r="30" spans="1:8" ht="14.4">
      <c r="A30" s="34">
        <v>41</v>
      </c>
      <c r="B30" s="99" t="s">
        <v>227</v>
      </c>
      <c r="C30" s="34" t="s">
        <v>1089</v>
      </c>
      <c r="D30" s="34"/>
      <c r="E30" s="34" t="s">
        <v>1089</v>
      </c>
      <c r="F30" s="34"/>
      <c r="G30" s="34"/>
      <c r="H30" s="34"/>
    </row>
    <row r="31" spans="1:8" ht="14.4">
      <c r="A31" s="36">
        <v>45</v>
      </c>
      <c r="B31" s="98" t="s">
        <v>801</v>
      </c>
      <c r="C31" s="36"/>
      <c r="D31" s="36" t="s">
        <v>1089</v>
      </c>
      <c r="E31" s="36"/>
      <c r="F31" s="36" t="s">
        <v>1089</v>
      </c>
      <c r="G31" s="36"/>
      <c r="H31" s="36" t="s">
        <v>1089</v>
      </c>
    </row>
    <row r="32" spans="1:8" ht="14.4">
      <c r="A32" s="34">
        <v>47</v>
      </c>
      <c r="B32" s="99" t="s">
        <v>806</v>
      </c>
      <c r="C32" s="34"/>
      <c r="D32" s="34"/>
      <c r="E32" s="34" t="s">
        <v>1089</v>
      </c>
      <c r="F32" s="34"/>
      <c r="G32" s="34"/>
      <c r="H32" s="34"/>
    </row>
    <row r="33" spans="1:8" ht="14.4">
      <c r="A33" s="36">
        <v>48</v>
      </c>
      <c r="B33" s="98" t="s">
        <v>812</v>
      </c>
      <c r="C33" s="36"/>
      <c r="D33" s="36" t="s">
        <v>1089</v>
      </c>
      <c r="E33" s="36"/>
      <c r="F33" s="36" t="s">
        <v>1089</v>
      </c>
      <c r="G33" s="36"/>
      <c r="H33" s="36" t="s">
        <v>1089</v>
      </c>
    </row>
    <row r="34" spans="1:8" ht="14.4">
      <c r="A34" s="34">
        <v>49</v>
      </c>
      <c r="B34" s="99" t="s">
        <v>189</v>
      </c>
      <c r="C34" s="34" t="s">
        <v>1089</v>
      </c>
      <c r="D34" s="34"/>
      <c r="E34" s="34"/>
      <c r="F34" s="34"/>
      <c r="G34" s="34" t="s">
        <v>1089</v>
      </c>
      <c r="H34" s="34"/>
    </row>
    <row r="35" spans="1:8" ht="14.4">
      <c r="A35" s="36">
        <v>53</v>
      </c>
      <c r="B35" s="98" t="s">
        <v>175</v>
      </c>
      <c r="C35" s="36"/>
      <c r="D35" s="36" t="s">
        <v>1089</v>
      </c>
      <c r="E35" s="36" t="s">
        <v>1089</v>
      </c>
      <c r="F35" s="36"/>
      <c r="G35" s="36"/>
      <c r="H35" s="36" t="s">
        <v>1089</v>
      </c>
    </row>
    <row r="36" spans="1:8" ht="14.4">
      <c r="A36" s="34">
        <v>55</v>
      </c>
      <c r="B36" s="99" t="s">
        <v>827</v>
      </c>
      <c r="C36" s="34" t="s">
        <v>1089</v>
      </c>
      <c r="D36" s="34"/>
      <c r="E36" s="34" t="s">
        <v>1089</v>
      </c>
      <c r="F36" s="34"/>
      <c r="G36" s="34"/>
      <c r="H36" s="34" t="s">
        <v>1089</v>
      </c>
    </row>
    <row r="37" spans="1:8" ht="14.4">
      <c r="A37" s="36">
        <v>58</v>
      </c>
      <c r="B37" s="98" t="s">
        <v>173</v>
      </c>
      <c r="C37" s="36"/>
      <c r="D37" s="36" t="s">
        <v>1089</v>
      </c>
      <c r="E37" s="36"/>
      <c r="F37" s="36" t="s">
        <v>1089</v>
      </c>
      <c r="G37" s="36"/>
      <c r="H37" s="36" t="s">
        <v>1089</v>
      </c>
    </row>
    <row r="38" spans="1:8" ht="14.4">
      <c r="A38" s="34">
        <v>61</v>
      </c>
      <c r="B38" s="99" t="s">
        <v>459</v>
      </c>
      <c r="C38" s="34"/>
      <c r="D38" s="34" t="s">
        <v>1089</v>
      </c>
      <c r="E38" s="34"/>
      <c r="F38" s="34" t="s">
        <v>1089</v>
      </c>
      <c r="G38" s="34"/>
      <c r="H38" s="34" t="s">
        <v>1089</v>
      </c>
    </row>
    <row r="39" spans="1:8" ht="14.4">
      <c r="A39" s="36">
        <v>63</v>
      </c>
      <c r="B39" s="98" t="s">
        <v>851</v>
      </c>
      <c r="C39" s="36"/>
      <c r="D39" s="36" t="s">
        <v>1089</v>
      </c>
      <c r="E39" s="36"/>
      <c r="F39" s="36" t="s">
        <v>1089</v>
      </c>
      <c r="G39" s="36"/>
      <c r="H39" s="36" t="s">
        <v>1089</v>
      </c>
    </row>
    <row r="40" spans="1:8" ht="14.4">
      <c r="A40" s="34">
        <v>71</v>
      </c>
      <c r="B40" s="99" t="s">
        <v>863</v>
      </c>
      <c r="C40" s="34"/>
      <c r="D40" s="34" t="s">
        <v>1089</v>
      </c>
      <c r="E40" s="34"/>
      <c r="F40" s="34" t="s">
        <v>1089</v>
      </c>
      <c r="G40" s="34"/>
      <c r="H40" s="34" t="s">
        <v>1089</v>
      </c>
    </row>
    <row r="41" spans="1:8" ht="14.4">
      <c r="A41" s="36">
        <v>74</v>
      </c>
      <c r="B41" s="98" t="s">
        <v>867</v>
      </c>
      <c r="C41" s="36" t="s">
        <v>1089</v>
      </c>
      <c r="D41" s="36"/>
      <c r="E41" s="36" t="s">
        <v>1089</v>
      </c>
      <c r="F41" s="36"/>
      <c r="G41" s="36" t="s">
        <v>1089</v>
      </c>
      <c r="H41" s="36"/>
    </row>
    <row r="42" spans="1:8" ht="14.4">
      <c r="A42" s="34">
        <v>79</v>
      </c>
      <c r="B42" s="99" t="s">
        <v>877</v>
      </c>
      <c r="C42" s="34" t="s">
        <v>1089</v>
      </c>
      <c r="D42" s="34"/>
      <c r="E42" s="34" t="s">
        <v>1089</v>
      </c>
      <c r="F42" s="34"/>
      <c r="G42" s="34" t="s">
        <v>1089</v>
      </c>
      <c r="H42" s="34"/>
    </row>
    <row r="43" spans="1:8" ht="14.4">
      <c r="A43" s="36">
        <v>80</v>
      </c>
      <c r="B43" s="98" t="s">
        <v>881</v>
      </c>
      <c r="C43" s="36" t="s">
        <v>1089</v>
      </c>
      <c r="D43" s="36"/>
      <c r="E43" s="36" t="s">
        <v>1089</v>
      </c>
      <c r="F43" s="36"/>
      <c r="G43" s="36"/>
      <c r="H43" s="36" t="s">
        <v>1089</v>
      </c>
    </row>
    <row r="44" spans="1:8" ht="14.4">
      <c r="A44" s="34">
        <v>85</v>
      </c>
      <c r="B44" s="99" t="s">
        <v>894</v>
      </c>
      <c r="C44" s="34"/>
      <c r="D44" s="34"/>
      <c r="E44" s="34" t="s">
        <v>1089</v>
      </c>
      <c r="F44" s="34"/>
      <c r="G44" s="34"/>
      <c r="H44" s="34"/>
    </row>
    <row r="45" spans="1:8" ht="14.4">
      <c r="A45" s="36">
        <v>87</v>
      </c>
      <c r="B45" s="98" t="s">
        <v>197</v>
      </c>
      <c r="C45" s="36" t="s">
        <v>1827</v>
      </c>
      <c r="D45" s="36" t="s">
        <v>1827</v>
      </c>
      <c r="E45" s="36" t="s">
        <v>1827</v>
      </c>
      <c r="F45" s="36" t="s">
        <v>1827</v>
      </c>
      <c r="G45" s="36" t="s">
        <v>1827</v>
      </c>
      <c r="H45" s="36" t="s">
        <v>1827</v>
      </c>
    </row>
    <row r="46" spans="1:8" ht="14.4">
      <c r="A46" s="34">
        <v>89</v>
      </c>
      <c r="B46" s="99" t="s">
        <v>198</v>
      </c>
      <c r="C46" s="34"/>
      <c r="D46" s="34" t="s">
        <v>1089</v>
      </c>
      <c r="E46" s="34"/>
      <c r="F46" s="34" t="s">
        <v>1089</v>
      </c>
      <c r="G46" s="34"/>
      <c r="H46" s="34" t="s">
        <v>1089</v>
      </c>
    </row>
    <row r="47" spans="1:8" ht="14.4">
      <c r="A47" s="36">
        <v>97</v>
      </c>
      <c r="B47" s="98" t="s">
        <v>917</v>
      </c>
      <c r="C47" s="36" t="s">
        <v>1089</v>
      </c>
      <c r="D47" s="36"/>
      <c r="E47" s="36"/>
      <c r="F47" s="36"/>
      <c r="G47" s="36"/>
      <c r="H47" s="36"/>
    </row>
    <row r="48" spans="1:8" ht="14.4">
      <c r="A48" s="34">
        <v>98</v>
      </c>
      <c r="B48" s="99" t="s">
        <v>922</v>
      </c>
      <c r="C48" s="34" t="s">
        <v>1089</v>
      </c>
      <c r="D48" s="34"/>
      <c r="E48" s="34" t="s">
        <v>1089</v>
      </c>
      <c r="F48" s="34"/>
      <c r="G48" s="34"/>
      <c r="H48" s="34" t="s">
        <v>1089</v>
      </c>
    </row>
    <row r="49" spans="1:8" ht="14.4">
      <c r="A49" s="36">
        <v>106</v>
      </c>
      <c r="B49" s="98" t="s">
        <v>72</v>
      </c>
      <c r="C49" s="36" t="s">
        <v>1827</v>
      </c>
      <c r="D49" s="36" t="s">
        <v>1827</v>
      </c>
      <c r="E49" s="36" t="s">
        <v>1827</v>
      </c>
      <c r="F49" s="36" t="s">
        <v>1827</v>
      </c>
      <c r="G49" s="36" t="s">
        <v>1827</v>
      </c>
      <c r="H49" s="36" t="s">
        <v>1827</v>
      </c>
    </row>
    <row r="50" spans="1:8" ht="14.4">
      <c r="A50" s="34">
        <v>107</v>
      </c>
      <c r="B50" s="99" t="s">
        <v>92</v>
      </c>
      <c r="C50" s="34" t="s">
        <v>1089</v>
      </c>
      <c r="D50" s="34"/>
      <c r="E50" s="34" t="s">
        <v>1089</v>
      </c>
      <c r="F50" s="34"/>
      <c r="G50" s="34"/>
      <c r="H50" s="34" t="s">
        <v>1089</v>
      </c>
    </row>
    <row r="51" spans="1:8" ht="14.4">
      <c r="A51" s="36">
        <v>18</v>
      </c>
      <c r="B51" s="98" t="s">
        <v>3331</v>
      </c>
      <c r="C51" s="36" t="s">
        <v>1089</v>
      </c>
      <c r="D51" s="36"/>
      <c r="E51" s="36" t="s">
        <v>1089</v>
      </c>
      <c r="F51" s="36"/>
      <c r="G51" s="36" t="s">
        <v>1827</v>
      </c>
      <c r="H51" s="36" t="s">
        <v>1827</v>
      </c>
    </row>
    <row r="52" spans="1:8" ht="14.4">
      <c r="A52" s="34"/>
      <c r="B52" s="99" t="s">
        <v>3659</v>
      </c>
      <c r="C52" s="34" t="s">
        <v>1089</v>
      </c>
      <c r="D52" s="34"/>
      <c r="E52" s="34" t="s">
        <v>1089</v>
      </c>
      <c r="F52" s="34"/>
      <c r="G52" s="34"/>
      <c r="H52" s="34" t="s">
        <v>1089</v>
      </c>
    </row>
    <row r="53" spans="1:8" ht="14.4">
      <c r="A53" s="36"/>
      <c r="B53" s="98" t="s">
        <v>3704</v>
      </c>
      <c r="C53" s="36" t="s">
        <v>1827</v>
      </c>
      <c r="D53" s="36"/>
      <c r="E53" s="36" t="s">
        <v>1089</v>
      </c>
      <c r="F53" s="36"/>
      <c r="G53" s="36"/>
      <c r="H53" s="36" t="s">
        <v>1089</v>
      </c>
    </row>
    <row r="54" spans="1:8" ht="14.4">
      <c r="A54" s="34"/>
      <c r="B54" s="99" t="s">
        <v>3714</v>
      </c>
      <c r="C54" s="34"/>
      <c r="D54" s="34" t="s">
        <v>1089</v>
      </c>
      <c r="E54" s="34"/>
      <c r="F54" s="34" t="s">
        <v>1089</v>
      </c>
      <c r="G54" s="34"/>
      <c r="H54" s="34" t="s">
        <v>1089</v>
      </c>
    </row>
    <row r="55" spans="1:8" ht="14.4">
      <c r="A55" s="36"/>
      <c r="B55" s="98" t="s">
        <v>3734</v>
      </c>
      <c r="C55" s="36"/>
      <c r="D55" s="36" t="s">
        <v>1089</v>
      </c>
      <c r="E55" s="36"/>
      <c r="F55" s="36" t="s">
        <v>1089</v>
      </c>
      <c r="G55" s="36" t="s">
        <v>1089</v>
      </c>
      <c r="H55" s="36"/>
    </row>
    <row r="56" spans="1:8" ht="14.4">
      <c r="A56" s="34"/>
      <c r="B56" s="99" t="s">
        <v>3736</v>
      </c>
      <c r="C56" s="34" t="s">
        <v>1089</v>
      </c>
      <c r="D56" s="34"/>
      <c r="E56" s="34" t="s">
        <v>1089</v>
      </c>
      <c r="F56" s="34"/>
      <c r="G56" s="34" t="s">
        <v>1089</v>
      </c>
      <c r="H56" s="34"/>
    </row>
    <row r="57" spans="1:8" ht="14.4">
      <c r="A57" s="36"/>
      <c r="B57" s="98" t="s">
        <v>3747</v>
      </c>
      <c r="C57" s="36" t="s">
        <v>1089</v>
      </c>
      <c r="D57" s="36"/>
      <c r="E57" s="36" t="s">
        <v>1089</v>
      </c>
      <c r="F57" s="36"/>
      <c r="G57" s="36" t="s">
        <v>1089</v>
      </c>
      <c r="H57" s="36"/>
    </row>
    <row r="58" spans="1:8" ht="14.4">
      <c r="A58" s="34"/>
      <c r="B58" s="99" t="s">
        <v>1878</v>
      </c>
      <c r="C58" s="34"/>
      <c r="D58" s="34" t="s">
        <v>1089</v>
      </c>
      <c r="E58" s="34" t="s">
        <v>1089</v>
      </c>
      <c r="F58" s="34"/>
      <c r="G58" s="34"/>
      <c r="H58" s="34" t="s">
        <v>1089</v>
      </c>
    </row>
    <row r="59" spans="1:8" ht="14.4">
      <c r="A59" s="36"/>
      <c r="B59" s="98"/>
      <c r="C59" s="36"/>
      <c r="D59" s="36"/>
      <c r="E59" s="36"/>
      <c r="F59" s="36"/>
      <c r="G59" s="36"/>
      <c r="H59" s="36"/>
    </row>
    <row r="60" spans="1:8" ht="14.4">
      <c r="A60" s="34"/>
      <c r="B60" s="99"/>
      <c r="C60" s="34"/>
      <c r="D60" s="34"/>
      <c r="E60" s="34"/>
      <c r="F60" s="34"/>
      <c r="G60" s="34"/>
      <c r="H60" s="34"/>
    </row>
    <row r="61" spans="1:8" ht="14.4">
      <c r="A61" s="36"/>
      <c r="B61" s="98"/>
      <c r="C61" s="36"/>
      <c r="D61" s="36"/>
      <c r="E61" s="36"/>
      <c r="F61" s="36"/>
      <c r="G61" s="36"/>
      <c r="H61" s="36"/>
    </row>
    <row r="62" spans="1:8" ht="14.4">
      <c r="A62" s="34"/>
      <c r="B62" s="99"/>
      <c r="C62" s="34"/>
      <c r="D62" s="34"/>
      <c r="E62" s="34"/>
      <c r="F62" s="34"/>
      <c r="G62" s="34"/>
      <c r="H62" s="34"/>
    </row>
    <row r="63" spans="1:8" ht="14.4">
      <c r="A63" s="36"/>
      <c r="B63" s="98"/>
      <c r="C63" s="36"/>
      <c r="D63" s="36"/>
      <c r="E63" s="36"/>
      <c r="F63" s="36"/>
      <c r="G63" s="36"/>
      <c r="H63" s="36"/>
    </row>
    <row r="64" spans="1:8" ht="14.4">
      <c r="A64" s="34"/>
      <c r="B64" s="99"/>
      <c r="C64" s="34"/>
      <c r="D64" s="34"/>
      <c r="E64" s="34"/>
      <c r="F64" s="34"/>
      <c r="G64" s="34"/>
      <c r="H64" s="34"/>
    </row>
    <row r="65" spans="1:8" ht="14.4">
      <c r="A65" s="36"/>
      <c r="B65" s="98"/>
      <c r="C65" s="36"/>
      <c r="D65" s="36"/>
      <c r="E65" s="36"/>
      <c r="F65" s="36"/>
      <c r="G65" s="36"/>
      <c r="H65" s="36"/>
    </row>
    <row r="66" spans="1:8" ht="14.4">
      <c r="A66" s="34"/>
      <c r="B66" s="99"/>
      <c r="C66" s="34"/>
      <c r="D66" s="34"/>
      <c r="E66" s="34"/>
      <c r="F66" s="34"/>
      <c r="G66" s="34"/>
      <c r="H66" s="34"/>
    </row>
    <row r="67" spans="1:8" ht="14.4">
      <c r="A67" s="36"/>
      <c r="B67" s="98"/>
      <c r="C67" s="36"/>
      <c r="D67" s="36"/>
      <c r="E67" s="36"/>
      <c r="F67" s="36"/>
      <c r="G67" s="36"/>
      <c r="H67" s="36"/>
    </row>
    <row r="68" spans="1:8" ht="14.4">
      <c r="A68" s="34"/>
      <c r="B68" s="99"/>
      <c r="C68" s="34"/>
      <c r="D68" s="34"/>
      <c r="E68" s="34"/>
      <c r="F68" s="34"/>
      <c r="G68" s="34"/>
      <c r="H68" s="34"/>
    </row>
  </sheetData>
  <mergeCells count="3">
    <mergeCell ref="C7:D7"/>
    <mergeCell ref="E7:F7"/>
    <mergeCell ref="G7:H7"/>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0"/>
  <dimension ref="A3:H14"/>
  <sheetViews>
    <sheetView zoomScale="80" zoomScaleNormal="80" workbookViewId="0">
      <selection activeCell="A3" sqref="A3"/>
    </sheetView>
  </sheetViews>
  <sheetFormatPr baseColWidth="10" defaultRowHeight="13.8"/>
  <cols>
    <col min="2" max="2" width="46.69921875" bestFit="1" customWidth="1"/>
  </cols>
  <sheetData>
    <row r="3" spans="1:8" ht="16.2">
      <c r="A3" s="10" t="s">
        <v>3811</v>
      </c>
    </row>
    <row r="6" spans="1:8">
      <c r="A6" s="67"/>
      <c r="C6" s="613" t="s">
        <v>1824</v>
      </c>
      <c r="D6" s="613"/>
      <c r="E6" s="613" t="s">
        <v>1825</v>
      </c>
      <c r="F6" s="613"/>
      <c r="G6" s="613" t="s">
        <v>1826</v>
      </c>
      <c r="H6" s="613"/>
    </row>
    <row r="7" spans="1:8" ht="14.4" thickBot="1">
      <c r="A7" s="67"/>
      <c r="B7" s="97" t="s">
        <v>1087</v>
      </c>
      <c r="C7" s="97" t="s">
        <v>1088</v>
      </c>
      <c r="D7" s="97" t="s">
        <v>1081</v>
      </c>
      <c r="E7" s="97" t="s">
        <v>1088</v>
      </c>
      <c r="F7" s="97" t="s">
        <v>1081</v>
      </c>
      <c r="G7" s="97" t="s">
        <v>1088</v>
      </c>
      <c r="H7" s="97" t="s">
        <v>1081</v>
      </c>
    </row>
    <row r="8" spans="1:8" ht="15" thickTop="1">
      <c r="A8" s="36">
        <v>5</v>
      </c>
      <c r="B8" s="98" t="s">
        <v>1023</v>
      </c>
      <c r="C8" s="36"/>
      <c r="D8" s="36" t="s">
        <v>1089</v>
      </c>
      <c r="E8" s="36" t="s">
        <v>1089</v>
      </c>
      <c r="F8" s="36"/>
      <c r="G8" s="36"/>
      <c r="H8" s="36" t="s">
        <v>1089</v>
      </c>
    </row>
    <row r="9" spans="1:8" ht="14.4">
      <c r="A9" s="34">
        <v>8</v>
      </c>
      <c r="B9" s="99" t="s">
        <v>1027</v>
      </c>
      <c r="C9" s="34"/>
      <c r="D9" s="34" t="s">
        <v>1089</v>
      </c>
      <c r="E9" s="34" t="s">
        <v>1089</v>
      </c>
      <c r="F9" s="34"/>
      <c r="G9" s="34"/>
      <c r="H9" s="34" t="s">
        <v>1089</v>
      </c>
    </row>
    <row r="10" spans="1:8" ht="14.4">
      <c r="A10" s="36">
        <v>10</v>
      </c>
      <c r="B10" s="98" t="s">
        <v>1029</v>
      </c>
      <c r="C10" s="36"/>
      <c r="D10" s="36" t="s">
        <v>1089</v>
      </c>
      <c r="E10" s="36" t="s">
        <v>1089</v>
      </c>
      <c r="F10" s="36"/>
      <c r="G10" s="36"/>
      <c r="H10" s="36" t="s">
        <v>1089</v>
      </c>
    </row>
    <row r="11" spans="1:8" ht="14.4">
      <c r="A11" s="34">
        <v>11</v>
      </c>
      <c r="B11" s="99" t="s">
        <v>1032</v>
      </c>
      <c r="C11" s="34"/>
      <c r="D11" s="34" t="s">
        <v>1089</v>
      </c>
      <c r="E11" s="34" t="s">
        <v>1089</v>
      </c>
      <c r="F11" s="34"/>
      <c r="G11" s="34"/>
      <c r="H11" s="34" t="s">
        <v>1089</v>
      </c>
    </row>
    <row r="12" spans="1:8" ht="14.4">
      <c r="A12" s="36">
        <v>13</v>
      </c>
      <c r="B12" s="98" t="s">
        <v>1035</v>
      </c>
      <c r="C12" s="36"/>
      <c r="D12" s="36" t="s">
        <v>1089</v>
      </c>
      <c r="E12" s="36" t="s">
        <v>1089</v>
      </c>
      <c r="F12" s="36"/>
      <c r="G12" s="36"/>
      <c r="H12" s="36" t="s">
        <v>1089</v>
      </c>
    </row>
    <row r="13" spans="1:8" ht="14.4">
      <c r="A13" s="34">
        <v>14</v>
      </c>
      <c r="B13" s="99" t="s">
        <v>1039</v>
      </c>
      <c r="C13" s="34"/>
      <c r="D13" s="34" t="s">
        <v>1827</v>
      </c>
      <c r="E13" s="34" t="s">
        <v>1827</v>
      </c>
      <c r="F13" s="34" t="s">
        <v>1827</v>
      </c>
      <c r="G13" s="34" t="s">
        <v>1827</v>
      </c>
      <c r="H13" s="34" t="s">
        <v>1827</v>
      </c>
    </row>
    <row r="14" spans="1:8" ht="14.4">
      <c r="A14" s="36">
        <v>16</v>
      </c>
      <c r="B14" s="98" t="s">
        <v>1051</v>
      </c>
      <c r="C14" s="36"/>
      <c r="D14" s="36" t="s">
        <v>1089</v>
      </c>
      <c r="E14" s="36"/>
      <c r="F14" s="36" t="s">
        <v>1089</v>
      </c>
      <c r="G14" s="36"/>
      <c r="H14" s="36" t="s">
        <v>1089</v>
      </c>
    </row>
  </sheetData>
  <mergeCells count="3">
    <mergeCell ref="C6:D6"/>
    <mergeCell ref="E6:F6"/>
    <mergeCell ref="G6:H6"/>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1"/>
  <dimension ref="A2:G764"/>
  <sheetViews>
    <sheetView zoomScale="70" zoomScaleNormal="70" workbookViewId="0">
      <selection activeCell="L37" sqref="L37"/>
    </sheetView>
  </sheetViews>
  <sheetFormatPr baseColWidth="10" defaultColWidth="11.59765625" defaultRowHeight="14.4"/>
  <cols>
    <col min="1" max="1" width="11.59765625" style="8"/>
    <col min="2" max="2" width="56.69921875" style="8" customWidth="1"/>
    <col min="3" max="3" width="17.69921875" style="8" bestFit="1" customWidth="1"/>
    <col min="4" max="16384" width="11.59765625" style="8"/>
  </cols>
  <sheetData>
    <row r="2" spans="1:7" ht="16.2">
      <c r="A2" s="10" t="s">
        <v>3812</v>
      </c>
      <c r="B2" s="141"/>
      <c r="G2" s="142"/>
    </row>
    <row r="3" spans="1:7">
      <c r="G3" s="142"/>
    </row>
    <row r="4" spans="1:7" ht="15">
      <c r="B4" s="143" t="s">
        <v>0</v>
      </c>
      <c r="C4" s="143" t="s">
        <v>1828</v>
      </c>
      <c r="G4" s="142"/>
    </row>
    <row r="5" spans="1:7" ht="15">
      <c r="B5" s="144" t="s">
        <v>1829</v>
      </c>
      <c r="C5" s="370">
        <v>1121343572</v>
      </c>
      <c r="G5" s="142"/>
    </row>
    <row r="6" spans="1:7" ht="15">
      <c r="B6" s="146" t="s">
        <v>1830</v>
      </c>
      <c r="C6" s="371">
        <v>963986930</v>
      </c>
    </row>
    <row r="7" spans="1:7" ht="15">
      <c r="B7" s="144" t="s">
        <v>1831</v>
      </c>
      <c r="C7" s="370">
        <v>566186930</v>
      </c>
    </row>
    <row r="8" spans="1:7" ht="15">
      <c r="B8" s="146" t="s">
        <v>1832</v>
      </c>
      <c r="C8" s="371">
        <v>514753884</v>
      </c>
    </row>
    <row r="9" spans="1:7" ht="15">
      <c r="B9" s="144" t="s">
        <v>1833</v>
      </c>
      <c r="C9" s="370">
        <v>485374904</v>
      </c>
    </row>
    <row r="10" spans="1:7" ht="15">
      <c r="B10" s="146" t="s">
        <v>192</v>
      </c>
      <c r="C10" s="371">
        <v>304397616</v>
      </c>
    </row>
    <row r="11" spans="1:7" ht="15">
      <c r="B11" s="144" t="s">
        <v>1834</v>
      </c>
      <c r="C11" s="370">
        <v>254962418</v>
      </c>
    </row>
    <row r="12" spans="1:7" ht="15">
      <c r="B12" s="146" t="s">
        <v>3822</v>
      </c>
      <c r="C12" s="371">
        <v>215960469</v>
      </c>
    </row>
    <row r="13" spans="1:7" ht="15">
      <c r="B13" s="144" t="s">
        <v>1835</v>
      </c>
      <c r="C13" s="370">
        <v>175877011</v>
      </c>
    </row>
    <row r="14" spans="1:7" ht="15">
      <c r="B14" s="146" t="s">
        <v>1837</v>
      </c>
      <c r="C14" s="371">
        <v>160919760</v>
      </c>
    </row>
    <row r="15" spans="1:7" ht="15">
      <c r="B15" s="144" t="s">
        <v>1836</v>
      </c>
      <c r="C15" s="370">
        <v>154750353</v>
      </c>
    </row>
    <row r="16" spans="1:7" ht="15">
      <c r="B16" s="146" t="s">
        <v>1838</v>
      </c>
      <c r="C16" s="371">
        <v>138129913</v>
      </c>
    </row>
    <row r="17" spans="2:3" ht="15">
      <c r="B17" s="144" t="s">
        <v>1839</v>
      </c>
      <c r="C17" s="370">
        <v>118609710</v>
      </c>
    </row>
    <row r="18" spans="2:3" ht="15">
      <c r="B18" s="146" t="s">
        <v>102</v>
      </c>
      <c r="C18" s="371">
        <v>99598406</v>
      </c>
    </row>
    <row r="19" spans="2:3" ht="15">
      <c r="B19" s="144" t="s">
        <v>229</v>
      </c>
      <c r="C19" s="370">
        <v>92400745</v>
      </c>
    </row>
    <row r="20" spans="2:3" ht="15">
      <c r="B20" s="146" t="s">
        <v>99</v>
      </c>
      <c r="C20" s="371">
        <v>91973977</v>
      </c>
    </row>
    <row r="21" spans="2:3" ht="15">
      <c r="B21" s="144" t="s">
        <v>1840</v>
      </c>
      <c r="C21" s="370">
        <v>90660099</v>
      </c>
    </row>
    <row r="22" spans="2:3" ht="15">
      <c r="B22" s="146" t="s">
        <v>62</v>
      </c>
      <c r="C22" s="371">
        <v>88460276</v>
      </c>
    </row>
    <row r="23" spans="2:3" ht="15">
      <c r="B23" s="144" t="s">
        <v>17</v>
      </c>
      <c r="C23" s="370">
        <v>80530558</v>
      </c>
    </row>
    <row r="24" spans="2:3" ht="15">
      <c r="B24" s="146" t="s">
        <v>1841</v>
      </c>
      <c r="C24" s="371">
        <v>76976865</v>
      </c>
    </row>
    <row r="25" spans="2:3" ht="15">
      <c r="B25" s="144" t="s">
        <v>721</v>
      </c>
      <c r="C25" s="370">
        <v>68698657</v>
      </c>
    </row>
    <row r="26" spans="2:3" ht="15">
      <c r="B26" s="146" t="s">
        <v>1842</v>
      </c>
      <c r="C26" s="371">
        <v>66543895</v>
      </c>
    </row>
    <row r="27" spans="2:3" ht="15">
      <c r="B27" s="144" t="s">
        <v>717</v>
      </c>
      <c r="C27" s="370">
        <v>65894109</v>
      </c>
    </row>
    <row r="28" spans="2:3" ht="15">
      <c r="B28" s="146" t="s">
        <v>1843</v>
      </c>
      <c r="C28" s="371">
        <v>62597758</v>
      </c>
    </row>
    <row r="29" spans="2:3" ht="15">
      <c r="B29" s="144" t="s">
        <v>96</v>
      </c>
      <c r="C29" s="370">
        <v>58895495</v>
      </c>
    </row>
    <row r="30" spans="2:3" ht="15">
      <c r="B30" s="146" t="s">
        <v>1844</v>
      </c>
      <c r="C30" s="371">
        <v>53740426</v>
      </c>
    </row>
    <row r="31" spans="2:3" ht="15">
      <c r="B31" s="144" t="s">
        <v>1845</v>
      </c>
      <c r="C31" s="370">
        <v>51597458</v>
      </c>
    </row>
    <row r="32" spans="2:3" ht="15">
      <c r="B32" s="146" t="s">
        <v>1846</v>
      </c>
      <c r="C32" s="371">
        <v>48251375</v>
      </c>
    </row>
    <row r="33" spans="2:3" ht="15">
      <c r="B33" s="144" t="s">
        <v>1847</v>
      </c>
      <c r="C33" s="370">
        <v>46841438</v>
      </c>
    </row>
    <row r="34" spans="2:3" ht="15">
      <c r="B34" s="146" t="s">
        <v>747</v>
      </c>
      <c r="C34" s="371">
        <v>41795963</v>
      </c>
    </row>
    <row r="35" spans="2:3" ht="15">
      <c r="B35" s="144" t="s">
        <v>1848</v>
      </c>
      <c r="C35" s="370">
        <v>39873095</v>
      </c>
    </row>
    <row r="36" spans="2:3" ht="15">
      <c r="B36" s="146" t="s">
        <v>3659</v>
      </c>
      <c r="C36" s="371">
        <v>38244994</v>
      </c>
    </row>
    <row r="37" spans="2:3" ht="15">
      <c r="B37" s="144" t="s">
        <v>1849</v>
      </c>
      <c r="C37" s="370">
        <v>36969418</v>
      </c>
    </row>
    <row r="38" spans="2:3" ht="15">
      <c r="B38" s="146" t="s">
        <v>1852</v>
      </c>
      <c r="C38" s="371">
        <v>35050218</v>
      </c>
    </row>
    <row r="39" spans="2:3" ht="15">
      <c r="B39" s="144" t="s">
        <v>1850</v>
      </c>
      <c r="C39" s="370">
        <v>35000000</v>
      </c>
    </row>
    <row r="40" spans="2:3" ht="15">
      <c r="B40" s="146" t="s">
        <v>1853</v>
      </c>
      <c r="C40" s="371">
        <v>34777706</v>
      </c>
    </row>
    <row r="41" spans="2:3" ht="15">
      <c r="B41" s="144" t="s">
        <v>1851</v>
      </c>
      <c r="C41" s="370">
        <v>33498024</v>
      </c>
    </row>
    <row r="42" spans="2:3" ht="15">
      <c r="B42" s="146" t="s">
        <v>139</v>
      </c>
      <c r="C42" s="371">
        <v>31749424</v>
      </c>
    </row>
    <row r="43" spans="2:3" ht="15">
      <c r="B43" s="144" t="s">
        <v>1854</v>
      </c>
      <c r="C43" s="370">
        <v>28449000</v>
      </c>
    </row>
    <row r="44" spans="2:3" ht="15">
      <c r="B44" s="146" t="s">
        <v>227</v>
      </c>
      <c r="C44" s="371">
        <v>25693511</v>
      </c>
    </row>
    <row r="45" spans="2:3" ht="15">
      <c r="B45" s="144" t="s">
        <v>549</v>
      </c>
      <c r="C45" s="370">
        <v>23722363</v>
      </c>
    </row>
    <row r="46" spans="2:3" ht="15">
      <c r="B46" s="146" t="s">
        <v>1855</v>
      </c>
      <c r="C46" s="371">
        <v>22529901</v>
      </c>
    </row>
    <row r="47" spans="2:3" ht="15">
      <c r="B47" s="144" t="s">
        <v>792</v>
      </c>
      <c r="C47" s="370">
        <v>17173024</v>
      </c>
    </row>
    <row r="48" spans="2:3" ht="15">
      <c r="B48" s="146" t="s">
        <v>1862</v>
      </c>
      <c r="C48" s="371">
        <v>16754807</v>
      </c>
    </row>
    <row r="49" spans="2:3" ht="15">
      <c r="B49" s="144" t="s">
        <v>1856</v>
      </c>
      <c r="C49" s="370">
        <v>16497874</v>
      </c>
    </row>
    <row r="50" spans="2:3" ht="15">
      <c r="B50" s="146" t="s">
        <v>215</v>
      </c>
      <c r="C50" s="371">
        <v>15371589</v>
      </c>
    </row>
    <row r="51" spans="2:3" ht="15">
      <c r="B51" s="144" t="s">
        <v>1857</v>
      </c>
      <c r="C51" s="370">
        <v>13453483</v>
      </c>
    </row>
    <row r="52" spans="2:3" ht="15">
      <c r="B52" s="146" t="s">
        <v>158</v>
      </c>
      <c r="C52" s="371">
        <v>13051302</v>
      </c>
    </row>
    <row r="53" spans="2:3" ht="15">
      <c r="B53" s="144" t="s">
        <v>1858</v>
      </c>
      <c r="C53" s="370">
        <v>12530828</v>
      </c>
    </row>
    <row r="54" spans="2:3" ht="15">
      <c r="B54" s="146" t="s">
        <v>1863</v>
      </c>
      <c r="C54" s="371">
        <v>10268047</v>
      </c>
    </row>
    <row r="55" spans="2:3" ht="15">
      <c r="B55" s="144" t="s">
        <v>1859</v>
      </c>
      <c r="C55" s="370">
        <v>10257653</v>
      </c>
    </row>
    <row r="56" spans="2:3" ht="15">
      <c r="B56" s="146" t="s">
        <v>1860</v>
      </c>
      <c r="C56" s="371">
        <v>9999960</v>
      </c>
    </row>
    <row r="57" spans="2:3" ht="15">
      <c r="B57" s="144" t="s">
        <v>1861</v>
      </c>
      <c r="C57" s="370">
        <v>9992216</v>
      </c>
    </row>
    <row r="58" spans="2:3" ht="15">
      <c r="B58" s="146" t="s">
        <v>126</v>
      </c>
      <c r="C58" s="371">
        <v>9931288</v>
      </c>
    </row>
    <row r="59" spans="2:3" ht="15">
      <c r="B59" s="144" t="s">
        <v>189</v>
      </c>
      <c r="C59" s="370">
        <v>9818604</v>
      </c>
    </row>
    <row r="60" spans="2:3" ht="15">
      <c r="B60" s="146" t="s">
        <v>827</v>
      </c>
      <c r="C60" s="371">
        <v>8326941</v>
      </c>
    </row>
    <row r="61" spans="2:3" ht="15">
      <c r="B61" s="144" t="s">
        <v>175</v>
      </c>
      <c r="C61" s="370">
        <v>7885357</v>
      </c>
    </row>
    <row r="62" spans="2:3" ht="15">
      <c r="B62" s="146" t="s">
        <v>95</v>
      </c>
      <c r="C62" s="371">
        <v>7333616</v>
      </c>
    </row>
    <row r="63" spans="2:3" ht="15">
      <c r="B63" s="144" t="s">
        <v>818</v>
      </c>
      <c r="C63" s="370">
        <v>6375749</v>
      </c>
    </row>
    <row r="64" spans="2:3" ht="15">
      <c r="B64" s="146" t="s">
        <v>182</v>
      </c>
      <c r="C64" s="371">
        <v>6331507</v>
      </c>
    </row>
    <row r="65" spans="2:3" ht="15">
      <c r="B65" s="144" t="s">
        <v>177</v>
      </c>
      <c r="C65" s="370">
        <v>5206338</v>
      </c>
    </row>
    <row r="66" spans="2:3" ht="15">
      <c r="B66" s="146" t="s">
        <v>1865</v>
      </c>
      <c r="C66" s="371">
        <v>5146995</v>
      </c>
    </row>
    <row r="67" spans="2:3" ht="15">
      <c r="B67" s="144" t="s">
        <v>3840</v>
      </c>
      <c r="C67" s="370">
        <v>3950723</v>
      </c>
    </row>
    <row r="68" spans="2:3" ht="15">
      <c r="B68" s="146" t="s">
        <v>3712</v>
      </c>
      <c r="C68" s="371">
        <v>3333911</v>
      </c>
    </row>
    <row r="69" spans="2:3" ht="15">
      <c r="B69" s="144" t="s">
        <v>173</v>
      </c>
      <c r="C69" s="370">
        <v>3253100</v>
      </c>
    </row>
    <row r="70" spans="2:3" ht="15">
      <c r="B70" s="146" t="s">
        <v>1866</v>
      </c>
      <c r="C70" s="371">
        <v>3155942</v>
      </c>
    </row>
    <row r="71" spans="2:3" ht="15">
      <c r="B71" s="144" t="s">
        <v>1894</v>
      </c>
      <c r="C71" s="370">
        <v>2943287</v>
      </c>
    </row>
    <row r="72" spans="2:3" ht="15">
      <c r="B72" s="146" t="s">
        <v>1867</v>
      </c>
      <c r="C72" s="371">
        <v>2735354</v>
      </c>
    </row>
    <row r="73" spans="2:3" ht="15">
      <c r="B73" s="144" t="s">
        <v>1871</v>
      </c>
      <c r="C73" s="370">
        <v>2233143</v>
      </c>
    </row>
    <row r="74" spans="2:3" ht="15">
      <c r="B74" s="146" t="s">
        <v>1868</v>
      </c>
      <c r="C74" s="371">
        <v>2189843</v>
      </c>
    </row>
    <row r="75" spans="2:3" ht="15">
      <c r="B75" s="144" t="s">
        <v>1869</v>
      </c>
      <c r="C75" s="370">
        <v>2150667</v>
      </c>
    </row>
    <row r="76" spans="2:3" ht="15">
      <c r="B76" s="146" t="s">
        <v>440</v>
      </c>
      <c r="C76" s="371">
        <v>2042348</v>
      </c>
    </row>
    <row r="77" spans="2:3" ht="15">
      <c r="B77" s="144" t="s">
        <v>459</v>
      </c>
      <c r="C77" s="370">
        <v>2025353</v>
      </c>
    </row>
    <row r="78" spans="2:3" ht="15">
      <c r="B78" s="146" t="s">
        <v>656</v>
      </c>
      <c r="C78" s="371">
        <v>2006019</v>
      </c>
    </row>
    <row r="79" spans="2:3" ht="15">
      <c r="B79" s="144" t="s">
        <v>1878</v>
      </c>
      <c r="C79" s="370">
        <v>1994018</v>
      </c>
    </row>
    <row r="80" spans="2:3" ht="15">
      <c r="B80" s="146" t="s">
        <v>204</v>
      </c>
      <c r="C80" s="371">
        <v>1850392</v>
      </c>
    </row>
    <row r="81" spans="2:3" ht="15">
      <c r="B81" s="144" t="s">
        <v>85</v>
      </c>
      <c r="C81" s="370">
        <v>1791029</v>
      </c>
    </row>
    <row r="82" spans="2:3" ht="15">
      <c r="B82" s="146" t="s">
        <v>28</v>
      </c>
      <c r="C82" s="371">
        <v>1737861</v>
      </c>
    </row>
    <row r="83" spans="2:3" ht="15">
      <c r="B83" s="144" t="s">
        <v>1870</v>
      </c>
      <c r="C83" s="370">
        <v>1415349</v>
      </c>
    </row>
    <row r="84" spans="2:3" ht="15">
      <c r="B84" s="146" t="s">
        <v>1872</v>
      </c>
      <c r="C84" s="371">
        <v>1392256</v>
      </c>
    </row>
    <row r="85" spans="2:3" ht="15">
      <c r="B85" s="144" t="s">
        <v>1873</v>
      </c>
      <c r="C85" s="370">
        <v>1215000</v>
      </c>
    </row>
    <row r="86" spans="2:3" ht="15">
      <c r="B86" s="146" t="s">
        <v>1875</v>
      </c>
      <c r="C86" s="371">
        <v>1096289</v>
      </c>
    </row>
    <row r="87" spans="2:3" ht="15">
      <c r="B87" s="144" t="s">
        <v>532</v>
      </c>
      <c r="C87" s="370">
        <v>1091677</v>
      </c>
    </row>
    <row r="88" spans="2:3" ht="15">
      <c r="B88" s="146" t="s">
        <v>1874</v>
      </c>
      <c r="C88" s="371">
        <v>1073383</v>
      </c>
    </row>
    <row r="89" spans="2:3" ht="15">
      <c r="B89" s="144" t="s">
        <v>103</v>
      </c>
      <c r="C89" s="370">
        <v>967299</v>
      </c>
    </row>
    <row r="90" spans="2:3" ht="15">
      <c r="B90" s="146" t="s">
        <v>1876</v>
      </c>
      <c r="C90" s="371">
        <v>922640</v>
      </c>
    </row>
    <row r="91" spans="2:3" ht="15">
      <c r="B91" s="144" t="s">
        <v>3714</v>
      </c>
      <c r="C91" s="370">
        <v>795000</v>
      </c>
    </row>
    <row r="92" spans="2:3" ht="15">
      <c r="B92" s="146" t="s">
        <v>1904</v>
      </c>
      <c r="C92" s="371">
        <v>778440</v>
      </c>
    </row>
    <row r="93" spans="2:3" ht="15">
      <c r="B93" s="144" t="s">
        <v>315</v>
      </c>
      <c r="C93" s="370">
        <v>749098</v>
      </c>
    </row>
    <row r="94" spans="2:3" ht="15">
      <c r="B94" s="146" t="s">
        <v>191</v>
      </c>
      <c r="C94" s="371">
        <v>742833</v>
      </c>
    </row>
    <row r="95" spans="2:3" ht="15">
      <c r="B95" s="144" t="s">
        <v>197</v>
      </c>
      <c r="C95" s="370">
        <v>712606</v>
      </c>
    </row>
    <row r="96" spans="2:3" ht="15">
      <c r="B96" s="146" t="s">
        <v>375</v>
      </c>
      <c r="C96" s="371">
        <v>680702</v>
      </c>
    </row>
    <row r="97" spans="2:3" ht="15">
      <c r="B97" s="144" t="s">
        <v>129</v>
      </c>
      <c r="C97" s="370">
        <v>664879</v>
      </c>
    </row>
    <row r="98" spans="2:3" ht="15">
      <c r="B98" s="146" t="s">
        <v>110</v>
      </c>
      <c r="C98" s="371">
        <v>588416</v>
      </c>
    </row>
    <row r="99" spans="2:3" ht="15">
      <c r="B99" s="144" t="s">
        <v>1880</v>
      </c>
      <c r="C99" s="370">
        <v>565051</v>
      </c>
    </row>
    <row r="100" spans="2:3" ht="15">
      <c r="B100" s="146" t="s">
        <v>83</v>
      </c>
      <c r="C100" s="371">
        <v>562505</v>
      </c>
    </row>
    <row r="101" spans="2:3" ht="15">
      <c r="B101" s="144" t="s">
        <v>90</v>
      </c>
      <c r="C101" s="370">
        <v>548096</v>
      </c>
    </row>
    <row r="102" spans="2:3" ht="15">
      <c r="B102" s="146" t="s">
        <v>1886</v>
      </c>
      <c r="C102" s="371">
        <v>529800</v>
      </c>
    </row>
    <row r="103" spans="2:3" ht="15">
      <c r="B103" s="144" t="s">
        <v>1881</v>
      </c>
      <c r="C103" s="370">
        <v>510973</v>
      </c>
    </row>
    <row r="104" spans="2:3" ht="15">
      <c r="B104" s="146" t="s">
        <v>1882</v>
      </c>
      <c r="C104" s="371">
        <v>500000</v>
      </c>
    </row>
    <row r="105" spans="2:3" ht="15">
      <c r="B105" s="144" t="s">
        <v>134</v>
      </c>
      <c r="C105" s="370">
        <v>487657</v>
      </c>
    </row>
    <row r="106" spans="2:3" ht="15">
      <c r="B106" s="146" t="s">
        <v>1884</v>
      </c>
      <c r="C106" s="371">
        <v>467979</v>
      </c>
    </row>
    <row r="107" spans="2:3" ht="15">
      <c r="B107" s="144" t="s">
        <v>1883</v>
      </c>
      <c r="C107" s="370">
        <v>455150</v>
      </c>
    </row>
    <row r="108" spans="2:3" ht="15">
      <c r="B108" s="146" t="s">
        <v>198</v>
      </c>
      <c r="C108" s="371">
        <v>452988</v>
      </c>
    </row>
    <row r="109" spans="2:3" ht="15">
      <c r="B109" s="144" t="s">
        <v>1885</v>
      </c>
      <c r="C109" s="370">
        <v>452419</v>
      </c>
    </row>
    <row r="110" spans="2:3" ht="15">
      <c r="B110" s="146" t="s">
        <v>160</v>
      </c>
      <c r="C110" s="371">
        <v>417339</v>
      </c>
    </row>
    <row r="111" spans="2:3" ht="15">
      <c r="B111" s="144" t="s">
        <v>109</v>
      </c>
      <c r="C111" s="370">
        <v>414093</v>
      </c>
    </row>
    <row r="112" spans="2:3" ht="15">
      <c r="B112" s="146" t="s">
        <v>3843</v>
      </c>
      <c r="C112" s="371">
        <v>413000</v>
      </c>
    </row>
    <row r="113" spans="2:3" ht="15">
      <c r="B113" s="144" t="s">
        <v>3844</v>
      </c>
      <c r="C113" s="370">
        <v>403928</v>
      </c>
    </row>
    <row r="114" spans="2:3" ht="15">
      <c r="B114" s="146" t="s">
        <v>912</v>
      </c>
      <c r="C114" s="371">
        <v>396000</v>
      </c>
    </row>
    <row r="115" spans="2:3" ht="15">
      <c r="B115" s="144" t="s">
        <v>3845</v>
      </c>
      <c r="C115" s="370">
        <v>394144</v>
      </c>
    </row>
    <row r="116" spans="2:3" ht="15">
      <c r="B116" s="146" t="s">
        <v>1888</v>
      </c>
      <c r="C116" s="371">
        <v>381299</v>
      </c>
    </row>
    <row r="117" spans="2:3" ht="15">
      <c r="B117" s="144" t="s">
        <v>1889</v>
      </c>
      <c r="C117" s="370">
        <v>380567</v>
      </c>
    </row>
    <row r="118" spans="2:3" ht="15">
      <c r="B118" s="146" t="s">
        <v>114</v>
      </c>
      <c r="C118" s="371">
        <v>373961</v>
      </c>
    </row>
    <row r="119" spans="2:3" ht="15">
      <c r="B119" s="144" t="s">
        <v>1887</v>
      </c>
      <c r="C119" s="370">
        <v>361732</v>
      </c>
    </row>
    <row r="120" spans="2:3" ht="15">
      <c r="B120" s="146" t="s">
        <v>1960</v>
      </c>
      <c r="C120" s="371">
        <v>361304</v>
      </c>
    </row>
    <row r="121" spans="2:3" ht="15">
      <c r="B121" s="144" t="s">
        <v>145</v>
      </c>
      <c r="C121" s="370">
        <v>337465</v>
      </c>
    </row>
    <row r="122" spans="2:3" ht="15">
      <c r="B122" s="146" t="s">
        <v>500</v>
      </c>
      <c r="C122" s="371">
        <v>331550</v>
      </c>
    </row>
    <row r="123" spans="2:3" ht="15">
      <c r="B123" s="144" t="s">
        <v>1890</v>
      </c>
      <c r="C123" s="370">
        <v>326114</v>
      </c>
    </row>
    <row r="124" spans="2:3" ht="15">
      <c r="B124" s="146" t="s">
        <v>1891</v>
      </c>
      <c r="C124" s="371">
        <v>317593</v>
      </c>
    </row>
    <row r="125" spans="2:3" ht="15">
      <c r="B125" s="144" t="s">
        <v>107</v>
      </c>
      <c r="C125" s="370">
        <v>301376</v>
      </c>
    </row>
    <row r="126" spans="2:3" ht="15">
      <c r="B126" s="146" t="s">
        <v>1892</v>
      </c>
      <c r="C126" s="371">
        <v>300885</v>
      </c>
    </row>
    <row r="127" spans="2:3" ht="15">
      <c r="B127" s="144" t="s">
        <v>3846</v>
      </c>
      <c r="C127" s="370">
        <v>287461</v>
      </c>
    </row>
    <row r="128" spans="2:3" ht="15">
      <c r="B128" s="146" t="s">
        <v>2488</v>
      </c>
      <c r="C128" s="371">
        <v>266990</v>
      </c>
    </row>
    <row r="129" spans="2:3" ht="15">
      <c r="B129" s="144" t="s">
        <v>184</v>
      </c>
      <c r="C129" s="370">
        <v>253874</v>
      </c>
    </row>
    <row r="130" spans="2:3" ht="15">
      <c r="B130" s="146" t="s">
        <v>116</v>
      </c>
      <c r="C130" s="371">
        <v>245752</v>
      </c>
    </row>
    <row r="131" spans="2:3" ht="15">
      <c r="B131" s="144" t="s">
        <v>2071</v>
      </c>
      <c r="C131" s="370">
        <v>233651</v>
      </c>
    </row>
    <row r="132" spans="2:3" ht="15">
      <c r="B132" s="146" t="s">
        <v>153</v>
      </c>
      <c r="C132" s="371">
        <v>219924</v>
      </c>
    </row>
    <row r="133" spans="2:3" ht="15">
      <c r="B133" s="144" t="s">
        <v>3847</v>
      </c>
      <c r="C133" s="370">
        <v>199050</v>
      </c>
    </row>
    <row r="134" spans="2:3" ht="15">
      <c r="B134" s="146" t="s">
        <v>284</v>
      </c>
      <c r="C134" s="371">
        <v>197062</v>
      </c>
    </row>
    <row r="135" spans="2:3" ht="15">
      <c r="B135" s="144" t="s">
        <v>368</v>
      </c>
      <c r="C135" s="370">
        <v>191272</v>
      </c>
    </row>
    <row r="136" spans="2:3" ht="15">
      <c r="B136" s="146" t="s">
        <v>1916</v>
      </c>
      <c r="C136" s="371">
        <v>189250</v>
      </c>
    </row>
    <row r="137" spans="2:3" ht="15">
      <c r="B137" s="144" t="s">
        <v>1907</v>
      </c>
      <c r="C137" s="370">
        <v>188377</v>
      </c>
    </row>
    <row r="138" spans="2:3" ht="15">
      <c r="B138" s="146" t="s">
        <v>3848</v>
      </c>
      <c r="C138" s="371">
        <v>184000</v>
      </c>
    </row>
    <row r="139" spans="2:3" ht="15">
      <c r="B139" s="144" t="s">
        <v>1895</v>
      </c>
      <c r="C139" s="370">
        <v>183720</v>
      </c>
    </row>
    <row r="140" spans="2:3" ht="15">
      <c r="B140" s="146" t="s">
        <v>1896</v>
      </c>
      <c r="C140" s="371">
        <v>174861</v>
      </c>
    </row>
    <row r="141" spans="2:3" ht="15">
      <c r="B141" s="144" t="s">
        <v>140</v>
      </c>
      <c r="C141" s="370">
        <v>164316</v>
      </c>
    </row>
    <row r="142" spans="2:3" ht="15">
      <c r="B142" s="146" t="s">
        <v>172</v>
      </c>
      <c r="C142" s="371">
        <v>161355</v>
      </c>
    </row>
    <row r="143" spans="2:3" ht="15">
      <c r="B143" s="144" t="s">
        <v>1898</v>
      </c>
      <c r="C143" s="370">
        <v>153929</v>
      </c>
    </row>
    <row r="144" spans="2:3" ht="15">
      <c r="B144" s="146" t="s">
        <v>1900</v>
      </c>
      <c r="C144" s="371">
        <v>150000</v>
      </c>
    </row>
    <row r="145" spans="2:3" ht="15">
      <c r="B145" s="144" t="s">
        <v>556</v>
      </c>
      <c r="C145" s="370">
        <v>145050</v>
      </c>
    </row>
    <row r="146" spans="2:3" ht="15">
      <c r="B146" s="146" t="s">
        <v>119</v>
      </c>
      <c r="C146" s="371">
        <v>144112</v>
      </c>
    </row>
    <row r="147" spans="2:3" ht="15">
      <c r="B147" s="144" t="s">
        <v>3849</v>
      </c>
      <c r="C147" s="370">
        <v>143000</v>
      </c>
    </row>
    <row r="148" spans="2:3" ht="15">
      <c r="B148" s="146" t="s">
        <v>431</v>
      </c>
      <c r="C148" s="371">
        <v>133000</v>
      </c>
    </row>
    <row r="149" spans="2:3" ht="15">
      <c r="B149" s="144" t="s">
        <v>3850</v>
      </c>
      <c r="C149" s="370">
        <v>127513</v>
      </c>
    </row>
    <row r="150" spans="2:3" ht="15">
      <c r="B150" s="146" t="s">
        <v>1901</v>
      </c>
      <c r="C150" s="371">
        <v>126806</v>
      </c>
    </row>
    <row r="151" spans="2:3" ht="15">
      <c r="B151" s="144" t="s">
        <v>1902</v>
      </c>
      <c r="C151" s="370">
        <v>125638</v>
      </c>
    </row>
    <row r="152" spans="2:3" ht="15">
      <c r="B152" s="146" t="s">
        <v>1903</v>
      </c>
      <c r="C152" s="371">
        <v>125156</v>
      </c>
    </row>
    <row r="153" spans="2:3" ht="15">
      <c r="B153" s="144" t="s">
        <v>1905</v>
      </c>
      <c r="C153" s="370">
        <v>119096</v>
      </c>
    </row>
    <row r="154" spans="2:3" ht="15">
      <c r="B154" s="146" t="s">
        <v>527</v>
      </c>
      <c r="C154" s="371">
        <v>117033</v>
      </c>
    </row>
    <row r="155" spans="2:3" ht="15">
      <c r="B155" s="144" t="s">
        <v>3851</v>
      </c>
      <c r="C155" s="370">
        <v>110000</v>
      </c>
    </row>
    <row r="156" spans="2:3" ht="15">
      <c r="B156" s="146" t="s">
        <v>1915</v>
      </c>
      <c r="C156" s="371">
        <v>109942</v>
      </c>
    </row>
    <row r="157" spans="2:3" ht="15">
      <c r="B157" s="144" t="s">
        <v>524</v>
      </c>
      <c r="C157" s="370">
        <v>108246</v>
      </c>
    </row>
    <row r="158" spans="2:3" ht="15">
      <c r="B158" s="146" t="s">
        <v>1931</v>
      </c>
      <c r="C158" s="371">
        <v>105399</v>
      </c>
    </row>
    <row r="159" spans="2:3" ht="15">
      <c r="B159" s="144" t="s">
        <v>3823</v>
      </c>
      <c r="C159" s="370">
        <v>103144</v>
      </c>
    </row>
    <row r="160" spans="2:3" ht="15">
      <c r="B160" s="146" t="s">
        <v>1928</v>
      </c>
      <c r="C160" s="371">
        <v>100220</v>
      </c>
    </row>
    <row r="161" spans="2:3" ht="15">
      <c r="B161" s="144" t="s">
        <v>1906</v>
      </c>
      <c r="C161" s="370">
        <v>100000</v>
      </c>
    </row>
    <row r="162" spans="2:3" ht="15">
      <c r="B162" s="146" t="s">
        <v>3852</v>
      </c>
      <c r="C162" s="371">
        <v>98000</v>
      </c>
    </row>
    <row r="163" spans="2:3" ht="15">
      <c r="B163" s="144" t="s">
        <v>142</v>
      </c>
      <c r="C163" s="370">
        <v>95480</v>
      </c>
    </row>
    <row r="164" spans="2:3" ht="15">
      <c r="B164" s="146" t="s">
        <v>1910</v>
      </c>
      <c r="C164" s="371">
        <v>95350</v>
      </c>
    </row>
    <row r="165" spans="2:3" ht="15">
      <c r="B165" s="144" t="s">
        <v>1911</v>
      </c>
      <c r="C165" s="370">
        <v>94285</v>
      </c>
    </row>
    <row r="166" spans="2:3" ht="15">
      <c r="B166" s="146" t="s">
        <v>1979</v>
      </c>
      <c r="C166" s="371">
        <v>92360</v>
      </c>
    </row>
    <row r="167" spans="2:3" ht="15">
      <c r="B167" s="144" t="s">
        <v>3853</v>
      </c>
      <c r="C167" s="370">
        <v>92050</v>
      </c>
    </row>
    <row r="168" spans="2:3" ht="15">
      <c r="B168" s="146" t="s">
        <v>1912</v>
      </c>
      <c r="C168" s="371">
        <v>91725</v>
      </c>
    </row>
    <row r="169" spans="2:3" ht="15">
      <c r="B169" s="144" t="s">
        <v>1908</v>
      </c>
      <c r="C169" s="370">
        <v>91434</v>
      </c>
    </row>
    <row r="170" spans="2:3" ht="15">
      <c r="B170" s="146" t="s">
        <v>1095</v>
      </c>
      <c r="C170" s="371">
        <v>91133</v>
      </c>
    </row>
    <row r="171" spans="2:3" ht="15">
      <c r="B171" s="144" t="s">
        <v>1913</v>
      </c>
      <c r="C171" s="370">
        <v>91116</v>
      </c>
    </row>
    <row r="172" spans="2:3" ht="15">
      <c r="B172" s="146" t="s">
        <v>1914</v>
      </c>
      <c r="C172" s="371">
        <v>90352</v>
      </c>
    </row>
    <row r="173" spans="2:3" ht="15">
      <c r="B173" s="144" t="s">
        <v>3854</v>
      </c>
      <c r="C173" s="370">
        <v>90150</v>
      </c>
    </row>
    <row r="174" spans="2:3" ht="15">
      <c r="B174" s="146" t="s">
        <v>3855</v>
      </c>
      <c r="C174" s="371">
        <v>85000</v>
      </c>
    </row>
    <row r="175" spans="2:3" ht="15">
      <c r="B175" s="144" t="s">
        <v>1922</v>
      </c>
      <c r="C175" s="370">
        <v>83489</v>
      </c>
    </row>
    <row r="176" spans="2:3" ht="15">
      <c r="B176" s="146" t="s">
        <v>3856</v>
      </c>
      <c r="C176" s="371">
        <v>82536</v>
      </c>
    </row>
    <row r="177" spans="2:3" ht="15">
      <c r="B177" s="144" t="s">
        <v>1917</v>
      </c>
      <c r="C177" s="370">
        <v>81992</v>
      </c>
    </row>
    <row r="178" spans="2:3" ht="15">
      <c r="B178" s="146" t="s">
        <v>3857</v>
      </c>
      <c r="C178" s="371">
        <v>80232</v>
      </c>
    </row>
    <row r="179" spans="2:3" ht="15">
      <c r="B179" s="144" t="s">
        <v>3858</v>
      </c>
      <c r="C179" s="370">
        <v>78698</v>
      </c>
    </row>
    <row r="180" spans="2:3" ht="15">
      <c r="B180" s="146" t="s">
        <v>1919</v>
      </c>
      <c r="C180" s="371">
        <v>77748</v>
      </c>
    </row>
    <row r="181" spans="2:3" ht="15">
      <c r="B181" s="144" t="s">
        <v>410</v>
      </c>
      <c r="C181" s="370">
        <v>77163</v>
      </c>
    </row>
    <row r="182" spans="2:3" ht="15">
      <c r="B182" s="146" t="s">
        <v>1920</v>
      </c>
      <c r="C182" s="371">
        <v>74940</v>
      </c>
    </row>
    <row r="183" spans="2:3" ht="15">
      <c r="B183" s="144" t="s">
        <v>1921</v>
      </c>
      <c r="C183" s="370">
        <v>72672</v>
      </c>
    </row>
    <row r="184" spans="2:3" ht="15">
      <c r="B184" s="146" t="s">
        <v>1918</v>
      </c>
      <c r="C184" s="371">
        <v>71794</v>
      </c>
    </row>
    <row r="185" spans="2:3" ht="15">
      <c r="B185" s="144" t="s">
        <v>201</v>
      </c>
      <c r="C185" s="370">
        <v>69175</v>
      </c>
    </row>
    <row r="186" spans="2:3" ht="15">
      <c r="B186" s="146" t="s">
        <v>297</v>
      </c>
      <c r="C186" s="371">
        <v>68898</v>
      </c>
    </row>
    <row r="187" spans="2:3" ht="15">
      <c r="B187" s="144" t="s">
        <v>3859</v>
      </c>
      <c r="C187" s="370">
        <v>68000</v>
      </c>
    </row>
    <row r="188" spans="2:3" ht="15">
      <c r="B188" s="146" t="s">
        <v>3860</v>
      </c>
      <c r="C188" s="371">
        <v>67000</v>
      </c>
    </row>
    <row r="189" spans="2:3" ht="15">
      <c r="B189" s="144" t="s">
        <v>2026</v>
      </c>
      <c r="C189" s="370">
        <v>66508</v>
      </c>
    </row>
    <row r="190" spans="2:3" ht="15">
      <c r="B190" s="146" t="s">
        <v>3861</v>
      </c>
      <c r="C190" s="371">
        <v>66000</v>
      </c>
    </row>
    <row r="191" spans="2:3" ht="15">
      <c r="B191" s="144" t="s">
        <v>117</v>
      </c>
      <c r="C191" s="370">
        <v>65857</v>
      </c>
    </row>
    <row r="192" spans="2:3" ht="15">
      <c r="B192" s="146" t="s">
        <v>1951</v>
      </c>
      <c r="C192" s="371">
        <v>65832</v>
      </c>
    </row>
    <row r="193" spans="2:3" ht="15">
      <c r="B193" s="144" t="s">
        <v>3862</v>
      </c>
      <c r="C193" s="370">
        <v>65085</v>
      </c>
    </row>
    <row r="194" spans="2:3" ht="15">
      <c r="B194" s="146" t="s">
        <v>1923</v>
      </c>
      <c r="C194" s="371">
        <v>64290</v>
      </c>
    </row>
    <row r="195" spans="2:3" ht="15">
      <c r="B195" s="144" t="s">
        <v>1946</v>
      </c>
      <c r="C195" s="370">
        <v>62202</v>
      </c>
    </row>
    <row r="196" spans="2:3" ht="15">
      <c r="B196" s="146" t="s">
        <v>1930</v>
      </c>
      <c r="C196" s="371">
        <v>61874</v>
      </c>
    </row>
    <row r="197" spans="2:3" ht="15">
      <c r="B197" s="144" t="s">
        <v>1926</v>
      </c>
      <c r="C197" s="370">
        <v>60692</v>
      </c>
    </row>
    <row r="198" spans="2:3" ht="15">
      <c r="B198" s="146" t="s">
        <v>1925</v>
      </c>
      <c r="C198" s="371">
        <v>60351</v>
      </c>
    </row>
    <row r="199" spans="2:3" ht="15">
      <c r="B199" s="144" t="s">
        <v>203</v>
      </c>
      <c r="C199" s="370">
        <v>59017</v>
      </c>
    </row>
    <row r="200" spans="2:3" ht="15">
      <c r="B200" s="146" t="s">
        <v>1927</v>
      </c>
      <c r="C200" s="371">
        <v>57775</v>
      </c>
    </row>
    <row r="201" spans="2:3" ht="15">
      <c r="B201" s="144" t="s">
        <v>3863</v>
      </c>
      <c r="C201" s="370">
        <v>57667</v>
      </c>
    </row>
    <row r="202" spans="2:3" ht="15">
      <c r="B202" s="146" t="s">
        <v>234</v>
      </c>
      <c r="C202" s="371">
        <v>57445</v>
      </c>
    </row>
    <row r="203" spans="2:3" ht="15">
      <c r="B203" s="144" t="s">
        <v>1929</v>
      </c>
      <c r="C203" s="370">
        <v>56510</v>
      </c>
    </row>
    <row r="204" spans="2:3" ht="15">
      <c r="B204" s="146" t="s">
        <v>1932</v>
      </c>
      <c r="C204" s="371">
        <v>54511</v>
      </c>
    </row>
    <row r="205" spans="2:3" ht="15">
      <c r="B205" s="144" t="s">
        <v>406</v>
      </c>
      <c r="C205" s="370">
        <v>53791</v>
      </c>
    </row>
    <row r="206" spans="2:3" ht="15">
      <c r="B206" s="146" t="s">
        <v>3864</v>
      </c>
      <c r="C206" s="371">
        <v>53000</v>
      </c>
    </row>
    <row r="207" spans="2:3" ht="15">
      <c r="B207" s="144" t="s">
        <v>3865</v>
      </c>
      <c r="C207" s="370">
        <v>53000</v>
      </c>
    </row>
    <row r="208" spans="2:3" ht="15">
      <c r="B208" s="146" t="s">
        <v>1958</v>
      </c>
      <c r="C208" s="371">
        <v>52685</v>
      </c>
    </row>
    <row r="209" spans="2:3" ht="15">
      <c r="B209" s="144" t="s">
        <v>1933</v>
      </c>
      <c r="C209" s="370">
        <v>52086</v>
      </c>
    </row>
    <row r="210" spans="2:3" ht="15">
      <c r="B210" s="146" t="s">
        <v>3866</v>
      </c>
      <c r="C210" s="371">
        <v>51350</v>
      </c>
    </row>
    <row r="211" spans="2:3" ht="15">
      <c r="B211" s="144" t="s">
        <v>3867</v>
      </c>
      <c r="C211" s="370">
        <v>51000</v>
      </c>
    </row>
    <row r="212" spans="2:3" ht="15">
      <c r="B212" s="146" t="s">
        <v>1934</v>
      </c>
      <c r="C212" s="371">
        <v>50759</v>
      </c>
    </row>
    <row r="213" spans="2:3" ht="15">
      <c r="B213" s="144" t="s">
        <v>1936</v>
      </c>
      <c r="C213" s="370">
        <v>50000</v>
      </c>
    </row>
    <row r="214" spans="2:3" ht="15">
      <c r="B214" s="146" t="s">
        <v>1935</v>
      </c>
      <c r="C214" s="371">
        <v>50000</v>
      </c>
    </row>
    <row r="215" spans="2:3" ht="15">
      <c r="B215" s="144" t="s">
        <v>1937</v>
      </c>
      <c r="C215" s="370">
        <v>49911</v>
      </c>
    </row>
    <row r="216" spans="2:3" ht="15">
      <c r="B216" s="146" t="s">
        <v>1938</v>
      </c>
      <c r="C216" s="371">
        <v>49503</v>
      </c>
    </row>
    <row r="217" spans="2:3" ht="15">
      <c r="B217" s="144" t="s">
        <v>428</v>
      </c>
      <c r="C217" s="370">
        <v>48096</v>
      </c>
    </row>
    <row r="218" spans="2:3" ht="15">
      <c r="B218" s="146" t="s">
        <v>3868</v>
      </c>
      <c r="C218" s="371">
        <v>47000</v>
      </c>
    </row>
    <row r="219" spans="2:3" ht="15">
      <c r="B219" s="144" t="s">
        <v>557</v>
      </c>
      <c r="C219" s="370">
        <v>44150</v>
      </c>
    </row>
    <row r="220" spans="2:3" ht="15">
      <c r="B220" s="146" t="s">
        <v>3869</v>
      </c>
      <c r="C220" s="371">
        <v>44000</v>
      </c>
    </row>
    <row r="221" spans="2:3" ht="15">
      <c r="B221" s="144" t="s">
        <v>3870</v>
      </c>
      <c r="C221" s="370">
        <v>42000</v>
      </c>
    </row>
    <row r="222" spans="2:3" ht="15">
      <c r="B222" s="146" t="s">
        <v>3871</v>
      </c>
      <c r="C222" s="371">
        <v>42000</v>
      </c>
    </row>
    <row r="223" spans="2:3" ht="15">
      <c r="B223" s="144" t="s">
        <v>242</v>
      </c>
      <c r="C223" s="370">
        <v>41941</v>
      </c>
    </row>
    <row r="224" spans="2:3" ht="15">
      <c r="B224" s="146" t="s">
        <v>3872</v>
      </c>
      <c r="C224" s="371">
        <v>40650</v>
      </c>
    </row>
    <row r="225" spans="2:3" ht="15">
      <c r="B225" s="144" t="s">
        <v>2059</v>
      </c>
      <c r="C225" s="370">
        <v>40293</v>
      </c>
    </row>
    <row r="226" spans="2:3" ht="15">
      <c r="B226" s="146" t="s">
        <v>1941</v>
      </c>
      <c r="C226" s="371">
        <v>40291</v>
      </c>
    </row>
    <row r="227" spans="2:3" ht="15">
      <c r="B227" s="144" t="s">
        <v>403</v>
      </c>
      <c r="C227" s="370">
        <v>39381</v>
      </c>
    </row>
    <row r="228" spans="2:3" ht="15">
      <c r="B228" s="146" t="s">
        <v>491</v>
      </c>
      <c r="C228" s="371">
        <v>38643</v>
      </c>
    </row>
    <row r="229" spans="2:3" ht="15">
      <c r="B229" s="144" t="s">
        <v>3873</v>
      </c>
      <c r="C229" s="370">
        <v>38000</v>
      </c>
    </row>
    <row r="230" spans="2:3" ht="15">
      <c r="B230" s="146" t="s">
        <v>3874</v>
      </c>
      <c r="C230" s="371">
        <v>38000</v>
      </c>
    </row>
    <row r="231" spans="2:3" ht="15">
      <c r="B231" s="144" t="s">
        <v>534</v>
      </c>
      <c r="C231" s="370">
        <v>36253</v>
      </c>
    </row>
    <row r="232" spans="2:3" ht="15">
      <c r="B232" s="146" t="s">
        <v>1954</v>
      </c>
      <c r="C232" s="371">
        <v>36064</v>
      </c>
    </row>
    <row r="233" spans="2:3" ht="15">
      <c r="B233" s="144" t="s">
        <v>3875</v>
      </c>
      <c r="C233" s="370">
        <v>36000</v>
      </c>
    </row>
    <row r="234" spans="2:3" ht="15">
      <c r="B234" s="146" t="s">
        <v>3876</v>
      </c>
      <c r="C234" s="371">
        <v>36000</v>
      </c>
    </row>
    <row r="235" spans="2:3" ht="15">
      <c r="B235" s="144" t="s">
        <v>1942</v>
      </c>
      <c r="C235" s="370">
        <v>35947</v>
      </c>
    </row>
    <row r="236" spans="2:3" ht="15">
      <c r="B236" s="146" t="s">
        <v>1943</v>
      </c>
      <c r="C236" s="371">
        <v>35234</v>
      </c>
    </row>
    <row r="237" spans="2:3" ht="15">
      <c r="B237" s="144" t="s">
        <v>1999</v>
      </c>
      <c r="C237" s="370">
        <v>35151</v>
      </c>
    </row>
    <row r="238" spans="2:3" ht="15">
      <c r="B238" s="146" t="s">
        <v>2005</v>
      </c>
      <c r="C238" s="371">
        <v>34858</v>
      </c>
    </row>
    <row r="239" spans="2:3" ht="15">
      <c r="B239" s="144" t="s">
        <v>325</v>
      </c>
      <c r="C239" s="370">
        <v>34707</v>
      </c>
    </row>
    <row r="240" spans="2:3" ht="15">
      <c r="B240" s="146" t="s">
        <v>1944</v>
      </c>
      <c r="C240" s="371">
        <v>34546</v>
      </c>
    </row>
    <row r="241" spans="2:3" ht="15">
      <c r="B241" s="144" t="s">
        <v>2002</v>
      </c>
      <c r="C241" s="370">
        <v>34341</v>
      </c>
    </row>
    <row r="242" spans="2:3" ht="15">
      <c r="B242" s="146" t="s">
        <v>453</v>
      </c>
      <c r="C242" s="371">
        <v>33975</v>
      </c>
    </row>
    <row r="243" spans="2:3" ht="15">
      <c r="B243" s="144" t="s">
        <v>20</v>
      </c>
      <c r="C243" s="370">
        <v>33898</v>
      </c>
    </row>
    <row r="244" spans="2:3" ht="15">
      <c r="B244" s="146" t="s">
        <v>237</v>
      </c>
      <c r="C244" s="371">
        <v>32724</v>
      </c>
    </row>
    <row r="245" spans="2:3" ht="15">
      <c r="B245" s="144" t="s">
        <v>502</v>
      </c>
      <c r="C245" s="370">
        <v>32612</v>
      </c>
    </row>
    <row r="246" spans="2:3" ht="15">
      <c r="B246" s="146" t="s">
        <v>269</v>
      </c>
      <c r="C246" s="371">
        <v>32261</v>
      </c>
    </row>
    <row r="247" spans="2:3" ht="15">
      <c r="B247" s="144" t="s">
        <v>3877</v>
      </c>
      <c r="C247" s="370">
        <v>32100</v>
      </c>
    </row>
    <row r="248" spans="2:3" ht="15">
      <c r="B248" s="146" t="s">
        <v>1947</v>
      </c>
      <c r="C248" s="371">
        <v>30527</v>
      </c>
    </row>
    <row r="249" spans="2:3" ht="15">
      <c r="B249" s="144" t="s">
        <v>1948</v>
      </c>
      <c r="C249" s="370">
        <v>30465</v>
      </c>
    </row>
    <row r="250" spans="2:3" ht="15">
      <c r="B250" s="146" t="s">
        <v>1978</v>
      </c>
      <c r="C250" s="371">
        <v>30443</v>
      </c>
    </row>
    <row r="251" spans="2:3" ht="15">
      <c r="B251" s="144" t="s">
        <v>323</v>
      </c>
      <c r="C251" s="370">
        <v>30259</v>
      </c>
    </row>
    <row r="252" spans="2:3" ht="15">
      <c r="B252" s="146" t="s">
        <v>1949</v>
      </c>
      <c r="C252" s="371">
        <v>30100</v>
      </c>
    </row>
    <row r="253" spans="2:3" ht="15">
      <c r="B253" s="144" t="s">
        <v>1950</v>
      </c>
      <c r="C253" s="370">
        <v>30000</v>
      </c>
    </row>
    <row r="254" spans="2:3" ht="15">
      <c r="B254" s="146" t="s">
        <v>3878</v>
      </c>
      <c r="C254" s="371">
        <v>30000</v>
      </c>
    </row>
    <row r="255" spans="2:3" ht="15">
      <c r="B255" s="144" t="s">
        <v>3879</v>
      </c>
      <c r="C255" s="370">
        <v>30000</v>
      </c>
    </row>
    <row r="256" spans="2:3" ht="15">
      <c r="B256" s="146" t="s">
        <v>3880</v>
      </c>
      <c r="C256" s="371">
        <v>29973</v>
      </c>
    </row>
    <row r="257" spans="2:3" ht="15">
      <c r="B257" s="144" t="s">
        <v>1952</v>
      </c>
      <c r="C257" s="370">
        <v>29751</v>
      </c>
    </row>
    <row r="258" spans="2:3" ht="15">
      <c r="B258" s="146" t="s">
        <v>3881</v>
      </c>
      <c r="C258" s="371">
        <v>29000</v>
      </c>
    </row>
    <row r="259" spans="2:3" ht="15">
      <c r="B259" s="144" t="s">
        <v>418</v>
      </c>
      <c r="C259" s="370">
        <v>28621</v>
      </c>
    </row>
    <row r="260" spans="2:3" ht="15">
      <c r="B260" s="146" t="s">
        <v>488</v>
      </c>
      <c r="C260" s="371">
        <v>28601</v>
      </c>
    </row>
    <row r="261" spans="2:3" ht="15">
      <c r="B261" s="144" t="s">
        <v>2009</v>
      </c>
      <c r="C261" s="370">
        <v>28083</v>
      </c>
    </row>
    <row r="262" spans="2:3" ht="15">
      <c r="B262" s="146" t="s">
        <v>3882</v>
      </c>
      <c r="C262" s="371">
        <v>28000</v>
      </c>
    </row>
    <row r="263" spans="2:3" ht="15">
      <c r="B263" s="144" t="s">
        <v>454</v>
      </c>
      <c r="C263" s="370">
        <v>27924</v>
      </c>
    </row>
    <row r="264" spans="2:3" ht="15">
      <c r="B264" s="146" t="s">
        <v>450</v>
      </c>
      <c r="C264" s="371">
        <v>27879</v>
      </c>
    </row>
    <row r="265" spans="2:3" ht="15">
      <c r="B265" s="144" t="s">
        <v>1961</v>
      </c>
      <c r="C265" s="370">
        <v>27456</v>
      </c>
    </row>
    <row r="266" spans="2:3" ht="15">
      <c r="B266" s="146" t="s">
        <v>1955</v>
      </c>
      <c r="C266" s="371">
        <v>27202</v>
      </c>
    </row>
    <row r="267" spans="2:3" ht="15">
      <c r="B267" s="144" t="s">
        <v>292</v>
      </c>
      <c r="C267" s="370">
        <v>27038</v>
      </c>
    </row>
    <row r="268" spans="2:3" ht="15">
      <c r="B268" s="146" t="s">
        <v>187</v>
      </c>
      <c r="C268" s="371">
        <v>27016</v>
      </c>
    </row>
    <row r="269" spans="2:3" ht="15">
      <c r="B269" s="144" t="s">
        <v>1956</v>
      </c>
      <c r="C269" s="370">
        <v>26991</v>
      </c>
    </row>
    <row r="270" spans="2:3" ht="15">
      <c r="B270" s="146" t="s">
        <v>1957</v>
      </c>
      <c r="C270" s="371">
        <v>26646</v>
      </c>
    </row>
    <row r="271" spans="2:3" ht="15">
      <c r="B271" s="144" t="s">
        <v>1959</v>
      </c>
      <c r="C271" s="370">
        <v>26388</v>
      </c>
    </row>
    <row r="272" spans="2:3" ht="15">
      <c r="B272" s="146" t="s">
        <v>1962</v>
      </c>
      <c r="C272" s="371">
        <v>25100</v>
      </c>
    </row>
    <row r="273" spans="2:3" ht="15">
      <c r="B273" s="144" t="s">
        <v>1939</v>
      </c>
      <c r="C273" s="370">
        <v>25013</v>
      </c>
    </row>
    <row r="274" spans="2:3" ht="15">
      <c r="B274" s="146" t="s">
        <v>430</v>
      </c>
      <c r="C274" s="371">
        <v>25004</v>
      </c>
    </row>
    <row r="275" spans="2:3" ht="15">
      <c r="B275" s="144" t="s">
        <v>1967</v>
      </c>
      <c r="C275" s="370">
        <v>25000</v>
      </c>
    </row>
    <row r="276" spans="2:3" ht="15">
      <c r="B276" s="146" t="s">
        <v>1966</v>
      </c>
      <c r="C276" s="371">
        <v>25000</v>
      </c>
    </row>
    <row r="277" spans="2:3" ht="15">
      <c r="B277" s="144" t="s">
        <v>1964</v>
      </c>
      <c r="C277" s="370">
        <v>25000</v>
      </c>
    </row>
    <row r="278" spans="2:3" ht="15">
      <c r="B278" s="146" t="s">
        <v>1965</v>
      </c>
      <c r="C278" s="371">
        <v>25000</v>
      </c>
    </row>
    <row r="279" spans="2:3" ht="15">
      <c r="B279" s="144" t="s">
        <v>243</v>
      </c>
      <c r="C279" s="370">
        <v>24795</v>
      </c>
    </row>
    <row r="280" spans="2:3" ht="15">
      <c r="B280" s="146" t="s">
        <v>1968</v>
      </c>
      <c r="C280" s="371">
        <v>24607</v>
      </c>
    </row>
    <row r="281" spans="2:3" ht="15">
      <c r="B281" s="144" t="s">
        <v>1969</v>
      </c>
      <c r="C281" s="370">
        <v>22776</v>
      </c>
    </row>
    <row r="282" spans="2:3" ht="15">
      <c r="B282" s="146" t="s">
        <v>3883</v>
      </c>
      <c r="C282" s="371">
        <v>22761</v>
      </c>
    </row>
    <row r="283" spans="2:3" ht="15">
      <c r="B283" s="144" t="s">
        <v>147</v>
      </c>
      <c r="C283" s="370">
        <v>22429</v>
      </c>
    </row>
    <row r="284" spans="2:3" ht="15">
      <c r="B284" s="146" t="s">
        <v>3884</v>
      </c>
      <c r="C284" s="371">
        <v>22000</v>
      </c>
    </row>
    <row r="285" spans="2:3" ht="15">
      <c r="B285" s="144" t="s">
        <v>3885</v>
      </c>
      <c r="C285" s="370">
        <v>22000</v>
      </c>
    </row>
    <row r="286" spans="2:3" ht="15">
      <c r="B286" s="146" t="s">
        <v>1990</v>
      </c>
      <c r="C286" s="371">
        <v>21852</v>
      </c>
    </row>
    <row r="287" spans="2:3" ht="15">
      <c r="B287" s="144" t="s">
        <v>447</v>
      </c>
      <c r="C287" s="370">
        <v>21240</v>
      </c>
    </row>
    <row r="288" spans="2:3" ht="15">
      <c r="B288" s="146" t="s">
        <v>1970</v>
      </c>
      <c r="C288" s="371">
        <v>21202</v>
      </c>
    </row>
    <row r="289" spans="2:3" ht="15">
      <c r="B289" s="144" t="s">
        <v>3886</v>
      </c>
      <c r="C289" s="370">
        <v>21000</v>
      </c>
    </row>
    <row r="290" spans="2:3" ht="15">
      <c r="B290" s="146" t="s">
        <v>3887</v>
      </c>
      <c r="C290" s="371">
        <v>21000</v>
      </c>
    </row>
    <row r="291" spans="2:3" ht="15">
      <c r="B291" s="144" t="s">
        <v>1971</v>
      </c>
      <c r="C291" s="370">
        <v>20724</v>
      </c>
    </row>
    <row r="292" spans="2:3" ht="15">
      <c r="B292" s="146" t="s">
        <v>1973</v>
      </c>
      <c r="C292" s="371">
        <v>20468</v>
      </c>
    </row>
    <row r="293" spans="2:3" ht="15">
      <c r="B293" s="144" t="s">
        <v>1974</v>
      </c>
      <c r="C293" s="370">
        <v>20300</v>
      </c>
    </row>
    <row r="294" spans="2:3" ht="15">
      <c r="B294" s="146" t="s">
        <v>1975</v>
      </c>
      <c r="C294" s="371">
        <v>20034</v>
      </c>
    </row>
    <row r="295" spans="2:3" ht="15">
      <c r="B295" s="144" t="s">
        <v>3888</v>
      </c>
      <c r="C295" s="370">
        <v>20000</v>
      </c>
    </row>
    <row r="296" spans="2:3" ht="15">
      <c r="B296" s="146" t="s">
        <v>3889</v>
      </c>
      <c r="C296" s="371">
        <v>20000</v>
      </c>
    </row>
    <row r="297" spans="2:3" ht="15">
      <c r="B297" s="144" t="s">
        <v>3890</v>
      </c>
      <c r="C297" s="370">
        <v>20000</v>
      </c>
    </row>
    <row r="298" spans="2:3" ht="15">
      <c r="B298" s="146" t="s">
        <v>3891</v>
      </c>
      <c r="C298" s="371">
        <v>20000</v>
      </c>
    </row>
    <row r="299" spans="2:3" ht="15">
      <c r="B299" s="144" t="s">
        <v>363</v>
      </c>
      <c r="C299" s="370">
        <v>19349</v>
      </c>
    </row>
    <row r="300" spans="2:3" ht="15">
      <c r="B300" s="146" t="s">
        <v>3892</v>
      </c>
      <c r="C300" s="371">
        <v>19100</v>
      </c>
    </row>
    <row r="301" spans="2:3" ht="15">
      <c r="B301" s="144" t="s">
        <v>272</v>
      </c>
      <c r="C301" s="370">
        <v>18705</v>
      </c>
    </row>
    <row r="302" spans="2:3" ht="15">
      <c r="B302" s="146" t="s">
        <v>1963</v>
      </c>
      <c r="C302" s="371">
        <v>18663</v>
      </c>
    </row>
    <row r="303" spans="2:3" ht="15">
      <c r="B303" s="144" t="s">
        <v>1982</v>
      </c>
      <c r="C303" s="370">
        <v>18626</v>
      </c>
    </row>
    <row r="304" spans="2:3" ht="15">
      <c r="B304" s="146" t="s">
        <v>318</v>
      </c>
      <c r="C304" s="371">
        <v>18332</v>
      </c>
    </row>
    <row r="305" spans="2:3" ht="15">
      <c r="B305" s="144" t="s">
        <v>1976</v>
      </c>
      <c r="C305" s="370">
        <v>18070</v>
      </c>
    </row>
    <row r="306" spans="2:3" ht="15">
      <c r="B306" s="146" t="s">
        <v>409</v>
      </c>
      <c r="C306" s="371">
        <v>18014</v>
      </c>
    </row>
    <row r="307" spans="2:3" ht="15">
      <c r="B307" s="144" t="s">
        <v>3893</v>
      </c>
      <c r="C307" s="370">
        <v>18000</v>
      </c>
    </row>
    <row r="308" spans="2:3" ht="15">
      <c r="B308" s="146" t="s">
        <v>2006</v>
      </c>
      <c r="C308" s="371">
        <v>17711</v>
      </c>
    </row>
    <row r="309" spans="2:3" ht="15">
      <c r="B309" s="144" t="s">
        <v>3894</v>
      </c>
      <c r="C309" s="370">
        <v>17498</v>
      </c>
    </row>
    <row r="310" spans="2:3" ht="15">
      <c r="B310" s="146" t="s">
        <v>301</v>
      </c>
      <c r="C310" s="371">
        <v>16982</v>
      </c>
    </row>
    <row r="311" spans="2:3" ht="15">
      <c r="B311" s="144" t="s">
        <v>195</v>
      </c>
      <c r="C311" s="370">
        <v>16948</v>
      </c>
    </row>
    <row r="312" spans="2:3" ht="15">
      <c r="B312" s="146" t="s">
        <v>120</v>
      </c>
      <c r="C312" s="371">
        <v>16655</v>
      </c>
    </row>
    <row r="313" spans="2:3" ht="15">
      <c r="B313" s="144" t="s">
        <v>1977</v>
      </c>
      <c r="C313" s="370">
        <v>16500</v>
      </c>
    </row>
    <row r="314" spans="2:3" ht="15">
      <c r="B314" s="146" t="s">
        <v>2104</v>
      </c>
      <c r="C314" s="371">
        <v>16321</v>
      </c>
    </row>
    <row r="315" spans="2:3" ht="15">
      <c r="B315" s="144" t="s">
        <v>3895</v>
      </c>
      <c r="C315" s="370">
        <v>16100</v>
      </c>
    </row>
    <row r="316" spans="2:3" ht="15">
      <c r="B316" s="146" t="s">
        <v>2000</v>
      </c>
      <c r="C316" s="371">
        <v>15612</v>
      </c>
    </row>
    <row r="317" spans="2:3" ht="15">
      <c r="B317" s="144" t="s">
        <v>1980</v>
      </c>
      <c r="C317" s="370">
        <v>15493</v>
      </c>
    </row>
    <row r="318" spans="2:3" ht="15">
      <c r="B318" s="146" t="s">
        <v>525</v>
      </c>
      <c r="C318" s="371">
        <v>15188</v>
      </c>
    </row>
    <row r="319" spans="2:3" ht="15">
      <c r="B319" s="144" t="s">
        <v>3896</v>
      </c>
      <c r="C319" s="370">
        <v>15150</v>
      </c>
    </row>
    <row r="320" spans="2:3" ht="15">
      <c r="B320" s="146" t="s">
        <v>267</v>
      </c>
      <c r="C320" s="371">
        <v>15082</v>
      </c>
    </row>
    <row r="321" spans="2:3" ht="15">
      <c r="B321" s="144" t="s">
        <v>432</v>
      </c>
      <c r="C321" s="370">
        <v>15012</v>
      </c>
    </row>
    <row r="322" spans="2:3" ht="15">
      <c r="B322" s="146" t="s">
        <v>3897</v>
      </c>
      <c r="C322" s="371">
        <v>15000</v>
      </c>
    </row>
    <row r="323" spans="2:3" ht="15">
      <c r="B323" s="144" t="s">
        <v>3898</v>
      </c>
      <c r="C323" s="370">
        <v>15000</v>
      </c>
    </row>
    <row r="324" spans="2:3" ht="15">
      <c r="B324" s="146" t="s">
        <v>493</v>
      </c>
      <c r="C324" s="371">
        <v>15000</v>
      </c>
    </row>
    <row r="325" spans="2:3" ht="15">
      <c r="B325" s="144" t="s">
        <v>1981</v>
      </c>
      <c r="C325" s="370">
        <v>14904</v>
      </c>
    </row>
    <row r="326" spans="2:3" ht="15">
      <c r="B326" s="146" t="s">
        <v>2056</v>
      </c>
      <c r="C326" s="371">
        <v>14883</v>
      </c>
    </row>
    <row r="327" spans="2:3" ht="15">
      <c r="B327" s="144" t="s">
        <v>1972</v>
      </c>
      <c r="C327" s="370">
        <v>14430</v>
      </c>
    </row>
    <row r="328" spans="2:3" ht="15">
      <c r="B328" s="146" t="s">
        <v>3899</v>
      </c>
      <c r="C328" s="371">
        <v>14250</v>
      </c>
    </row>
    <row r="329" spans="2:3" ht="15">
      <c r="B329" s="144" t="s">
        <v>3900</v>
      </c>
      <c r="C329" s="370">
        <v>14050</v>
      </c>
    </row>
    <row r="330" spans="2:3" ht="15">
      <c r="B330" s="146" t="s">
        <v>3901</v>
      </c>
      <c r="C330" s="371">
        <v>14000</v>
      </c>
    </row>
    <row r="331" spans="2:3" ht="15">
      <c r="B331" s="144" t="s">
        <v>274</v>
      </c>
      <c r="C331" s="370">
        <v>13666</v>
      </c>
    </row>
    <row r="332" spans="2:3" ht="15">
      <c r="B332" s="146" t="s">
        <v>460</v>
      </c>
      <c r="C332" s="371">
        <v>13605</v>
      </c>
    </row>
    <row r="333" spans="2:3" ht="15">
      <c r="B333" s="144" t="s">
        <v>1983</v>
      </c>
      <c r="C333" s="370">
        <v>13386</v>
      </c>
    </row>
    <row r="334" spans="2:3" ht="15">
      <c r="B334" s="146" t="s">
        <v>218</v>
      </c>
      <c r="C334" s="371">
        <v>13183</v>
      </c>
    </row>
    <row r="335" spans="2:3" ht="15">
      <c r="B335" s="144" t="s">
        <v>1984</v>
      </c>
      <c r="C335" s="370">
        <v>13052</v>
      </c>
    </row>
    <row r="336" spans="2:3" ht="15">
      <c r="B336" s="146" t="s">
        <v>473</v>
      </c>
      <c r="C336" s="371">
        <v>12900</v>
      </c>
    </row>
    <row r="337" spans="2:3" ht="15">
      <c r="B337" s="144" t="s">
        <v>1985</v>
      </c>
      <c r="C337" s="370">
        <v>12674</v>
      </c>
    </row>
    <row r="338" spans="2:3" ht="15">
      <c r="B338" s="146" t="s">
        <v>1986</v>
      </c>
      <c r="C338" s="371">
        <v>12364</v>
      </c>
    </row>
    <row r="339" spans="2:3" ht="15">
      <c r="B339" s="144" t="s">
        <v>1991</v>
      </c>
      <c r="C339" s="370">
        <v>12312</v>
      </c>
    </row>
    <row r="340" spans="2:3" ht="15">
      <c r="B340" s="146" t="s">
        <v>306</v>
      </c>
      <c r="C340" s="371">
        <v>12160</v>
      </c>
    </row>
    <row r="341" spans="2:3" ht="15">
      <c r="B341" s="144" t="s">
        <v>150</v>
      </c>
      <c r="C341" s="370">
        <v>11843</v>
      </c>
    </row>
    <row r="342" spans="2:3" ht="15">
      <c r="B342" s="146" t="s">
        <v>1993</v>
      </c>
      <c r="C342" s="371">
        <v>11600</v>
      </c>
    </row>
    <row r="343" spans="2:3" ht="15">
      <c r="B343" s="144" t="s">
        <v>3902</v>
      </c>
      <c r="C343" s="370">
        <v>11547</v>
      </c>
    </row>
    <row r="344" spans="2:3" ht="15">
      <c r="B344" s="146" t="s">
        <v>1987</v>
      </c>
      <c r="C344" s="371">
        <v>11488</v>
      </c>
    </row>
    <row r="345" spans="2:3" ht="15">
      <c r="B345" s="144" t="s">
        <v>1988</v>
      </c>
      <c r="C345" s="370">
        <v>11241</v>
      </c>
    </row>
    <row r="346" spans="2:3" ht="15">
      <c r="B346" s="146" t="s">
        <v>3903</v>
      </c>
      <c r="C346" s="371">
        <v>11213</v>
      </c>
    </row>
    <row r="347" spans="2:3" ht="15">
      <c r="B347" s="144" t="s">
        <v>1989</v>
      </c>
      <c r="C347" s="370">
        <v>11064</v>
      </c>
    </row>
    <row r="348" spans="2:3" ht="15">
      <c r="B348" s="146" t="s">
        <v>3904</v>
      </c>
      <c r="C348" s="371">
        <v>11000</v>
      </c>
    </row>
    <row r="349" spans="2:3" ht="15">
      <c r="B349" s="144" t="s">
        <v>353</v>
      </c>
      <c r="C349" s="370">
        <v>10696</v>
      </c>
    </row>
    <row r="350" spans="2:3" ht="15">
      <c r="B350" s="146" t="s">
        <v>389</v>
      </c>
      <c r="C350" s="371">
        <v>10691</v>
      </c>
    </row>
    <row r="351" spans="2:3" ht="15">
      <c r="B351" s="144" t="s">
        <v>486</v>
      </c>
      <c r="C351" s="370">
        <v>10572</v>
      </c>
    </row>
    <row r="352" spans="2:3" ht="15">
      <c r="B352" s="146" t="s">
        <v>338</v>
      </c>
      <c r="C352" s="371">
        <v>10500</v>
      </c>
    </row>
    <row r="353" spans="2:3" ht="15">
      <c r="B353" s="144" t="s">
        <v>3905</v>
      </c>
      <c r="C353" s="370">
        <v>10500</v>
      </c>
    </row>
    <row r="354" spans="2:3" ht="15">
      <c r="B354" s="146" t="s">
        <v>3906</v>
      </c>
      <c r="C354" s="371">
        <v>10485</v>
      </c>
    </row>
    <row r="355" spans="2:3" ht="15">
      <c r="B355" s="144" t="s">
        <v>539</v>
      </c>
      <c r="C355" s="370">
        <v>10476</v>
      </c>
    </row>
    <row r="356" spans="2:3" ht="15">
      <c r="B356" s="146" t="s">
        <v>1992</v>
      </c>
      <c r="C356" s="371">
        <v>10409</v>
      </c>
    </row>
    <row r="357" spans="2:3" ht="15">
      <c r="B357" s="144" t="s">
        <v>1994</v>
      </c>
      <c r="C357" s="370">
        <v>10030</v>
      </c>
    </row>
    <row r="358" spans="2:3" ht="15">
      <c r="B358" s="146" t="s">
        <v>1995</v>
      </c>
      <c r="C358" s="371">
        <v>10028</v>
      </c>
    </row>
    <row r="359" spans="2:3" ht="15">
      <c r="B359" s="144" t="s">
        <v>3907</v>
      </c>
      <c r="C359" s="370">
        <v>10000</v>
      </c>
    </row>
    <row r="360" spans="2:3" ht="15">
      <c r="B360" s="146" t="s">
        <v>3908</v>
      </c>
      <c r="C360" s="371">
        <v>10000</v>
      </c>
    </row>
    <row r="361" spans="2:3" ht="15">
      <c r="B361" s="144" t="s">
        <v>3909</v>
      </c>
      <c r="C361" s="370">
        <v>10000</v>
      </c>
    </row>
    <row r="362" spans="2:3" ht="15">
      <c r="B362" s="146" t="s">
        <v>3910</v>
      </c>
      <c r="C362" s="371">
        <v>9970</v>
      </c>
    </row>
    <row r="363" spans="2:3" ht="15">
      <c r="B363" s="144" t="s">
        <v>518</v>
      </c>
      <c r="C363" s="370">
        <v>9954</v>
      </c>
    </row>
    <row r="364" spans="2:3" ht="15">
      <c r="B364" s="146" t="s">
        <v>449</v>
      </c>
      <c r="C364" s="371">
        <v>9910</v>
      </c>
    </row>
    <row r="365" spans="2:3" ht="15">
      <c r="B365" s="144" t="s">
        <v>1996</v>
      </c>
      <c r="C365" s="370">
        <v>9886</v>
      </c>
    </row>
    <row r="366" spans="2:3" ht="15">
      <c r="B366" s="146" t="s">
        <v>1997</v>
      </c>
      <c r="C366" s="371">
        <v>9674</v>
      </c>
    </row>
    <row r="367" spans="2:3" ht="15">
      <c r="B367" s="144" t="s">
        <v>1998</v>
      </c>
      <c r="C367" s="370">
        <v>9316</v>
      </c>
    </row>
    <row r="368" spans="2:3" ht="15">
      <c r="B368" s="146" t="s">
        <v>205</v>
      </c>
      <c r="C368" s="371">
        <v>9299</v>
      </c>
    </row>
    <row r="369" spans="2:3" ht="15">
      <c r="B369" s="144" t="s">
        <v>275</v>
      </c>
      <c r="C369" s="370">
        <v>9226</v>
      </c>
    </row>
    <row r="370" spans="2:3" ht="15">
      <c r="B370" s="146" t="s">
        <v>265</v>
      </c>
      <c r="C370" s="371">
        <v>9059</v>
      </c>
    </row>
    <row r="371" spans="2:3" ht="15">
      <c r="B371" s="144" t="s">
        <v>240</v>
      </c>
      <c r="C371" s="370">
        <v>9019</v>
      </c>
    </row>
    <row r="372" spans="2:3" ht="15">
      <c r="B372" s="146" t="s">
        <v>3911</v>
      </c>
      <c r="C372" s="371">
        <v>9000</v>
      </c>
    </row>
    <row r="373" spans="2:3" ht="15">
      <c r="B373" s="144" t="s">
        <v>3912</v>
      </c>
      <c r="C373" s="370">
        <v>9000</v>
      </c>
    </row>
    <row r="374" spans="2:3" ht="15">
      <c r="B374" s="146" t="s">
        <v>1953</v>
      </c>
      <c r="C374" s="371">
        <v>8985</v>
      </c>
    </row>
    <row r="375" spans="2:3" ht="15">
      <c r="B375" s="144" t="s">
        <v>2001</v>
      </c>
      <c r="C375" s="370">
        <v>8882</v>
      </c>
    </row>
    <row r="376" spans="2:3" ht="15">
      <c r="B376" s="146" t="s">
        <v>178</v>
      </c>
      <c r="C376" s="371">
        <v>8882</v>
      </c>
    </row>
    <row r="377" spans="2:3" ht="15">
      <c r="B377" s="144" t="s">
        <v>2003</v>
      </c>
      <c r="C377" s="370">
        <v>8636</v>
      </c>
    </row>
    <row r="378" spans="2:3" ht="15">
      <c r="B378" s="146" t="s">
        <v>3913</v>
      </c>
      <c r="C378" s="371">
        <v>8586</v>
      </c>
    </row>
    <row r="379" spans="2:3" ht="15">
      <c r="B379" s="144" t="s">
        <v>398</v>
      </c>
      <c r="C379" s="370">
        <v>8554</v>
      </c>
    </row>
    <row r="380" spans="2:3" ht="15">
      <c r="B380" s="146" t="s">
        <v>390</v>
      </c>
      <c r="C380" s="371">
        <v>8544</v>
      </c>
    </row>
    <row r="381" spans="2:3" ht="15">
      <c r="B381" s="144" t="s">
        <v>2004</v>
      </c>
      <c r="C381" s="370">
        <v>8376</v>
      </c>
    </row>
    <row r="382" spans="2:3" ht="15">
      <c r="B382" s="146" t="s">
        <v>3914</v>
      </c>
      <c r="C382" s="371">
        <v>8307</v>
      </c>
    </row>
    <row r="383" spans="2:3" ht="15">
      <c r="B383" s="144" t="s">
        <v>3842</v>
      </c>
      <c r="C383" s="370">
        <v>8225</v>
      </c>
    </row>
    <row r="384" spans="2:3" ht="15">
      <c r="B384" s="146" t="s">
        <v>3915</v>
      </c>
      <c r="C384" s="371">
        <v>8100</v>
      </c>
    </row>
    <row r="385" spans="2:3" ht="15">
      <c r="B385" s="144" t="s">
        <v>2030</v>
      </c>
      <c r="C385" s="370">
        <v>8016</v>
      </c>
    </row>
    <row r="386" spans="2:3" ht="15">
      <c r="B386" s="146" t="s">
        <v>3916</v>
      </c>
      <c r="C386" s="371">
        <v>8000</v>
      </c>
    </row>
    <row r="387" spans="2:3" ht="15">
      <c r="B387" s="144" t="s">
        <v>2007</v>
      </c>
      <c r="C387" s="370">
        <v>8000</v>
      </c>
    </row>
    <row r="388" spans="2:3" ht="15">
      <c r="B388" s="146" t="s">
        <v>2010</v>
      </c>
      <c r="C388" s="371">
        <v>7859</v>
      </c>
    </row>
    <row r="389" spans="2:3" ht="15">
      <c r="B389" s="144" t="s">
        <v>451</v>
      </c>
      <c r="C389" s="370">
        <v>7809</v>
      </c>
    </row>
    <row r="390" spans="2:3" ht="15">
      <c r="B390" s="146" t="s">
        <v>3917</v>
      </c>
      <c r="C390" s="371">
        <v>7572</v>
      </c>
    </row>
    <row r="391" spans="2:3" ht="15">
      <c r="B391" s="144" t="s">
        <v>3918</v>
      </c>
      <c r="C391" s="370">
        <v>7500</v>
      </c>
    </row>
    <row r="392" spans="2:3" ht="15">
      <c r="B392" s="146" t="s">
        <v>2008</v>
      </c>
      <c r="C392" s="371">
        <v>7384</v>
      </c>
    </row>
    <row r="393" spans="2:3" ht="15">
      <c r="B393" s="144" t="s">
        <v>295</v>
      </c>
      <c r="C393" s="370">
        <v>7258</v>
      </c>
    </row>
    <row r="394" spans="2:3" ht="15">
      <c r="B394" s="146" t="s">
        <v>2011</v>
      </c>
      <c r="C394" s="371">
        <v>7133</v>
      </c>
    </row>
    <row r="395" spans="2:3" ht="15">
      <c r="B395" s="144" t="s">
        <v>2012</v>
      </c>
      <c r="C395" s="370">
        <v>7099</v>
      </c>
    </row>
    <row r="396" spans="2:3" ht="15">
      <c r="B396" s="146" t="s">
        <v>3919</v>
      </c>
      <c r="C396" s="371">
        <v>7084</v>
      </c>
    </row>
    <row r="397" spans="2:3" ht="15">
      <c r="B397" s="144" t="s">
        <v>3920</v>
      </c>
      <c r="C397" s="370">
        <v>7050</v>
      </c>
    </row>
    <row r="398" spans="2:3" ht="15">
      <c r="B398" s="146" t="s">
        <v>3921</v>
      </c>
      <c r="C398" s="371">
        <v>7050</v>
      </c>
    </row>
    <row r="399" spans="2:3" ht="15">
      <c r="B399" s="144" t="s">
        <v>324</v>
      </c>
      <c r="C399" s="370">
        <v>7032</v>
      </c>
    </row>
    <row r="400" spans="2:3" ht="15">
      <c r="B400" s="146" t="s">
        <v>2013</v>
      </c>
      <c r="C400" s="371">
        <v>7026</v>
      </c>
    </row>
    <row r="401" spans="2:3" ht="15">
      <c r="B401" s="144" t="s">
        <v>214</v>
      </c>
      <c r="C401" s="370">
        <v>7021</v>
      </c>
    </row>
    <row r="402" spans="2:3" ht="15">
      <c r="B402" s="146" t="s">
        <v>3922</v>
      </c>
      <c r="C402" s="371">
        <v>7000</v>
      </c>
    </row>
    <row r="403" spans="2:3" ht="15">
      <c r="B403" s="144" t="s">
        <v>3923</v>
      </c>
      <c r="C403" s="370">
        <v>7000</v>
      </c>
    </row>
    <row r="404" spans="2:3" ht="15">
      <c r="B404" s="146" t="s">
        <v>3924</v>
      </c>
      <c r="C404" s="371">
        <v>7000</v>
      </c>
    </row>
    <row r="405" spans="2:3" ht="15">
      <c r="B405" s="144" t="s">
        <v>3925</v>
      </c>
      <c r="C405" s="370">
        <v>6882</v>
      </c>
    </row>
    <row r="406" spans="2:3" ht="15">
      <c r="B406" s="146" t="s">
        <v>3926</v>
      </c>
      <c r="C406" s="371">
        <v>6864</v>
      </c>
    </row>
    <row r="407" spans="2:3" ht="15">
      <c r="B407" s="144" t="s">
        <v>2058</v>
      </c>
      <c r="C407" s="370">
        <v>6855</v>
      </c>
    </row>
    <row r="408" spans="2:3" ht="15">
      <c r="B408" s="146" t="s">
        <v>3927</v>
      </c>
      <c r="C408" s="371">
        <v>6784</v>
      </c>
    </row>
    <row r="409" spans="2:3" ht="15">
      <c r="B409" s="144" t="s">
        <v>504</v>
      </c>
      <c r="C409" s="370">
        <v>6613</v>
      </c>
    </row>
    <row r="410" spans="2:3" ht="15">
      <c r="B410" s="146" t="s">
        <v>247</v>
      </c>
      <c r="C410" s="371">
        <v>6606</v>
      </c>
    </row>
    <row r="411" spans="2:3" ht="15">
      <c r="B411" s="144" t="s">
        <v>2015</v>
      </c>
      <c r="C411" s="370">
        <v>6567</v>
      </c>
    </row>
    <row r="412" spans="2:3" ht="15">
      <c r="B412" s="146" t="s">
        <v>1909</v>
      </c>
      <c r="C412" s="371">
        <v>6355</v>
      </c>
    </row>
    <row r="413" spans="2:3" ht="15">
      <c r="B413" s="144" t="s">
        <v>3928</v>
      </c>
      <c r="C413" s="370">
        <v>6300</v>
      </c>
    </row>
    <row r="414" spans="2:3" ht="15">
      <c r="B414" s="146" t="s">
        <v>2016</v>
      </c>
      <c r="C414" s="371">
        <v>6240</v>
      </c>
    </row>
    <row r="415" spans="2:3" ht="15">
      <c r="B415" s="144" t="s">
        <v>3929</v>
      </c>
      <c r="C415" s="370">
        <v>6100</v>
      </c>
    </row>
    <row r="416" spans="2:3" ht="15">
      <c r="B416" s="146" t="s">
        <v>2018</v>
      </c>
      <c r="C416" s="371">
        <v>6050</v>
      </c>
    </row>
    <row r="417" spans="2:3" ht="15">
      <c r="B417" s="144" t="s">
        <v>2017</v>
      </c>
      <c r="C417" s="370">
        <v>6050</v>
      </c>
    </row>
    <row r="418" spans="2:3" ht="15">
      <c r="B418" s="146" t="s">
        <v>3930</v>
      </c>
      <c r="C418" s="371">
        <v>6000</v>
      </c>
    </row>
    <row r="419" spans="2:3" ht="15">
      <c r="B419" s="144" t="s">
        <v>2019</v>
      </c>
      <c r="C419" s="370">
        <v>5713</v>
      </c>
    </row>
    <row r="420" spans="2:3" ht="15">
      <c r="B420" s="146" t="s">
        <v>3931</v>
      </c>
      <c r="C420" s="371">
        <v>5550</v>
      </c>
    </row>
    <row r="421" spans="2:3" ht="15">
      <c r="B421" s="144" t="s">
        <v>2020</v>
      </c>
      <c r="C421" s="370">
        <v>5503</v>
      </c>
    </row>
    <row r="422" spans="2:3" ht="15">
      <c r="B422" s="146" t="s">
        <v>3932</v>
      </c>
      <c r="C422" s="371">
        <v>5500</v>
      </c>
    </row>
    <row r="423" spans="2:3" ht="15">
      <c r="B423" s="144" t="s">
        <v>3933</v>
      </c>
      <c r="C423" s="370">
        <v>5500</v>
      </c>
    </row>
    <row r="424" spans="2:3" ht="15">
      <c r="B424" s="146" t="s">
        <v>3934</v>
      </c>
      <c r="C424" s="371">
        <v>5500</v>
      </c>
    </row>
    <row r="425" spans="2:3" ht="15">
      <c r="B425" s="144" t="s">
        <v>2014</v>
      </c>
      <c r="C425" s="370">
        <v>5500</v>
      </c>
    </row>
    <row r="426" spans="2:3" ht="15">
      <c r="B426" s="146" t="s">
        <v>414</v>
      </c>
      <c r="C426" s="371">
        <v>5390</v>
      </c>
    </row>
    <row r="427" spans="2:3" ht="15">
      <c r="B427" s="144" t="s">
        <v>3935</v>
      </c>
      <c r="C427" s="370">
        <v>5268</v>
      </c>
    </row>
    <row r="428" spans="2:3" ht="15">
      <c r="B428" s="146" t="s">
        <v>2022</v>
      </c>
      <c r="C428" s="371">
        <v>5245</v>
      </c>
    </row>
    <row r="429" spans="2:3" ht="15">
      <c r="B429" s="144" t="s">
        <v>3936</v>
      </c>
      <c r="C429" s="370">
        <v>5230</v>
      </c>
    </row>
    <row r="430" spans="2:3" ht="15">
      <c r="B430" s="146" t="s">
        <v>2049</v>
      </c>
      <c r="C430" s="371">
        <v>5182</v>
      </c>
    </row>
    <row r="431" spans="2:3" ht="15">
      <c r="B431" s="144" t="s">
        <v>164</v>
      </c>
      <c r="C431" s="370">
        <v>5182</v>
      </c>
    </row>
    <row r="432" spans="2:3" ht="15">
      <c r="B432" s="146" t="s">
        <v>123</v>
      </c>
      <c r="C432" s="371">
        <v>5182</v>
      </c>
    </row>
    <row r="433" spans="2:3" ht="15">
      <c r="B433" s="144" t="s">
        <v>2023</v>
      </c>
      <c r="C433" s="370">
        <v>5144</v>
      </c>
    </row>
    <row r="434" spans="2:3" ht="15">
      <c r="B434" s="146" t="s">
        <v>148</v>
      </c>
      <c r="C434" s="371">
        <v>5108</v>
      </c>
    </row>
    <row r="435" spans="2:3" ht="15">
      <c r="B435" s="144" t="s">
        <v>378</v>
      </c>
      <c r="C435" s="370">
        <v>5060</v>
      </c>
    </row>
    <row r="436" spans="2:3" ht="15">
      <c r="B436" s="146" t="s">
        <v>2024</v>
      </c>
      <c r="C436" s="371">
        <v>5045</v>
      </c>
    </row>
    <row r="437" spans="2:3" ht="15">
      <c r="B437" s="144" t="s">
        <v>3937</v>
      </c>
      <c r="C437" s="370">
        <v>5000</v>
      </c>
    </row>
    <row r="438" spans="2:3" ht="15">
      <c r="B438" s="146" t="s">
        <v>2025</v>
      </c>
      <c r="C438" s="371">
        <v>4895</v>
      </c>
    </row>
    <row r="439" spans="2:3" ht="15">
      <c r="B439" s="144" t="s">
        <v>2027</v>
      </c>
      <c r="C439" s="370">
        <v>4819</v>
      </c>
    </row>
    <row r="440" spans="2:3" ht="15">
      <c r="B440" s="146" t="s">
        <v>58</v>
      </c>
      <c r="C440" s="371">
        <v>4800</v>
      </c>
    </row>
    <row r="441" spans="2:3" ht="15">
      <c r="B441" s="144" t="s">
        <v>303</v>
      </c>
      <c r="C441" s="370">
        <v>4740</v>
      </c>
    </row>
    <row r="442" spans="2:3" ht="15">
      <c r="B442" s="146" t="s">
        <v>224</v>
      </c>
      <c r="C442" s="371">
        <v>4676</v>
      </c>
    </row>
    <row r="443" spans="2:3" ht="15">
      <c r="B443" s="144" t="s">
        <v>386</v>
      </c>
      <c r="C443" s="370">
        <v>4552</v>
      </c>
    </row>
    <row r="444" spans="2:3" ht="15">
      <c r="B444" s="146" t="s">
        <v>3938</v>
      </c>
      <c r="C444" s="371">
        <v>4435</v>
      </c>
    </row>
    <row r="445" spans="2:3" ht="15">
      <c r="B445" s="144" t="s">
        <v>2028</v>
      </c>
      <c r="C445" s="370">
        <v>4394</v>
      </c>
    </row>
    <row r="446" spans="2:3" ht="15">
      <c r="B446" s="146" t="s">
        <v>2029</v>
      </c>
      <c r="C446" s="371">
        <v>4340</v>
      </c>
    </row>
    <row r="447" spans="2:3" ht="15">
      <c r="B447" s="144" t="s">
        <v>223</v>
      </c>
      <c r="C447" s="370">
        <v>4191</v>
      </c>
    </row>
    <row r="448" spans="2:3" ht="15">
      <c r="B448" s="146" t="s">
        <v>478</v>
      </c>
      <c r="C448" s="371">
        <v>4020</v>
      </c>
    </row>
    <row r="449" spans="2:3" ht="15">
      <c r="B449" s="144" t="s">
        <v>3939</v>
      </c>
      <c r="C449" s="370">
        <v>4005</v>
      </c>
    </row>
    <row r="450" spans="2:3" ht="15">
      <c r="B450" s="146" t="s">
        <v>3940</v>
      </c>
      <c r="C450" s="371">
        <v>4000</v>
      </c>
    </row>
    <row r="451" spans="2:3" ht="15">
      <c r="B451" s="144" t="s">
        <v>3941</v>
      </c>
      <c r="C451" s="370">
        <v>4000</v>
      </c>
    </row>
    <row r="452" spans="2:3" ht="15">
      <c r="B452" s="146" t="s">
        <v>131</v>
      </c>
      <c r="C452" s="371">
        <v>4000</v>
      </c>
    </row>
    <row r="453" spans="2:3" ht="15">
      <c r="B453" s="144" t="s">
        <v>3942</v>
      </c>
      <c r="C453" s="370">
        <v>4000</v>
      </c>
    </row>
    <row r="454" spans="2:3" ht="15">
      <c r="B454" s="146" t="s">
        <v>2034</v>
      </c>
      <c r="C454" s="371">
        <v>3955</v>
      </c>
    </row>
    <row r="455" spans="2:3" ht="15">
      <c r="B455" s="144" t="s">
        <v>2103</v>
      </c>
      <c r="C455" s="370">
        <v>3868</v>
      </c>
    </row>
    <row r="456" spans="2:3" ht="15">
      <c r="B456" s="146" t="s">
        <v>36</v>
      </c>
      <c r="C456" s="371">
        <v>3853</v>
      </c>
    </row>
    <row r="457" spans="2:3" ht="15">
      <c r="B457" s="144" t="s">
        <v>498</v>
      </c>
      <c r="C457" s="370">
        <v>3852</v>
      </c>
    </row>
    <row r="458" spans="2:3" ht="15">
      <c r="B458" s="146" t="s">
        <v>2032</v>
      </c>
      <c r="C458" s="371">
        <v>3836</v>
      </c>
    </row>
    <row r="459" spans="2:3" ht="15">
      <c r="B459" s="144" t="s">
        <v>2033</v>
      </c>
      <c r="C459" s="370">
        <v>3776</v>
      </c>
    </row>
    <row r="460" spans="2:3" ht="15">
      <c r="B460" s="146" t="s">
        <v>2035</v>
      </c>
      <c r="C460" s="371">
        <v>3658</v>
      </c>
    </row>
    <row r="461" spans="2:3" ht="15">
      <c r="B461" s="144" t="s">
        <v>2036</v>
      </c>
      <c r="C461" s="370">
        <v>3625</v>
      </c>
    </row>
    <row r="462" spans="2:3" ht="15">
      <c r="B462" s="146" t="s">
        <v>2037</v>
      </c>
      <c r="C462" s="371">
        <v>3516</v>
      </c>
    </row>
    <row r="463" spans="2:3" ht="15">
      <c r="B463" s="144" t="s">
        <v>465</v>
      </c>
      <c r="C463" s="370">
        <v>3508</v>
      </c>
    </row>
    <row r="464" spans="2:3" ht="15">
      <c r="B464" s="146" t="s">
        <v>2038</v>
      </c>
      <c r="C464" s="371">
        <v>3507</v>
      </c>
    </row>
    <row r="465" spans="2:3" ht="15">
      <c r="B465" s="144" t="s">
        <v>1879</v>
      </c>
      <c r="C465" s="370">
        <v>3500</v>
      </c>
    </row>
    <row r="466" spans="2:3" ht="15">
      <c r="B466" s="146" t="s">
        <v>3943</v>
      </c>
      <c r="C466" s="371">
        <v>3500</v>
      </c>
    </row>
    <row r="467" spans="2:3" ht="15">
      <c r="B467" s="144" t="s">
        <v>495</v>
      </c>
      <c r="C467" s="370">
        <v>3461</v>
      </c>
    </row>
    <row r="468" spans="2:3" ht="15">
      <c r="B468" s="146" t="s">
        <v>2039</v>
      </c>
      <c r="C468" s="371">
        <v>3436</v>
      </c>
    </row>
    <row r="469" spans="2:3" ht="15">
      <c r="B469" s="144" t="s">
        <v>231</v>
      </c>
      <c r="C469" s="370">
        <v>3427</v>
      </c>
    </row>
    <row r="470" spans="2:3" ht="15">
      <c r="B470" s="146" t="s">
        <v>3944</v>
      </c>
      <c r="C470" s="371">
        <v>3412</v>
      </c>
    </row>
    <row r="471" spans="2:3" ht="15">
      <c r="B471" s="144" t="s">
        <v>2040</v>
      </c>
      <c r="C471" s="370">
        <v>3407</v>
      </c>
    </row>
    <row r="472" spans="2:3" ht="15">
      <c r="B472" s="146" t="s">
        <v>3945</v>
      </c>
      <c r="C472" s="371">
        <v>3401</v>
      </c>
    </row>
    <row r="473" spans="2:3" ht="15">
      <c r="B473" s="144" t="s">
        <v>1924</v>
      </c>
      <c r="C473" s="370">
        <v>3349</v>
      </c>
    </row>
    <row r="474" spans="2:3" ht="15">
      <c r="B474" s="146" t="s">
        <v>1940</v>
      </c>
      <c r="C474" s="371">
        <v>3275</v>
      </c>
    </row>
    <row r="475" spans="2:3" ht="15">
      <c r="B475" s="144" t="s">
        <v>2041</v>
      </c>
      <c r="C475" s="370">
        <v>3248</v>
      </c>
    </row>
    <row r="476" spans="2:3" ht="15">
      <c r="B476" s="146" t="s">
        <v>376</v>
      </c>
      <c r="C476" s="371">
        <v>3054</v>
      </c>
    </row>
    <row r="477" spans="2:3" ht="15">
      <c r="B477" s="144" t="s">
        <v>3946</v>
      </c>
      <c r="C477" s="370">
        <v>3050</v>
      </c>
    </row>
    <row r="478" spans="2:3" ht="15">
      <c r="B478" s="146" t="s">
        <v>2042</v>
      </c>
      <c r="C478" s="371">
        <v>3033</v>
      </c>
    </row>
    <row r="479" spans="2:3" ht="15">
      <c r="B479" s="144" t="s">
        <v>3947</v>
      </c>
      <c r="C479" s="370">
        <v>3000</v>
      </c>
    </row>
    <row r="480" spans="2:3" ht="15">
      <c r="B480" s="146" t="s">
        <v>216</v>
      </c>
      <c r="C480" s="371">
        <v>2961</v>
      </c>
    </row>
    <row r="481" spans="2:3" ht="15">
      <c r="B481" s="144" t="s">
        <v>157</v>
      </c>
      <c r="C481" s="370">
        <v>2960</v>
      </c>
    </row>
    <row r="482" spans="2:3" ht="15">
      <c r="B482" s="146" t="s">
        <v>2043</v>
      </c>
      <c r="C482" s="371">
        <v>2907</v>
      </c>
    </row>
    <row r="483" spans="2:3" ht="15">
      <c r="B483" s="144" t="s">
        <v>2045</v>
      </c>
      <c r="C483" s="370">
        <v>2894</v>
      </c>
    </row>
    <row r="484" spans="2:3" ht="15">
      <c r="B484" s="146" t="s">
        <v>2760</v>
      </c>
      <c r="C484" s="371">
        <v>2842</v>
      </c>
    </row>
    <row r="485" spans="2:3" ht="15">
      <c r="B485" s="144" t="s">
        <v>2046</v>
      </c>
      <c r="C485" s="370">
        <v>2798</v>
      </c>
    </row>
    <row r="486" spans="2:3" ht="15">
      <c r="B486" s="146" t="s">
        <v>2047</v>
      </c>
      <c r="C486" s="371">
        <v>2767</v>
      </c>
    </row>
    <row r="487" spans="2:3" ht="15">
      <c r="B487" s="144" t="s">
        <v>334</v>
      </c>
      <c r="C487" s="370">
        <v>2712</v>
      </c>
    </row>
    <row r="488" spans="2:3" ht="15">
      <c r="B488" s="146" t="s">
        <v>1897</v>
      </c>
      <c r="C488" s="371">
        <v>2704</v>
      </c>
    </row>
    <row r="489" spans="2:3" ht="15">
      <c r="B489" s="144" t="s">
        <v>2048</v>
      </c>
      <c r="C489" s="370">
        <v>2662</v>
      </c>
    </row>
    <row r="490" spans="2:3" ht="15">
      <c r="B490" s="146" t="s">
        <v>294</v>
      </c>
      <c r="C490" s="371">
        <v>2585</v>
      </c>
    </row>
    <row r="491" spans="2:3" ht="15">
      <c r="B491" s="144" t="s">
        <v>221</v>
      </c>
      <c r="C491" s="370">
        <v>2434</v>
      </c>
    </row>
    <row r="492" spans="2:3" ht="15">
      <c r="B492" s="146" t="s">
        <v>314</v>
      </c>
      <c r="C492" s="371">
        <v>2421</v>
      </c>
    </row>
    <row r="493" spans="2:3" ht="15">
      <c r="B493" s="144" t="s">
        <v>2062</v>
      </c>
      <c r="C493" s="370">
        <v>2385</v>
      </c>
    </row>
    <row r="494" spans="2:3" ht="15">
      <c r="B494" s="146" t="s">
        <v>286</v>
      </c>
      <c r="C494" s="371">
        <v>2295</v>
      </c>
    </row>
    <row r="495" spans="2:3" ht="15">
      <c r="B495" s="144" t="s">
        <v>2031</v>
      </c>
      <c r="C495" s="370">
        <v>2220</v>
      </c>
    </row>
    <row r="496" spans="2:3" ht="15">
      <c r="B496" s="146" t="s">
        <v>3948</v>
      </c>
      <c r="C496" s="371">
        <v>2220</v>
      </c>
    </row>
    <row r="497" spans="2:3" ht="15">
      <c r="B497" s="144" t="s">
        <v>2050</v>
      </c>
      <c r="C497" s="370">
        <v>2213</v>
      </c>
    </row>
    <row r="498" spans="2:3" ht="15">
      <c r="B498" s="146" t="s">
        <v>2051</v>
      </c>
      <c r="C498" s="371">
        <v>2192</v>
      </c>
    </row>
    <row r="499" spans="2:3" ht="15">
      <c r="B499" s="144" t="s">
        <v>3949</v>
      </c>
      <c r="C499" s="370">
        <v>2050</v>
      </c>
    </row>
    <row r="500" spans="2:3" ht="15">
      <c r="B500" s="146" t="s">
        <v>3950</v>
      </c>
      <c r="C500" s="371">
        <v>2050</v>
      </c>
    </row>
    <row r="501" spans="2:3" ht="15">
      <c r="B501" s="144" t="s">
        <v>217</v>
      </c>
      <c r="C501" s="370">
        <v>2012</v>
      </c>
    </row>
    <row r="502" spans="2:3" ht="15">
      <c r="B502" s="146" t="s">
        <v>190</v>
      </c>
      <c r="C502" s="371">
        <v>2005</v>
      </c>
    </row>
    <row r="503" spans="2:3" ht="15">
      <c r="B503" s="144" t="s">
        <v>3951</v>
      </c>
      <c r="C503" s="370">
        <v>2000</v>
      </c>
    </row>
    <row r="504" spans="2:3" ht="15">
      <c r="B504" s="146" t="s">
        <v>3952</v>
      </c>
      <c r="C504" s="371">
        <v>2000</v>
      </c>
    </row>
    <row r="505" spans="2:3" ht="15">
      <c r="B505" s="144" t="s">
        <v>3953</v>
      </c>
      <c r="C505" s="370">
        <v>2000</v>
      </c>
    </row>
    <row r="506" spans="2:3" ht="15">
      <c r="B506" s="146" t="s">
        <v>3954</v>
      </c>
      <c r="C506" s="371">
        <v>2000</v>
      </c>
    </row>
    <row r="507" spans="2:3" ht="15">
      <c r="B507" s="144" t="s">
        <v>3955</v>
      </c>
      <c r="C507" s="370">
        <v>1996</v>
      </c>
    </row>
    <row r="508" spans="2:3" ht="15">
      <c r="B508" s="146" t="s">
        <v>276</v>
      </c>
      <c r="C508" s="371">
        <v>1974</v>
      </c>
    </row>
    <row r="509" spans="2:3" ht="15">
      <c r="B509" s="144" t="s">
        <v>2077</v>
      </c>
      <c r="C509" s="370">
        <v>1936</v>
      </c>
    </row>
    <row r="510" spans="2:3" ht="15">
      <c r="B510" s="146" t="s">
        <v>285</v>
      </c>
      <c r="C510" s="371">
        <v>1932</v>
      </c>
    </row>
    <row r="511" spans="2:3" ht="15">
      <c r="B511" s="144" t="s">
        <v>2052</v>
      </c>
      <c r="C511" s="370">
        <v>1921</v>
      </c>
    </row>
    <row r="512" spans="2:3" ht="15">
      <c r="B512" s="146" t="s">
        <v>446</v>
      </c>
      <c r="C512" s="371">
        <v>1904</v>
      </c>
    </row>
    <row r="513" spans="2:3" ht="15">
      <c r="B513" s="144" t="s">
        <v>2053</v>
      </c>
      <c r="C513" s="370">
        <v>1901</v>
      </c>
    </row>
    <row r="514" spans="2:3" ht="15">
      <c r="B514" s="146" t="s">
        <v>383</v>
      </c>
      <c r="C514" s="371">
        <v>1823</v>
      </c>
    </row>
    <row r="515" spans="2:3" ht="15">
      <c r="B515" s="144" t="s">
        <v>2054</v>
      </c>
      <c r="C515" s="370">
        <v>1802</v>
      </c>
    </row>
    <row r="516" spans="2:3" ht="15">
      <c r="B516" s="146" t="s">
        <v>405</v>
      </c>
      <c r="C516" s="371">
        <v>1734</v>
      </c>
    </row>
    <row r="517" spans="2:3" ht="15">
      <c r="B517" s="144" t="s">
        <v>2055</v>
      </c>
      <c r="C517" s="370">
        <v>1687</v>
      </c>
    </row>
    <row r="518" spans="2:3" ht="15">
      <c r="B518" s="146" t="s">
        <v>3956</v>
      </c>
      <c r="C518" s="371">
        <v>1648</v>
      </c>
    </row>
    <row r="519" spans="2:3" ht="15">
      <c r="B519" s="144" t="s">
        <v>3957</v>
      </c>
      <c r="C519" s="370">
        <v>1553</v>
      </c>
    </row>
    <row r="520" spans="2:3" ht="15">
      <c r="B520" s="146" t="s">
        <v>3958</v>
      </c>
      <c r="C520" s="371">
        <v>1530</v>
      </c>
    </row>
    <row r="521" spans="2:3" ht="15">
      <c r="B521" s="144" t="s">
        <v>310</v>
      </c>
      <c r="C521" s="370">
        <v>1524</v>
      </c>
    </row>
    <row r="522" spans="2:3" ht="15">
      <c r="B522" s="146" t="s">
        <v>2057</v>
      </c>
      <c r="C522" s="371">
        <v>1507</v>
      </c>
    </row>
    <row r="523" spans="2:3" ht="15">
      <c r="B523" s="144" t="s">
        <v>3959</v>
      </c>
      <c r="C523" s="370">
        <v>1500</v>
      </c>
    </row>
    <row r="524" spans="2:3" ht="15">
      <c r="B524" s="146" t="s">
        <v>3960</v>
      </c>
      <c r="C524" s="371">
        <v>1500</v>
      </c>
    </row>
    <row r="525" spans="2:3" ht="15">
      <c r="B525" s="144" t="s">
        <v>3961</v>
      </c>
      <c r="C525" s="370">
        <v>1500</v>
      </c>
    </row>
    <row r="526" spans="2:3" ht="15">
      <c r="B526" s="146" t="s">
        <v>3962</v>
      </c>
      <c r="C526" s="371">
        <v>1500</v>
      </c>
    </row>
    <row r="527" spans="2:3" ht="15">
      <c r="B527" s="144" t="s">
        <v>3963</v>
      </c>
      <c r="C527" s="370">
        <v>1498</v>
      </c>
    </row>
    <row r="528" spans="2:3" ht="15">
      <c r="B528" s="146" t="s">
        <v>3246</v>
      </c>
      <c r="C528" s="371">
        <v>1457</v>
      </c>
    </row>
    <row r="529" spans="2:3" ht="15">
      <c r="B529" s="144" t="s">
        <v>521</v>
      </c>
      <c r="C529" s="370">
        <v>1446</v>
      </c>
    </row>
    <row r="530" spans="2:3" ht="15">
      <c r="B530" s="146" t="s">
        <v>2074</v>
      </c>
      <c r="C530" s="371">
        <v>1432</v>
      </c>
    </row>
    <row r="531" spans="2:3" ht="15">
      <c r="B531" s="144" t="s">
        <v>529</v>
      </c>
      <c r="C531" s="370">
        <v>1423</v>
      </c>
    </row>
    <row r="532" spans="2:3" ht="15">
      <c r="B532" s="146" t="s">
        <v>2044</v>
      </c>
      <c r="C532" s="371">
        <v>1406</v>
      </c>
    </row>
    <row r="533" spans="2:3" ht="15">
      <c r="B533" s="144" t="s">
        <v>138</v>
      </c>
      <c r="C533" s="370">
        <v>1363</v>
      </c>
    </row>
    <row r="534" spans="2:3" ht="15">
      <c r="B534" s="146" t="s">
        <v>2060</v>
      </c>
      <c r="C534" s="371">
        <v>1283</v>
      </c>
    </row>
    <row r="535" spans="2:3" ht="15">
      <c r="B535" s="144" t="s">
        <v>165</v>
      </c>
      <c r="C535" s="370">
        <v>1275</v>
      </c>
    </row>
    <row r="536" spans="2:3" ht="15">
      <c r="B536" s="146" t="s">
        <v>2061</v>
      </c>
      <c r="C536" s="371">
        <v>1240</v>
      </c>
    </row>
    <row r="537" spans="2:3" ht="15">
      <c r="B537" s="144" t="s">
        <v>503</v>
      </c>
      <c r="C537" s="370">
        <v>1184</v>
      </c>
    </row>
    <row r="538" spans="2:3" ht="15">
      <c r="B538" s="146" t="s">
        <v>464</v>
      </c>
      <c r="C538" s="371">
        <v>1124</v>
      </c>
    </row>
    <row r="539" spans="2:3" ht="15">
      <c r="B539" s="144" t="s">
        <v>233</v>
      </c>
      <c r="C539" s="370">
        <v>1119</v>
      </c>
    </row>
    <row r="540" spans="2:3" ht="15">
      <c r="B540" s="146" t="s">
        <v>2063</v>
      </c>
      <c r="C540" s="371">
        <v>1113</v>
      </c>
    </row>
    <row r="541" spans="2:3" ht="15">
      <c r="B541" s="144" t="s">
        <v>313</v>
      </c>
      <c r="C541" s="370">
        <v>1104</v>
      </c>
    </row>
    <row r="542" spans="2:3" ht="15">
      <c r="B542" s="146" t="s">
        <v>2064</v>
      </c>
      <c r="C542" s="371">
        <v>1102</v>
      </c>
    </row>
    <row r="543" spans="2:3" ht="15">
      <c r="B543" s="144" t="s">
        <v>304</v>
      </c>
      <c r="C543" s="370">
        <v>1083</v>
      </c>
    </row>
    <row r="544" spans="2:3" ht="15">
      <c r="B544" s="146" t="s">
        <v>305</v>
      </c>
      <c r="C544" s="371">
        <v>1052</v>
      </c>
    </row>
    <row r="545" spans="2:3" ht="15">
      <c r="B545" s="144" t="s">
        <v>3964</v>
      </c>
      <c r="C545" s="370">
        <v>1050</v>
      </c>
    </row>
    <row r="546" spans="2:3" ht="15">
      <c r="B546" s="146" t="s">
        <v>2065</v>
      </c>
      <c r="C546" s="371">
        <v>1006</v>
      </c>
    </row>
    <row r="547" spans="2:3" ht="15">
      <c r="B547" s="144" t="s">
        <v>3965</v>
      </c>
      <c r="C547" s="370">
        <v>1003</v>
      </c>
    </row>
    <row r="548" spans="2:3" ht="15">
      <c r="B548" s="146" t="s">
        <v>3966</v>
      </c>
      <c r="C548" s="371">
        <v>1000</v>
      </c>
    </row>
    <row r="549" spans="2:3" ht="15">
      <c r="B549" s="144" t="s">
        <v>263</v>
      </c>
      <c r="C549" s="370">
        <v>934</v>
      </c>
    </row>
    <row r="550" spans="2:3" ht="15">
      <c r="B550" s="146" t="s">
        <v>2066</v>
      </c>
      <c r="C550" s="371">
        <v>926</v>
      </c>
    </row>
    <row r="551" spans="2:3" ht="15">
      <c r="B551" s="144" t="s">
        <v>210</v>
      </c>
      <c r="C551" s="370">
        <v>920</v>
      </c>
    </row>
    <row r="552" spans="2:3" ht="15">
      <c r="B552" s="146" t="s">
        <v>2067</v>
      </c>
      <c r="C552" s="371">
        <v>916</v>
      </c>
    </row>
    <row r="553" spans="2:3" ht="15">
      <c r="B553" s="144" t="s">
        <v>3967</v>
      </c>
      <c r="C553" s="370">
        <v>912</v>
      </c>
    </row>
    <row r="554" spans="2:3" ht="15">
      <c r="B554" s="146" t="s">
        <v>3968</v>
      </c>
      <c r="C554" s="371">
        <v>885</v>
      </c>
    </row>
    <row r="555" spans="2:3" ht="15">
      <c r="B555" s="144" t="s">
        <v>3969</v>
      </c>
      <c r="C555" s="370">
        <v>880</v>
      </c>
    </row>
    <row r="556" spans="2:3" ht="15">
      <c r="B556" s="146" t="s">
        <v>343</v>
      </c>
      <c r="C556" s="371">
        <v>868</v>
      </c>
    </row>
    <row r="557" spans="2:3" ht="15">
      <c r="B557" s="144" t="s">
        <v>3970</v>
      </c>
      <c r="C557" s="370">
        <v>867</v>
      </c>
    </row>
    <row r="558" spans="2:3" ht="15">
      <c r="B558" s="146" t="s">
        <v>2068</v>
      </c>
      <c r="C558" s="371">
        <v>849</v>
      </c>
    </row>
    <row r="559" spans="2:3" ht="15">
      <c r="B559" s="144" t="s">
        <v>2069</v>
      </c>
      <c r="C559" s="370">
        <v>848</v>
      </c>
    </row>
    <row r="560" spans="2:3" ht="15">
      <c r="B560" s="146" t="s">
        <v>512</v>
      </c>
      <c r="C560" s="371">
        <v>828</v>
      </c>
    </row>
    <row r="561" spans="2:3" ht="15">
      <c r="B561" s="144" t="s">
        <v>248</v>
      </c>
      <c r="C561" s="370">
        <v>828</v>
      </c>
    </row>
    <row r="562" spans="2:3" ht="15">
      <c r="B562" s="146" t="s">
        <v>3971</v>
      </c>
      <c r="C562" s="371">
        <v>825</v>
      </c>
    </row>
    <row r="563" spans="2:3" ht="15">
      <c r="B563" s="144" t="s">
        <v>3972</v>
      </c>
      <c r="C563" s="370">
        <v>813</v>
      </c>
    </row>
    <row r="564" spans="2:3" ht="15">
      <c r="B564" s="146" t="s">
        <v>3973</v>
      </c>
      <c r="C564" s="371">
        <v>792</v>
      </c>
    </row>
    <row r="565" spans="2:3" ht="15">
      <c r="B565" s="144" t="s">
        <v>3974</v>
      </c>
      <c r="C565" s="370">
        <v>792</v>
      </c>
    </row>
    <row r="566" spans="2:3" ht="15">
      <c r="B566" s="146" t="s">
        <v>2070</v>
      </c>
      <c r="C566" s="371">
        <v>780</v>
      </c>
    </row>
    <row r="567" spans="2:3" ht="15">
      <c r="B567" s="144" t="s">
        <v>2089</v>
      </c>
      <c r="C567" s="370">
        <v>778</v>
      </c>
    </row>
    <row r="568" spans="2:3" ht="15">
      <c r="B568" s="146" t="s">
        <v>3975</v>
      </c>
      <c r="C568" s="371">
        <v>764</v>
      </c>
    </row>
    <row r="569" spans="2:3" ht="15">
      <c r="B569" s="144" t="s">
        <v>339</v>
      </c>
      <c r="C569" s="370">
        <v>759</v>
      </c>
    </row>
    <row r="570" spans="2:3" ht="15">
      <c r="B570" s="146" t="s">
        <v>484</v>
      </c>
      <c r="C570" s="371">
        <v>740</v>
      </c>
    </row>
    <row r="571" spans="2:3" ht="15">
      <c r="B571" s="144" t="s">
        <v>505</v>
      </c>
      <c r="C571" s="370">
        <v>740</v>
      </c>
    </row>
    <row r="572" spans="2:3" ht="15">
      <c r="B572" s="146" t="s">
        <v>2072</v>
      </c>
      <c r="C572" s="371">
        <v>735</v>
      </c>
    </row>
    <row r="573" spans="2:3" ht="15">
      <c r="B573" s="144" t="s">
        <v>2073</v>
      </c>
      <c r="C573" s="370">
        <v>735</v>
      </c>
    </row>
    <row r="574" spans="2:3" ht="15">
      <c r="B574" s="146" t="s">
        <v>3976</v>
      </c>
      <c r="C574" s="371">
        <v>732</v>
      </c>
    </row>
    <row r="575" spans="2:3" ht="15">
      <c r="B575" s="144" t="s">
        <v>538</v>
      </c>
      <c r="C575" s="370">
        <v>714</v>
      </c>
    </row>
    <row r="576" spans="2:3" ht="15">
      <c r="B576" s="146" t="s">
        <v>3977</v>
      </c>
      <c r="C576" s="371">
        <v>700</v>
      </c>
    </row>
    <row r="577" spans="2:3" ht="15">
      <c r="B577" s="144" t="s">
        <v>2091</v>
      </c>
      <c r="C577" s="370">
        <v>698</v>
      </c>
    </row>
    <row r="578" spans="2:3" ht="15">
      <c r="B578" s="146" t="s">
        <v>531</v>
      </c>
      <c r="C578" s="371">
        <v>684</v>
      </c>
    </row>
    <row r="579" spans="2:3" ht="15">
      <c r="B579" s="144" t="s">
        <v>3978</v>
      </c>
      <c r="C579" s="370">
        <v>669</v>
      </c>
    </row>
    <row r="580" spans="2:3" ht="15">
      <c r="B580" s="146" t="s">
        <v>2075</v>
      </c>
      <c r="C580" s="371">
        <v>669</v>
      </c>
    </row>
    <row r="581" spans="2:3" ht="15">
      <c r="B581" s="144" t="s">
        <v>3979</v>
      </c>
      <c r="C581" s="370">
        <v>650</v>
      </c>
    </row>
    <row r="582" spans="2:3" ht="15">
      <c r="B582" s="146" t="s">
        <v>293</v>
      </c>
      <c r="C582" s="371">
        <v>649</v>
      </c>
    </row>
    <row r="583" spans="2:3" ht="15">
      <c r="B583" s="144" t="s">
        <v>457</v>
      </c>
      <c r="C583" s="370">
        <v>642</v>
      </c>
    </row>
    <row r="584" spans="2:3" ht="15">
      <c r="B584" s="146" t="s">
        <v>2105</v>
      </c>
      <c r="C584" s="371">
        <v>636</v>
      </c>
    </row>
    <row r="585" spans="2:3" ht="15">
      <c r="B585" s="144" t="s">
        <v>316</v>
      </c>
      <c r="C585" s="370">
        <v>634</v>
      </c>
    </row>
    <row r="586" spans="2:3" ht="15">
      <c r="B586" s="146" t="s">
        <v>3980</v>
      </c>
      <c r="C586" s="371">
        <v>632</v>
      </c>
    </row>
    <row r="587" spans="2:3" ht="15">
      <c r="B587" s="144" t="s">
        <v>348</v>
      </c>
      <c r="C587" s="370">
        <v>631</v>
      </c>
    </row>
    <row r="588" spans="2:3" ht="15">
      <c r="B588" s="146" t="s">
        <v>2076</v>
      </c>
      <c r="C588" s="371">
        <v>625</v>
      </c>
    </row>
    <row r="589" spans="2:3" ht="15">
      <c r="B589" s="144" t="s">
        <v>501</v>
      </c>
      <c r="C589" s="370">
        <v>613</v>
      </c>
    </row>
    <row r="590" spans="2:3" ht="15">
      <c r="B590" s="146" t="s">
        <v>322</v>
      </c>
      <c r="C590" s="371">
        <v>604</v>
      </c>
    </row>
    <row r="591" spans="2:3" ht="15">
      <c r="B591" s="144" t="s">
        <v>146</v>
      </c>
      <c r="C591" s="370">
        <v>593</v>
      </c>
    </row>
    <row r="592" spans="2:3" ht="15">
      <c r="B592" s="146" t="s">
        <v>3981</v>
      </c>
      <c r="C592" s="371">
        <v>591</v>
      </c>
    </row>
    <row r="593" spans="2:3" ht="15">
      <c r="B593" s="144" t="s">
        <v>530</v>
      </c>
      <c r="C593" s="370">
        <v>584</v>
      </c>
    </row>
    <row r="594" spans="2:3" ht="15">
      <c r="B594" s="146" t="s">
        <v>533</v>
      </c>
      <c r="C594" s="371">
        <v>575</v>
      </c>
    </row>
    <row r="595" spans="2:3" ht="15">
      <c r="B595" s="144" t="s">
        <v>2078</v>
      </c>
      <c r="C595" s="370">
        <v>572</v>
      </c>
    </row>
    <row r="596" spans="2:3" ht="15">
      <c r="B596" s="146" t="s">
        <v>2079</v>
      </c>
      <c r="C596" s="371">
        <v>552</v>
      </c>
    </row>
    <row r="597" spans="2:3" ht="15">
      <c r="B597" s="144" t="s">
        <v>2080</v>
      </c>
      <c r="C597" s="370">
        <v>552</v>
      </c>
    </row>
    <row r="598" spans="2:3" ht="15">
      <c r="B598" s="146" t="s">
        <v>2081</v>
      </c>
      <c r="C598" s="371">
        <v>550</v>
      </c>
    </row>
    <row r="599" spans="2:3" ht="15">
      <c r="B599" s="144" t="s">
        <v>331</v>
      </c>
      <c r="C599" s="370">
        <v>550</v>
      </c>
    </row>
    <row r="600" spans="2:3" ht="15">
      <c r="B600" s="146" t="s">
        <v>2082</v>
      </c>
      <c r="C600" s="371">
        <v>544</v>
      </c>
    </row>
    <row r="601" spans="2:3" ht="15">
      <c r="B601" s="144" t="s">
        <v>3982</v>
      </c>
      <c r="C601" s="370">
        <v>528</v>
      </c>
    </row>
    <row r="602" spans="2:3" ht="15">
      <c r="B602" s="146" t="s">
        <v>462</v>
      </c>
      <c r="C602" s="371">
        <v>506</v>
      </c>
    </row>
    <row r="603" spans="2:3" ht="15">
      <c r="B603" s="144" t="s">
        <v>2099</v>
      </c>
      <c r="C603" s="370">
        <v>504</v>
      </c>
    </row>
    <row r="604" spans="2:3" ht="15">
      <c r="B604" s="146" t="s">
        <v>3983</v>
      </c>
      <c r="C604" s="371">
        <v>500</v>
      </c>
    </row>
    <row r="605" spans="2:3" ht="15">
      <c r="B605" s="144" t="s">
        <v>476</v>
      </c>
      <c r="C605" s="370">
        <v>486</v>
      </c>
    </row>
    <row r="606" spans="2:3" ht="15">
      <c r="B606" s="146" t="s">
        <v>213</v>
      </c>
      <c r="C606" s="371">
        <v>482</v>
      </c>
    </row>
    <row r="607" spans="2:3" ht="15">
      <c r="B607" s="144" t="s">
        <v>3984</v>
      </c>
      <c r="C607" s="370">
        <v>480</v>
      </c>
    </row>
    <row r="608" spans="2:3" ht="15">
      <c r="B608" s="146" t="s">
        <v>154</v>
      </c>
      <c r="C608" s="371">
        <v>472</v>
      </c>
    </row>
    <row r="609" spans="2:3" ht="15">
      <c r="B609" s="144" t="s">
        <v>2083</v>
      </c>
      <c r="C609" s="370">
        <v>460</v>
      </c>
    </row>
    <row r="610" spans="2:3" ht="15">
      <c r="B610" s="146" t="s">
        <v>494</v>
      </c>
      <c r="C610" s="371">
        <v>459</v>
      </c>
    </row>
    <row r="611" spans="2:3" ht="15">
      <c r="B611" s="144" t="s">
        <v>266</v>
      </c>
      <c r="C611" s="370">
        <v>458</v>
      </c>
    </row>
    <row r="612" spans="2:3" ht="15">
      <c r="B612" s="146" t="s">
        <v>2084</v>
      </c>
      <c r="C612" s="371">
        <v>458</v>
      </c>
    </row>
    <row r="613" spans="2:3" ht="15">
      <c r="B613" s="144" t="s">
        <v>2085</v>
      </c>
      <c r="C613" s="370">
        <v>458</v>
      </c>
    </row>
    <row r="614" spans="2:3" ht="15">
      <c r="B614" s="146" t="s">
        <v>439</v>
      </c>
      <c r="C614" s="371">
        <v>444</v>
      </c>
    </row>
    <row r="615" spans="2:3" ht="15">
      <c r="B615" s="144" t="s">
        <v>477</v>
      </c>
      <c r="C615" s="370">
        <v>444</v>
      </c>
    </row>
    <row r="616" spans="2:3" ht="15">
      <c r="B616" s="146" t="s">
        <v>510</v>
      </c>
      <c r="C616" s="371">
        <v>444</v>
      </c>
    </row>
    <row r="617" spans="2:3" ht="15">
      <c r="B617" s="144" t="s">
        <v>1893</v>
      </c>
      <c r="C617" s="370">
        <v>421</v>
      </c>
    </row>
    <row r="618" spans="2:3" ht="15">
      <c r="B618" s="146" t="s">
        <v>2087</v>
      </c>
      <c r="C618" s="371">
        <v>414</v>
      </c>
    </row>
    <row r="619" spans="2:3" ht="15">
      <c r="B619" s="144" t="s">
        <v>2086</v>
      </c>
      <c r="C619" s="370">
        <v>414</v>
      </c>
    </row>
    <row r="620" spans="2:3" ht="15">
      <c r="B620" s="146" t="s">
        <v>2088</v>
      </c>
      <c r="C620" s="371">
        <v>414</v>
      </c>
    </row>
    <row r="621" spans="2:3" ht="15">
      <c r="B621" s="144" t="s">
        <v>3985</v>
      </c>
      <c r="C621" s="370">
        <v>400</v>
      </c>
    </row>
    <row r="622" spans="2:3" ht="15">
      <c r="B622" s="146" t="s">
        <v>516</v>
      </c>
      <c r="C622" s="371">
        <v>376</v>
      </c>
    </row>
    <row r="623" spans="2:3" ht="15">
      <c r="B623" s="144" t="s">
        <v>2098</v>
      </c>
      <c r="C623" s="370">
        <v>369</v>
      </c>
    </row>
    <row r="624" spans="2:3" ht="15">
      <c r="B624" s="146" t="s">
        <v>2021</v>
      </c>
      <c r="C624" s="371">
        <v>368</v>
      </c>
    </row>
    <row r="625" spans="2:3" ht="15">
      <c r="B625" s="144" t="s">
        <v>2090</v>
      </c>
      <c r="C625" s="370">
        <v>368</v>
      </c>
    </row>
    <row r="626" spans="2:3" ht="15">
      <c r="B626" s="146" t="s">
        <v>250</v>
      </c>
      <c r="C626" s="371">
        <v>368</v>
      </c>
    </row>
    <row r="627" spans="2:3" ht="15">
      <c r="B627" s="144" t="s">
        <v>3986</v>
      </c>
      <c r="C627" s="370">
        <v>368</v>
      </c>
    </row>
    <row r="628" spans="2:3" ht="15">
      <c r="B628" s="146" t="s">
        <v>337</v>
      </c>
      <c r="C628" s="371">
        <v>356</v>
      </c>
    </row>
    <row r="629" spans="2:3" ht="15">
      <c r="B629" s="144" t="s">
        <v>345</v>
      </c>
      <c r="C629" s="370">
        <v>356</v>
      </c>
    </row>
    <row r="630" spans="2:3" ht="15">
      <c r="B630" s="146" t="s">
        <v>3987</v>
      </c>
      <c r="C630" s="371">
        <v>350</v>
      </c>
    </row>
    <row r="631" spans="2:3" ht="15">
      <c r="B631" s="144" t="s">
        <v>3988</v>
      </c>
      <c r="C631" s="370">
        <v>350</v>
      </c>
    </row>
    <row r="632" spans="2:3" ht="15">
      <c r="B632" s="146" t="s">
        <v>3989</v>
      </c>
      <c r="C632" s="371">
        <v>350</v>
      </c>
    </row>
    <row r="633" spans="2:3" ht="15">
      <c r="B633" s="144" t="s">
        <v>3990</v>
      </c>
      <c r="C633" s="370">
        <v>350</v>
      </c>
    </row>
    <row r="634" spans="2:3" ht="15">
      <c r="B634" s="146" t="s">
        <v>3991</v>
      </c>
      <c r="C634" s="371">
        <v>350</v>
      </c>
    </row>
    <row r="635" spans="2:3" ht="15">
      <c r="B635" s="144" t="s">
        <v>3992</v>
      </c>
      <c r="C635" s="370">
        <v>347</v>
      </c>
    </row>
    <row r="636" spans="2:3" ht="15">
      <c r="B636" s="146" t="s">
        <v>417</v>
      </c>
      <c r="C636" s="371">
        <v>345</v>
      </c>
    </row>
    <row r="637" spans="2:3" ht="15">
      <c r="B637" s="144" t="s">
        <v>2092</v>
      </c>
      <c r="C637" s="370">
        <v>344</v>
      </c>
    </row>
    <row r="638" spans="2:3" ht="15">
      <c r="B638" s="146" t="s">
        <v>2093</v>
      </c>
      <c r="C638" s="371">
        <v>336</v>
      </c>
    </row>
    <row r="639" spans="2:3" ht="15">
      <c r="B639" s="144" t="s">
        <v>400</v>
      </c>
      <c r="C639" s="370">
        <v>306</v>
      </c>
    </row>
    <row r="640" spans="2:3" ht="15">
      <c r="B640" s="146" t="s">
        <v>2094</v>
      </c>
      <c r="C640" s="371">
        <v>299</v>
      </c>
    </row>
    <row r="641" spans="2:3" ht="15">
      <c r="B641" s="144" t="s">
        <v>3993</v>
      </c>
      <c r="C641" s="370">
        <v>299</v>
      </c>
    </row>
    <row r="642" spans="2:3" ht="15">
      <c r="B642" s="146" t="s">
        <v>507</v>
      </c>
      <c r="C642" s="371">
        <v>296</v>
      </c>
    </row>
    <row r="643" spans="2:3" ht="15">
      <c r="B643" s="144" t="s">
        <v>88</v>
      </c>
      <c r="C643" s="370">
        <v>296</v>
      </c>
    </row>
    <row r="644" spans="2:3" ht="15">
      <c r="B644" s="146" t="s">
        <v>399</v>
      </c>
      <c r="C644" s="371">
        <v>285</v>
      </c>
    </row>
    <row r="645" spans="2:3" ht="15">
      <c r="B645" s="144" t="s">
        <v>2101</v>
      </c>
      <c r="C645" s="370">
        <v>284</v>
      </c>
    </row>
    <row r="646" spans="2:3" ht="15">
      <c r="B646" s="146" t="s">
        <v>3994</v>
      </c>
      <c r="C646" s="371">
        <v>281</v>
      </c>
    </row>
    <row r="647" spans="2:3" ht="15">
      <c r="B647" s="144" t="s">
        <v>2095</v>
      </c>
      <c r="C647" s="370">
        <v>278</v>
      </c>
    </row>
    <row r="648" spans="2:3" ht="15">
      <c r="B648" s="146" t="s">
        <v>279</v>
      </c>
      <c r="C648" s="371">
        <v>276</v>
      </c>
    </row>
    <row r="649" spans="2:3" ht="15">
      <c r="B649" s="144" t="s">
        <v>278</v>
      </c>
      <c r="C649" s="370">
        <v>276</v>
      </c>
    </row>
    <row r="650" spans="2:3" ht="15">
      <c r="B650" s="146" t="s">
        <v>319</v>
      </c>
      <c r="C650" s="371">
        <v>264</v>
      </c>
    </row>
    <row r="651" spans="2:3" ht="15">
      <c r="B651" s="144" t="s">
        <v>2097</v>
      </c>
      <c r="C651" s="370">
        <v>260</v>
      </c>
    </row>
    <row r="652" spans="2:3" ht="15">
      <c r="B652" s="146" t="s">
        <v>244</v>
      </c>
      <c r="C652" s="371">
        <v>260</v>
      </c>
    </row>
    <row r="653" spans="2:3" ht="15">
      <c r="B653" s="144" t="s">
        <v>2100</v>
      </c>
      <c r="C653" s="370">
        <v>250</v>
      </c>
    </row>
    <row r="654" spans="2:3" ht="15">
      <c r="B654" s="146" t="s">
        <v>3995</v>
      </c>
      <c r="C654" s="371">
        <v>250</v>
      </c>
    </row>
    <row r="655" spans="2:3" ht="15">
      <c r="B655" s="144" t="s">
        <v>3996</v>
      </c>
      <c r="C655" s="370">
        <v>250</v>
      </c>
    </row>
    <row r="656" spans="2:3" ht="15">
      <c r="B656" s="146" t="s">
        <v>3997</v>
      </c>
      <c r="C656" s="371">
        <v>250</v>
      </c>
    </row>
    <row r="657" spans="2:3" ht="15">
      <c r="B657" s="144" t="s">
        <v>3998</v>
      </c>
      <c r="C657" s="370">
        <v>250</v>
      </c>
    </row>
    <row r="658" spans="2:3" ht="15">
      <c r="B658" s="146" t="s">
        <v>2117</v>
      </c>
      <c r="C658" s="371">
        <v>242</v>
      </c>
    </row>
    <row r="659" spans="2:3" ht="15">
      <c r="B659" s="144" t="s">
        <v>259</v>
      </c>
      <c r="C659" s="370">
        <v>239</v>
      </c>
    </row>
    <row r="660" spans="2:3" ht="15">
      <c r="B660" s="146" t="s">
        <v>413</v>
      </c>
      <c r="C660" s="371">
        <v>237</v>
      </c>
    </row>
    <row r="661" spans="2:3" ht="15">
      <c r="B661" s="144" t="s">
        <v>332</v>
      </c>
      <c r="C661" s="370">
        <v>230</v>
      </c>
    </row>
    <row r="662" spans="2:3" ht="15">
      <c r="B662" s="146" t="s">
        <v>3999</v>
      </c>
      <c r="C662" s="371">
        <v>222</v>
      </c>
    </row>
    <row r="663" spans="2:3" ht="15">
      <c r="B663" s="144" t="s">
        <v>290</v>
      </c>
      <c r="C663" s="370">
        <v>186</v>
      </c>
    </row>
    <row r="664" spans="2:3" ht="15">
      <c r="B664" s="146" t="s">
        <v>2102</v>
      </c>
      <c r="C664" s="371">
        <v>184</v>
      </c>
    </row>
    <row r="665" spans="2:3" ht="15">
      <c r="B665" s="144" t="s">
        <v>222</v>
      </c>
      <c r="C665" s="370">
        <v>184</v>
      </c>
    </row>
    <row r="666" spans="2:3" ht="15">
      <c r="B666" s="146" t="s">
        <v>4000</v>
      </c>
      <c r="C666" s="371">
        <v>170</v>
      </c>
    </row>
    <row r="667" spans="2:3" ht="15">
      <c r="B667" s="144" t="s">
        <v>358</v>
      </c>
      <c r="C667" s="370">
        <v>163</v>
      </c>
    </row>
    <row r="668" spans="2:3" ht="15">
      <c r="B668" s="146" t="s">
        <v>471</v>
      </c>
      <c r="C668" s="371">
        <v>152</v>
      </c>
    </row>
    <row r="669" spans="2:3" ht="15">
      <c r="B669" s="144" t="s">
        <v>4001</v>
      </c>
      <c r="C669" s="370">
        <v>150</v>
      </c>
    </row>
    <row r="670" spans="2:3" ht="15">
      <c r="B670" s="146" t="s">
        <v>4002</v>
      </c>
      <c r="C670" s="371">
        <v>150</v>
      </c>
    </row>
    <row r="671" spans="2:3" ht="15">
      <c r="B671" s="144" t="s">
        <v>435</v>
      </c>
      <c r="C671" s="370">
        <v>148</v>
      </c>
    </row>
    <row r="672" spans="2:3" ht="15">
      <c r="B672" s="146" t="s">
        <v>480</v>
      </c>
      <c r="C672" s="371">
        <v>148</v>
      </c>
    </row>
    <row r="673" spans="2:3" ht="15">
      <c r="B673" s="144" t="s">
        <v>168</v>
      </c>
      <c r="C673" s="370">
        <v>148</v>
      </c>
    </row>
    <row r="674" spans="2:3" ht="15">
      <c r="B674" s="146" t="s">
        <v>387</v>
      </c>
      <c r="C674" s="371">
        <v>140</v>
      </c>
    </row>
    <row r="675" spans="2:3" ht="15">
      <c r="B675" s="144" t="s">
        <v>336</v>
      </c>
      <c r="C675" s="370">
        <v>137</v>
      </c>
    </row>
    <row r="676" spans="2:3" ht="15">
      <c r="B676" s="146" t="s">
        <v>2106</v>
      </c>
      <c r="C676" s="371">
        <v>124</v>
      </c>
    </row>
    <row r="677" spans="2:3" ht="15">
      <c r="B677" s="144" t="s">
        <v>2114</v>
      </c>
      <c r="C677" s="370">
        <v>122</v>
      </c>
    </row>
    <row r="678" spans="2:3" ht="15">
      <c r="B678" s="146" t="s">
        <v>2108</v>
      </c>
      <c r="C678" s="371">
        <v>118</v>
      </c>
    </row>
    <row r="679" spans="2:3" ht="15">
      <c r="B679" s="144" t="s">
        <v>261</v>
      </c>
      <c r="C679" s="370">
        <v>115</v>
      </c>
    </row>
    <row r="680" spans="2:3" ht="15">
      <c r="B680" s="146" t="s">
        <v>321</v>
      </c>
      <c r="C680" s="371">
        <v>115</v>
      </c>
    </row>
    <row r="681" spans="2:3" ht="15">
      <c r="B681" s="144" t="s">
        <v>2109</v>
      </c>
      <c r="C681" s="370">
        <v>115</v>
      </c>
    </row>
    <row r="682" spans="2:3" ht="15">
      <c r="B682" s="146" t="s">
        <v>268</v>
      </c>
      <c r="C682" s="371">
        <v>103</v>
      </c>
    </row>
    <row r="683" spans="2:3" ht="15">
      <c r="B683" s="144" t="s">
        <v>4003</v>
      </c>
      <c r="C683" s="370">
        <v>100</v>
      </c>
    </row>
    <row r="684" spans="2:3" ht="15">
      <c r="B684" s="146" t="s">
        <v>4004</v>
      </c>
      <c r="C684" s="371">
        <v>100</v>
      </c>
    </row>
    <row r="685" spans="2:3" ht="15">
      <c r="B685" s="144" t="s">
        <v>4005</v>
      </c>
      <c r="C685" s="370">
        <v>100</v>
      </c>
    </row>
    <row r="686" spans="2:3" ht="15">
      <c r="B686" s="146" t="s">
        <v>246</v>
      </c>
      <c r="C686" s="371">
        <v>94</v>
      </c>
    </row>
    <row r="687" spans="2:3" ht="15">
      <c r="B687" s="144" t="s">
        <v>2110</v>
      </c>
      <c r="C687" s="370">
        <v>94</v>
      </c>
    </row>
    <row r="688" spans="2:3" ht="15">
      <c r="B688" s="146" t="s">
        <v>469</v>
      </c>
      <c r="C688" s="371">
        <v>92</v>
      </c>
    </row>
    <row r="689" spans="2:3" ht="15">
      <c r="B689" s="144" t="s">
        <v>252</v>
      </c>
      <c r="C689" s="370">
        <v>92</v>
      </c>
    </row>
    <row r="690" spans="2:3" ht="15">
      <c r="B690" s="146" t="s">
        <v>523</v>
      </c>
      <c r="C690" s="371">
        <v>92</v>
      </c>
    </row>
    <row r="691" spans="2:3" ht="15">
      <c r="B691" s="144" t="s">
        <v>2111</v>
      </c>
      <c r="C691" s="370">
        <v>92</v>
      </c>
    </row>
    <row r="692" spans="2:3" ht="15">
      <c r="B692" s="146" t="s">
        <v>369</v>
      </c>
      <c r="C692" s="371">
        <v>91</v>
      </c>
    </row>
    <row r="693" spans="2:3" ht="15">
      <c r="B693" s="144" t="s">
        <v>253</v>
      </c>
      <c r="C693" s="370">
        <v>89</v>
      </c>
    </row>
    <row r="694" spans="2:3" ht="15">
      <c r="B694" s="146" t="s">
        <v>2112</v>
      </c>
      <c r="C694" s="371">
        <v>88</v>
      </c>
    </row>
    <row r="695" spans="2:3" ht="15">
      <c r="B695" s="144" t="s">
        <v>361</v>
      </c>
      <c r="C695" s="370">
        <v>88</v>
      </c>
    </row>
    <row r="696" spans="2:3" ht="15">
      <c r="B696" s="146" t="s">
        <v>2113</v>
      </c>
      <c r="C696" s="371">
        <v>88</v>
      </c>
    </row>
    <row r="697" spans="2:3" ht="15">
      <c r="B697" s="144" t="s">
        <v>4006</v>
      </c>
      <c r="C697" s="370">
        <v>87</v>
      </c>
    </row>
    <row r="698" spans="2:3" ht="15">
      <c r="B698" s="146" t="s">
        <v>401</v>
      </c>
      <c r="C698" s="371">
        <v>78</v>
      </c>
    </row>
    <row r="699" spans="2:3" ht="15">
      <c r="B699" s="144" t="s">
        <v>4007</v>
      </c>
      <c r="C699" s="370">
        <v>75</v>
      </c>
    </row>
    <row r="700" spans="2:3" ht="15">
      <c r="B700" s="146" t="s">
        <v>2115</v>
      </c>
      <c r="C700" s="371">
        <v>75</v>
      </c>
    </row>
    <row r="701" spans="2:3" ht="15">
      <c r="B701" s="144" t="s">
        <v>2116</v>
      </c>
      <c r="C701" s="370">
        <v>74</v>
      </c>
    </row>
    <row r="702" spans="2:3" ht="15">
      <c r="B702" s="146" t="s">
        <v>260</v>
      </c>
      <c r="C702" s="371">
        <v>73</v>
      </c>
    </row>
    <row r="703" spans="2:3" ht="15">
      <c r="B703" s="144" t="s">
        <v>4008</v>
      </c>
      <c r="C703" s="370">
        <v>67</v>
      </c>
    </row>
    <row r="704" spans="2:3" ht="15">
      <c r="B704" s="146" t="s">
        <v>4009</v>
      </c>
      <c r="C704" s="371">
        <v>65</v>
      </c>
    </row>
    <row r="705" spans="2:3" ht="15">
      <c r="B705" s="144" t="s">
        <v>2118</v>
      </c>
      <c r="C705" s="370">
        <v>60</v>
      </c>
    </row>
    <row r="706" spans="2:3" ht="15">
      <c r="B706" s="146" t="s">
        <v>407</v>
      </c>
      <c r="C706" s="371">
        <v>56</v>
      </c>
    </row>
    <row r="707" spans="2:3" ht="15">
      <c r="B707" s="144" t="s">
        <v>372</v>
      </c>
      <c r="C707" s="370">
        <v>55</v>
      </c>
    </row>
    <row r="708" spans="2:3" ht="15">
      <c r="B708" s="146" t="s">
        <v>4010</v>
      </c>
      <c r="C708" s="371">
        <v>50</v>
      </c>
    </row>
    <row r="709" spans="2:3" ht="15">
      <c r="B709" s="144" t="s">
        <v>4011</v>
      </c>
      <c r="C709" s="370">
        <v>50</v>
      </c>
    </row>
    <row r="710" spans="2:3" ht="15">
      <c r="B710" s="146" t="s">
        <v>4012</v>
      </c>
      <c r="C710" s="371">
        <v>50</v>
      </c>
    </row>
    <row r="711" spans="2:3" ht="15">
      <c r="B711" s="144" t="s">
        <v>4013</v>
      </c>
      <c r="C711" s="370">
        <v>50</v>
      </c>
    </row>
    <row r="712" spans="2:3" ht="15">
      <c r="B712" s="146" t="s">
        <v>4014</v>
      </c>
      <c r="C712" s="371">
        <v>50</v>
      </c>
    </row>
    <row r="713" spans="2:3" ht="15">
      <c r="B713" s="144" t="s">
        <v>4015</v>
      </c>
      <c r="C713" s="370">
        <v>50</v>
      </c>
    </row>
    <row r="714" spans="2:3" ht="15">
      <c r="B714" s="146" t="s">
        <v>4016</v>
      </c>
      <c r="C714" s="371">
        <v>39</v>
      </c>
    </row>
    <row r="715" spans="2:3" ht="15">
      <c r="B715" s="144" t="s">
        <v>509</v>
      </c>
      <c r="C715" s="370">
        <v>38</v>
      </c>
    </row>
    <row r="716" spans="2:3" ht="15">
      <c r="B716" s="146" t="s">
        <v>545</v>
      </c>
      <c r="C716" s="371">
        <v>37</v>
      </c>
    </row>
    <row r="717" spans="2:3" ht="15">
      <c r="B717" s="144" t="s">
        <v>351</v>
      </c>
      <c r="C717" s="370">
        <v>35</v>
      </c>
    </row>
    <row r="718" spans="2:3" ht="15">
      <c r="B718" s="146" t="s">
        <v>2120</v>
      </c>
      <c r="C718" s="371">
        <v>32</v>
      </c>
    </row>
    <row r="719" spans="2:3" ht="15">
      <c r="B719" s="144" t="s">
        <v>4017</v>
      </c>
      <c r="C719" s="370">
        <v>30</v>
      </c>
    </row>
    <row r="720" spans="2:3" ht="15">
      <c r="B720" s="146" t="s">
        <v>520</v>
      </c>
      <c r="C720" s="371">
        <v>30</v>
      </c>
    </row>
    <row r="721" spans="2:3" ht="15">
      <c r="B721" s="144" t="s">
        <v>232</v>
      </c>
      <c r="C721" s="370">
        <v>30</v>
      </c>
    </row>
    <row r="722" spans="2:3" ht="15">
      <c r="B722" s="146" t="s">
        <v>356</v>
      </c>
      <c r="C722" s="371">
        <v>28</v>
      </c>
    </row>
    <row r="723" spans="2:3" ht="15">
      <c r="B723" s="144" t="s">
        <v>346</v>
      </c>
      <c r="C723" s="370">
        <v>27</v>
      </c>
    </row>
    <row r="724" spans="2:3" ht="15">
      <c r="B724" s="146" t="s">
        <v>394</v>
      </c>
      <c r="C724" s="371">
        <v>27</v>
      </c>
    </row>
    <row r="725" spans="2:3" ht="15">
      <c r="B725" s="144" t="s">
        <v>483</v>
      </c>
      <c r="C725" s="370">
        <v>26</v>
      </c>
    </row>
    <row r="726" spans="2:3" ht="15">
      <c r="B726" s="146" t="s">
        <v>2121</v>
      </c>
      <c r="C726" s="371">
        <v>26</v>
      </c>
    </row>
    <row r="727" spans="2:3" ht="15">
      <c r="B727" s="144" t="s">
        <v>392</v>
      </c>
      <c r="C727" s="370">
        <v>22</v>
      </c>
    </row>
    <row r="728" spans="2:3" ht="15">
      <c r="B728" s="146" t="s">
        <v>384</v>
      </c>
      <c r="C728" s="371">
        <v>22</v>
      </c>
    </row>
    <row r="729" spans="2:3" ht="15">
      <c r="B729" s="144" t="s">
        <v>2122</v>
      </c>
      <c r="C729" s="370">
        <v>22</v>
      </c>
    </row>
    <row r="730" spans="2:3" ht="15">
      <c r="B730" s="146" t="s">
        <v>391</v>
      </c>
      <c r="C730" s="371">
        <v>22</v>
      </c>
    </row>
    <row r="731" spans="2:3" ht="15">
      <c r="B731" s="144" t="s">
        <v>374</v>
      </c>
      <c r="C731" s="370">
        <v>22</v>
      </c>
    </row>
    <row r="732" spans="2:3" ht="15">
      <c r="B732" s="146" t="s">
        <v>370</v>
      </c>
      <c r="C732" s="371">
        <v>21</v>
      </c>
    </row>
    <row r="733" spans="2:3" ht="15">
      <c r="B733" s="144" t="s">
        <v>536</v>
      </c>
      <c r="C733" s="370">
        <v>20</v>
      </c>
    </row>
    <row r="734" spans="2:3" ht="15">
      <c r="B734" s="146" t="s">
        <v>2123</v>
      </c>
      <c r="C734" s="371">
        <v>18</v>
      </c>
    </row>
    <row r="735" spans="2:3" ht="15">
      <c r="B735" s="144" t="s">
        <v>419</v>
      </c>
      <c r="C735" s="370">
        <v>18</v>
      </c>
    </row>
    <row r="736" spans="2:3" ht="15">
      <c r="B736" s="146" t="s">
        <v>423</v>
      </c>
      <c r="C736" s="371">
        <v>18</v>
      </c>
    </row>
    <row r="737" spans="2:3" ht="15">
      <c r="B737" s="144" t="s">
        <v>2124</v>
      </c>
      <c r="C737" s="370">
        <v>18</v>
      </c>
    </row>
    <row r="738" spans="2:3" ht="15">
      <c r="B738" s="146" t="s">
        <v>367</v>
      </c>
      <c r="C738" s="371">
        <v>17</v>
      </c>
    </row>
    <row r="739" spans="2:3" ht="15">
      <c r="B739" s="144" t="s">
        <v>2125</v>
      </c>
      <c r="C739" s="370">
        <v>16</v>
      </c>
    </row>
    <row r="740" spans="2:3" ht="15">
      <c r="B740" s="146" t="s">
        <v>537</v>
      </c>
      <c r="C740" s="371">
        <v>16</v>
      </c>
    </row>
    <row r="741" spans="2:3" ht="15">
      <c r="B741" s="144" t="s">
        <v>411</v>
      </c>
      <c r="C741" s="370">
        <v>13</v>
      </c>
    </row>
    <row r="742" spans="2:3" ht="15">
      <c r="B742" s="146" t="s">
        <v>385</v>
      </c>
      <c r="C742" s="371">
        <v>13</v>
      </c>
    </row>
    <row r="743" spans="2:3" ht="15">
      <c r="B743" s="144" t="s">
        <v>4018</v>
      </c>
      <c r="C743" s="370">
        <v>12</v>
      </c>
    </row>
    <row r="744" spans="2:3" ht="15">
      <c r="B744" s="146" t="s">
        <v>2126</v>
      </c>
      <c r="C744" s="371">
        <v>12</v>
      </c>
    </row>
    <row r="745" spans="2:3" ht="15">
      <c r="B745" s="144" t="s">
        <v>546</v>
      </c>
      <c r="C745" s="370">
        <v>11</v>
      </c>
    </row>
    <row r="746" spans="2:3" ht="15">
      <c r="B746" s="146" t="s">
        <v>388</v>
      </c>
      <c r="C746" s="371">
        <v>10</v>
      </c>
    </row>
    <row r="747" spans="2:3" ht="15">
      <c r="B747" s="144" t="s">
        <v>2128</v>
      </c>
      <c r="C747" s="370">
        <v>9</v>
      </c>
    </row>
    <row r="748" spans="2:3" ht="15">
      <c r="B748" s="146" t="s">
        <v>4019</v>
      </c>
      <c r="C748" s="371">
        <v>9</v>
      </c>
    </row>
    <row r="749" spans="2:3" ht="15">
      <c r="B749" s="144" t="s">
        <v>4020</v>
      </c>
      <c r="C749" s="370">
        <v>9</v>
      </c>
    </row>
    <row r="750" spans="2:3" ht="15">
      <c r="B750" s="146" t="s">
        <v>2127</v>
      </c>
      <c r="C750" s="371">
        <v>9</v>
      </c>
    </row>
    <row r="751" spans="2:3" ht="15">
      <c r="B751" s="144" t="s">
        <v>355</v>
      </c>
      <c r="C751" s="370">
        <v>9</v>
      </c>
    </row>
    <row r="752" spans="2:3" ht="15">
      <c r="B752" s="146" t="s">
        <v>365</v>
      </c>
      <c r="C752" s="371">
        <v>8</v>
      </c>
    </row>
    <row r="753" spans="2:4" ht="15">
      <c r="B753" s="144" t="s">
        <v>541</v>
      </c>
      <c r="C753" s="370">
        <v>7</v>
      </c>
    </row>
    <row r="754" spans="2:4" ht="15">
      <c r="B754" s="146" t="s">
        <v>4021</v>
      </c>
      <c r="C754" s="371">
        <v>7</v>
      </c>
    </row>
    <row r="755" spans="2:4" ht="15">
      <c r="B755" s="144" t="s">
        <v>4022</v>
      </c>
      <c r="C755" s="370">
        <v>6</v>
      </c>
    </row>
    <row r="756" spans="2:4" ht="15">
      <c r="B756" s="146" t="s">
        <v>2130</v>
      </c>
      <c r="C756" s="371">
        <v>6</v>
      </c>
    </row>
    <row r="757" spans="2:4" ht="15">
      <c r="B757" s="144" t="s">
        <v>542</v>
      </c>
      <c r="C757" s="370">
        <v>6</v>
      </c>
    </row>
    <row r="758" spans="2:4" ht="15">
      <c r="B758" s="146" t="s">
        <v>2131</v>
      </c>
      <c r="C758" s="371">
        <v>4</v>
      </c>
    </row>
    <row r="759" spans="2:4" ht="15">
      <c r="B759" s="144" t="s">
        <v>543</v>
      </c>
      <c r="C759" s="370">
        <v>4</v>
      </c>
    </row>
    <row r="760" spans="2:4" ht="15">
      <c r="B760" s="146" t="s">
        <v>2132</v>
      </c>
      <c r="C760" s="371">
        <v>3</v>
      </c>
    </row>
    <row r="761" spans="2:4" ht="15">
      <c r="B761" s="144" t="s">
        <v>2133</v>
      </c>
      <c r="C761" s="370">
        <v>2</v>
      </c>
    </row>
    <row r="762" spans="2:4" ht="15">
      <c r="B762" s="146" t="s">
        <v>422</v>
      </c>
      <c r="C762" s="371">
        <v>2</v>
      </c>
    </row>
    <row r="763" spans="2:4" ht="15">
      <c r="B763" s="144" t="s">
        <v>364</v>
      </c>
      <c r="C763" s="370">
        <v>2</v>
      </c>
    </row>
    <row r="764" spans="2:4">
      <c r="C764" s="373">
        <f>SUM(C5:C763)</f>
        <v>7037780268</v>
      </c>
      <c r="D764" s="372"/>
    </row>
  </sheetData>
  <autoFilter ref="B4:D764">
    <sortState ref="B5:D764">
      <sortCondition descending="1" ref="C4:C764"/>
    </sortState>
  </autoFilter>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2"/>
  <dimension ref="A2:C67"/>
  <sheetViews>
    <sheetView zoomScale="80" zoomScaleNormal="80" workbookViewId="0">
      <selection activeCell="L37" sqref="L37"/>
    </sheetView>
  </sheetViews>
  <sheetFormatPr baseColWidth="10" defaultRowHeight="13.8"/>
  <cols>
    <col min="2" max="2" width="73.59765625" customWidth="1"/>
    <col min="3" max="3" width="15.296875" bestFit="1" customWidth="1"/>
  </cols>
  <sheetData>
    <row r="2" spans="1:3" ht="16.2">
      <c r="A2" s="10" t="s">
        <v>3813</v>
      </c>
      <c r="B2" s="141"/>
    </row>
    <row r="4" spans="1:3" ht="15">
      <c r="B4" s="143" t="s">
        <v>2135</v>
      </c>
      <c r="C4" s="143" t="s">
        <v>1828</v>
      </c>
    </row>
    <row r="5" spans="1:3" ht="15">
      <c r="B5" s="144" t="s">
        <v>2136</v>
      </c>
      <c r="C5" s="145">
        <v>2194990709</v>
      </c>
    </row>
    <row r="6" spans="1:3" ht="15">
      <c r="B6" s="146" t="s">
        <v>2137</v>
      </c>
      <c r="C6" s="147">
        <v>768922788</v>
      </c>
    </row>
    <row r="7" spans="1:3" ht="15">
      <c r="B7" s="144" t="s">
        <v>2138</v>
      </c>
      <c r="C7" s="145">
        <v>684893846</v>
      </c>
    </row>
    <row r="8" spans="1:3" ht="15">
      <c r="B8" s="146" t="s">
        <v>2139</v>
      </c>
      <c r="C8" s="147">
        <v>422422276</v>
      </c>
    </row>
    <row r="9" spans="1:3" ht="15">
      <c r="B9" s="144" t="s">
        <v>2140</v>
      </c>
      <c r="C9" s="145">
        <v>365316063</v>
      </c>
    </row>
    <row r="10" spans="1:3" ht="15">
      <c r="B10" s="146" t="s">
        <v>2141</v>
      </c>
      <c r="C10" s="147">
        <v>336802682</v>
      </c>
    </row>
    <row r="11" spans="1:3" ht="15">
      <c r="B11" s="144" t="s">
        <v>2142</v>
      </c>
      <c r="C11" s="145">
        <v>328228566</v>
      </c>
    </row>
    <row r="12" spans="1:3" ht="15">
      <c r="B12" s="146" t="s">
        <v>2143</v>
      </c>
      <c r="C12" s="147">
        <v>261160079</v>
      </c>
    </row>
    <row r="13" spans="1:3" ht="15">
      <c r="B13" s="144" t="s">
        <v>2144</v>
      </c>
      <c r="C13" s="145">
        <v>252290900</v>
      </c>
    </row>
    <row r="14" spans="1:3" ht="15">
      <c r="B14" s="146" t="s">
        <v>2154</v>
      </c>
      <c r="C14" s="147">
        <v>214628564</v>
      </c>
    </row>
    <row r="15" spans="1:3" ht="15">
      <c r="B15" s="144" t="s">
        <v>2145</v>
      </c>
      <c r="C15" s="145">
        <v>191444031</v>
      </c>
    </row>
    <row r="16" spans="1:3" ht="15">
      <c r="B16" s="146" t="s">
        <v>2146</v>
      </c>
      <c r="C16" s="147">
        <v>174876727</v>
      </c>
    </row>
    <row r="17" spans="2:3" ht="15">
      <c r="B17" s="144" t="s">
        <v>2147</v>
      </c>
      <c r="C17" s="145">
        <v>140867368</v>
      </c>
    </row>
    <row r="18" spans="2:3" ht="15">
      <c r="B18" s="146" t="s">
        <v>2148</v>
      </c>
      <c r="C18" s="147">
        <v>132216666</v>
      </c>
    </row>
    <row r="19" spans="2:3" ht="15">
      <c r="B19" s="144" t="s">
        <v>2149</v>
      </c>
      <c r="C19" s="145">
        <v>56036751</v>
      </c>
    </row>
    <row r="20" spans="2:3" ht="15">
      <c r="B20" s="146" t="s">
        <v>2153</v>
      </c>
      <c r="C20" s="147">
        <v>44670861</v>
      </c>
    </row>
    <row r="21" spans="2:3" ht="15">
      <c r="B21" s="144" t="s">
        <v>2150</v>
      </c>
      <c r="C21" s="145">
        <v>39299743</v>
      </c>
    </row>
    <row r="22" spans="2:3" ht="15">
      <c r="B22" s="146" t="s">
        <v>2151</v>
      </c>
      <c r="C22" s="147">
        <v>39058950</v>
      </c>
    </row>
    <row r="23" spans="2:3" ht="15">
      <c r="B23" s="144" t="s">
        <v>2152</v>
      </c>
      <c r="C23" s="145">
        <v>38233941</v>
      </c>
    </row>
    <row r="24" spans="2:3" ht="15">
      <c r="B24" s="146" t="s">
        <v>2158</v>
      </c>
      <c r="C24" s="147">
        <v>30030370</v>
      </c>
    </row>
    <row r="25" spans="2:3" ht="15">
      <c r="B25" s="144" t="s">
        <v>2155</v>
      </c>
      <c r="C25" s="145">
        <v>28424000</v>
      </c>
    </row>
    <row r="26" spans="2:3" ht="15">
      <c r="B26" s="146" t="s">
        <v>2156</v>
      </c>
      <c r="C26" s="147">
        <v>28257392</v>
      </c>
    </row>
    <row r="27" spans="2:3" ht="15">
      <c r="B27" s="144" t="s">
        <v>2157</v>
      </c>
      <c r="C27" s="145">
        <v>27460676</v>
      </c>
    </row>
    <row r="28" spans="2:3" ht="15">
      <c r="B28" s="146" t="s">
        <v>2159</v>
      </c>
      <c r="C28" s="147">
        <v>26182336</v>
      </c>
    </row>
    <row r="29" spans="2:3" ht="15">
      <c r="B29" s="144" t="s">
        <v>2160</v>
      </c>
      <c r="C29" s="145">
        <v>25525671</v>
      </c>
    </row>
    <row r="30" spans="2:3" ht="15">
      <c r="B30" s="146" t="s">
        <v>2161</v>
      </c>
      <c r="C30" s="147">
        <v>22750000</v>
      </c>
    </row>
    <row r="31" spans="2:3" ht="15">
      <c r="B31" s="144" t="s">
        <v>2162</v>
      </c>
      <c r="C31" s="145">
        <v>20444714</v>
      </c>
    </row>
    <row r="32" spans="2:3" ht="15">
      <c r="B32" s="146" t="s">
        <v>2163</v>
      </c>
      <c r="C32" s="147">
        <v>17413990</v>
      </c>
    </row>
    <row r="33" spans="2:3" ht="15">
      <c r="B33" s="144" t="s">
        <v>3827</v>
      </c>
      <c r="C33" s="145">
        <v>17148840</v>
      </c>
    </row>
    <row r="34" spans="2:3" ht="15">
      <c r="B34" s="146" t="s">
        <v>2165</v>
      </c>
      <c r="C34" s="147">
        <v>14336516</v>
      </c>
    </row>
    <row r="35" spans="2:3" ht="15">
      <c r="B35" s="144" t="s">
        <v>2166</v>
      </c>
      <c r="C35" s="145">
        <v>11052007</v>
      </c>
    </row>
    <row r="36" spans="2:3" ht="15">
      <c r="B36" s="146" t="s">
        <v>2167</v>
      </c>
      <c r="C36" s="147">
        <v>10523423</v>
      </c>
    </row>
    <row r="37" spans="2:3" ht="15">
      <c r="B37" s="144" t="s">
        <v>2168</v>
      </c>
      <c r="C37" s="145">
        <v>10068100</v>
      </c>
    </row>
    <row r="38" spans="2:3" ht="15">
      <c r="B38" s="146" t="s">
        <v>3825</v>
      </c>
      <c r="C38" s="147">
        <v>9417240</v>
      </c>
    </row>
    <row r="39" spans="2:3" ht="15">
      <c r="B39" s="144" t="s">
        <v>2169</v>
      </c>
      <c r="C39" s="145">
        <v>8589325</v>
      </c>
    </row>
    <row r="40" spans="2:3" ht="15">
      <c r="B40" s="146" t="s">
        <v>2171</v>
      </c>
      <c r="C40" s="147">
        <v>7276625</v>
      </c>
    </row>
    <row r="41" spans="2:3" ht="15">
      <c r="B41" s="144" t="s">
        <v>2172</v>
      </c>
      <c r="C41" s="145">
        <v>5284672</v>
      </c>
    </row>
    <row r="42" spans="2:3" ht="15">
      <c r="B42" s="146" t="s">
        <v>2175</v>
      </c>
      <c r="C42" s="147">
        <v>5281698</v>
      </c>
    </row>
    <row r="43" spans="2:3" ht="15">
      <c r="B43" s="144" t="s">
        <v>2174</v>
      </c>
      <c r="C43" s="145">
        <v>5011590</v>
      </c>
    </row>
    <row r="44" spans="2:3" ht="15">
      <c r="B44" s="146" t="s">
        <v>2173</v>
      </c>
      <c r="C44" s="147">
        <v>3741954</v>
      </c>
    </row>
    <row r="45" spans="2:3" ht="15">
      <c r="B45" s="144" t="s">
        <v>2178</v>
      </c>
      <c r="C45" s="145">
        <v>3159955</v>
      </c>
    </row>
    <row r="46" spans="2:3" ht="15">
      <c r="B46" s="146" t="s">
        <v>2187</v>
      </c>
      <c r="C46" s="147">
        <v>2308514</v>
      </c>
    </row>
    <row r="47" spans="2:3" ht="15">
      <c r="B47" s="144" t="s">
        <v>3828</v>
      </c>
      <c r="C47" s="145">
        <v>2000954</v>
      </c>
    </row>
    <row r="48" spans="2:3" ht="15">
      <c r="B48" s="146" t="s">
        <v>2176</v>
      </c>
      <c r="C48" s="147">
        <v>1958149</v>
      </c>
    </row>
    <row r="49" spans="2:3" ht="15">
      <c r="B49" s="144" t="s">
        <v>2177</v>
      </c>
      <c r="C49" s="145">
        <v>1934174</v>
      </c>
    </row>
    <row r="50" spans="2:3" ht="15">
      <c r="B50" s="146" t="s">
        <v>2179</v>
      </c>
      <c r="C50" s="147">
        <v>1204513</v>
      </c>
    </row>
    <row r="51" spans="2:3" ht="15">
      <c r="B51" s="144" t="s">
        <v>2180</v>
      </c>
      <c r="C51" s="145">
        <v>1152312</v>
      </c>
    </row>
    <row r="52" spans="2:3" ht="15">
      <c r="B52" s="146" t="s">
        <v>2181</v>
      </c>
      <c r="C52" s="147">
        <v>553512</v>
      </c>
    </row>
    <row r="53" spans="2:3" ht="15">
      <c r="B53" s="144" t="s">
        <v>2375</v>
      </c>
      <c r="C53" s="145">
        <v>520337</v>
      </c>
    </row>
    <row r="54" spans="2:3" ht="15">
      <c r="B54" s="146" t="s">
        <v>2182</v>
      </c>
      <c r="C54" s="147">
        <v>469580</v>
      </c>
    </row>
    <row r="55" spans="2:3" ht="15">
      <c r="B55" s="144" t="s">
        <v>2183</v>
      </c>
      <c r="C55" s="145">
        <v>464719</v>
      </c>
    </row>
    <row r="56" spans="2:3" ht="15">
      <c r="B56" s="146" t="s">
        <v>2184</v>
      </c>
      <c r="C56" s="147">
        <v>449940</v>
      </c>
    </row>
    <row r="57" spans="2:3" ht="15">
      <c r="B57" s="144" t="s">
        <v>2185</v>
      </c>
      <c r="C57" s="145">
        <v>362277</v>
      </c>
    </row>
    <row r="58" spans="2:3" ht="15">
      <c r="B58" s="146" t="s">
        <v>2189</v>
      </c>
      <c r="C58" s="147">
        <v>187108</v>
      </c>
    </row>
    <row r="59" spans="2:3" ht="15">
      <c r="B59" s="144" t="s">
        <v>2190</v>
      </c>
      <c r="C59" s="145">
        <v>180755</v>
      </c>
    </row>
    <row r="60" spans="2:3" ht="15">
      <c r="B60" s="146" t="s">
        <v>2191</v>
      </c>
      <c r="C60" s="147">
        <v>100000</v>
      </c>
    </row>
    <row r="61" spans="2:3" ht="15">
      <c r="B61" s="144" t="s">
        <v>4023</v>
      </c>
      <c r="C61" s="145">
        <v>89260</v>
      </c>
    </row>
    <row r="62" spans="2:3" ht="15">
      <c r="B62" s="146" t="s">
        <v>2192</v>
      </c>
      <c r="C62" s="147">
        <v>50450</v>
      </c>
    </row>
    <row r="63" spans="2:3" ht="15">
      <c r="B63" s="144" t="s">
        <v>2193</v>
      </c>
      <c r="C63" s="145">
        <v>33427</v>
      </c>
    </row>
    <row r="64" spans="2:3" ht="15">
      <c r="B64" s="146" t="s">
        <v>3841</v>
      </c>
      <c r="C64" s="147">
        <v>14182</v>
      </c>
    </row>
    <row r="65" spans="2:3" ht="15">
      <c r="B65" s="144" t="s">
        <v>2194</v>
      </c>
      <c r="C65" s="145">
        <v>3500</v>
      </c>
    </row>
    <row r="66" spans="2:3">
      <c r="C66" s="217">
        <f>SUM(C5:C65)</f>
        <v>7037780268</v>
      </c>
    </row>
    <row r="67" spans="2:3">
      <c r="C67" s="374">
        <f>C66-'Annexe 39'!C764</f>
        <v>0</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3"/>
  <dimension ref="A2:C26"/>
  <sheetViews>
    <sheetView zoomScale="80" zoomScaleNormal="80" workbookViewId="0">
      <selection activeCell="L37" sqref="L37"/>
    </sheetView>
  </sheetViews>
  <sheetFormatPr baseColWidth="10" defaultRowHeight="13.8"/>
  <cols>
    <col min="2" max="2" width="76.69921875" bestFit="1" customWidth="1"/>
    <col min="3" max="3" width="13.3984375" bestFit="1" customWidth="1"/>
  </cols>
  <sheetData>
    <row r="2" spans="1:3" ht="16.2">
      <c r="A2" s="10" t="s">
        <v>3814</v>
      </c>
      <c r="B2" s="141"/>
    </row>
    <row r="4" spans="1:3" ht="15">
      <c r="B4" s="143" t="s">
        <v>2135</v>
      </c>
      <c r="C4" s="143" t="s">
        <v>1828</v>
      </c>
    </row>
    <row r="5" spans="1:3" ht="15">
      <c r="B5" s="144" t="s">
        <v>2195</v>
      </c>
      <c r="C5" s="145">
        <v>135560376</v>
      </c>
    </row>
    <row r="6" spans="1:3" ht="15">
      <c r="B6" s="146" t="s">
        <v>2136</v>
      </c>
      <c r="C6" s="147">
        <v>96253738</v>
      </c>
    </row>
    <row r="7" spans="1:3" ht="15">
      <c r="B7" s="144" t="s">
        <v>2196</v>
      </c>
      <c r="C7" s="145">
        <v>40668114</v>
      </c>
    </row>
    <row r="8" spans="1:3" ht="15">
      <c r="B8" s="146" t="s">
        <v>2153</v>
      </c>
      <c r="C8" s="147">
        <v>26341156</v>
      </c>
    </row>
    <row r="9" spans="1:3" ht="15">
      <c r="B9" s="144" t="s">
        <v>2197</v>
      </c>
      <c r="C9" s="145">
        <v>6665376</v>
      </c>
    </row>
    <row r="10" spans="1:3" ht="15">
      <c r="B10" s="146" t="s">
        <v>2198</v>
      </c>
      <c r="C10" s="147">
        <v>5473919</v>
      </c>
    </row>
    <row r="11" spans="1:3" ht="15">
      <c r="B11" s="144" t="s">
        <v>2142</v>
      </c>
      <c r="C11" s="145">
        <v>4156350</v>
      </c>
    </row>
    <row r="12" spans="1:3" ht="15">
      <c r="B12" s="146" t="s">
        <v>4024</v>
      </c>
      <c r="C12" s="147">
        <v>3931107</v>
      </c>
    </row>
    <row r="13" spans="1:3" ht="15">
      <c r="B13" s="144" t="s">
        <v>2139</v>
      </c>
      <c r="C13" s="145">
        <v>2536334</v>
      </c>
    </row>
    <row r="14" spans="1:3" ht="15">
      <c r="B14" s="146" t="s">
        <v>2144</v>
      </c>
      <c r="C14" s="147">
        <v>2129289</v>
      </c>
    </row>
    <row r="15" spans="1:3" ht="15">
      <c r="B15" s="144" t="s">
        <v>2175</v>
      </c>
      <c r="C15" s="145">
        <v>1463152</v>
      </c>
    </row>
    <row r="16" spans="1:3" ht="15">
      <c r="B16" s="146" t="s">
        <v>2151</v>
      </c>
      <c r="C16" s="147">
        <v>1266474</v>
      </c>
    </row>
    <row r="17" spans="2:3" ht="15">
      <c r="B17" s="144" t="s">
        <v>2199</v>
      </c>
      <c r="C17" s="145">
        <v>1250000</v>
      </c>
    </row>
    <row r="18" spans="2:3" ht="15">
      <c r="B18" s="146" t="s">
        <v>2150</v>
      </c>
      <c r="C18" s="147">
        <v>600000</v>
      </c>
    </row>
    <row r="19" spans="2:3" ht="15">
      <c r="B19" s="144" t="s">
        <v>2200</v>
      </c>
      <c r="C19" s="145">
        <v>266171</v>
      </c>
    </row>
    <row r="20" spans="2:3" ht="15">
      <c r="B20" s="146" t="s">
        <v>2174</v>
      </c>
      <c r="C20" s="147">
        <v>48914</v>
      </c>
    </row>
    <row r="21" spans="2:3" ht="15">
      <c r="B21" s="144" t="s">
        <v>2156</v>
      </c>
      <c r="C21" s="145">
        <v>41651</v>
      </c>
    </row>
    <row r="22" spans="2:3" ht="15">
      <c r="B22" s="146" t="s">
        <v>2179</v>
      </c>
      <c r="C22" s="147">
        <v>36200</v>
      </c>
    </row>
    <row r="23" spans="2:3" ht="15">
      <c r="B23" s="144" t="s">
        <v>2193</v>
      </c>
      <c r="C23" s="145">
        <v>30922</v>
      </c>
    </row>
    <row r="24" spans="2:3" ht="15">
      <c r="B24" s="146" t="s">
        <v>2190</v>
      </c>
      <c r="C24" s="147">
        <v>25000</v>
      </c>
    </row>
    <row r="25" spans="2:3" ht="15">
      <c r="B25" s="144" t="s">
        <v>2201</v>
      </c>
      <c r="C25" s="145">
        <v>12000</v>
      </c>
    </row>
    <row r="26" spans="2:3">
      <c r="C26" s="217">
        <f>SUM(C5:C25)</f>
        <v>328756243</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4"/>
  <dimension ref="A2:C346"/>
  <sheetViews>
    <sheetView zoomScale="80" zoomScaleNormal="80" workbookViewId="0">
      <selection activeCell="L37" sqref="L37"/>
    </sheetView>
  </sheetViews>
  <sheetFormatPr baseColWidth="10" defaultRowHeight="13.8"/>
  <cols>
    <col min="2" max="2" width="65" bestFit="1" customWidth="1"/>
    <col min="3" max="3" width="15.296875" bestFit="1" customWidth="1"/>
  </cols>
  <sheetData>
    <row r="2" spans="1:3" ht="16.2">
      <c r="A2" s="10" t="s">
        <v>3815</v>
      </c>
      <c r="B2" s="141"/>
    </row>
    <row r="4" spans="1:3" ht="15">
      <c r="B4" s="143" t="s">
        <v>0</v>
      </c>
      <c r="C4" s="143" t="s">
        <v>1828</v>
      </c>
    </row>
    <row r="5" spans="1:3" ht="15">
      <c r="B5" s="144" t="s">
        <v>1830</v>
      </c>
      <c r="C5" s="145">
        <v>848765742</v>
      </c>
    </row>
    <row r="6" spans="1:3" ht="15">
      <c r="B6" s="146" t="s">
        <v>1829</v>
      </c>
      <c r="C6" s="147">
        <v>817665833</v>
      </c>
    </row>
    <row r="7" spans="1:3" ht="15">
      <c r="B7" s="144" t="s">
        <v>1832</v>
      </c>
      <c r="C7" s="145">
        <v>453454665</v>
      </c>
    </row>
    <row r="8" spans="1:3" ht="15">
      <c r="B8" s="146" t="s">
        <v>1831</v>
      </c>
      <c r="C8" s="147">
        <v>400874674</v>
      </c>
    </row>
    <row r="9" spans="1:3" ht="15">
      <c r="B9" s="144" t="s">
        <v>1833</v>
      </c>
      <c r="C9" s="145">
        <v>342276409</v>
      </c>
    </row>
    <row r="10" spans="1:3" ht="15">
      <c r="B10" s="146" t="s">
        <v>1834</v>
      </c>
      <c r="C10" s="147">
        <v>216687392</v>
      </c>
    </row>
    <row r="11" spans="1:3" ht="15">
      <c r="B11" s="144" t="s">
        <v>192</v>
      </c>
      <c r="C11" s="145">
        <v>180460550</v>
      </c>
    </row>
    <row r="12" spans="1:3" ht="15">
      <c r="B12" s="146" t="s">
        <v>3822</v>
      </c>
      <c r="C12" s="147">
        <v>174929725</v>
      </c>
    </row>
    <row r="13" spans="1:3" ht="15">
      <c r="B13" s="144" t="s">
        <v>1837</v>
      </c>
      <c r="C13" s="145">
        <v>132308471</v>
      </c>
    </row>
    <row r="14" spans="1:3" ht="15">
      <c r="B14" s="146" t="s">
        <v>1835</v>
      </c>
      <c r="C14" s="147">
        <v>120254602</v>
      </c>
    </row>
    <row r="15" spans="1:3" ht="15">
      <c r="B15" s="144" t="s">
        <v>1838</v>
      </c>
      <c r="C15" s="145">
        <v>107036704</v>
      </c>
    </row>
    <row r="16" spans="1:3" ht="15">
      <c r="B16" s="146" t="s">
        <v>1836</v>
      </c>
      <c r="C16" s="147">
        <v>106543627</v>
      </c>
    </row>
    <row r="17" spans="2:3" ht="15">
      <c r="B17" s="144" t="s">
        <v>1839</v>
      </c>
      <c r="C17" s="145">
        <v>90700010</v>
      </c>
    </row>
    <row r="18" spans="2:3" ht="15">
      <c r="B18" s="146" t="s">
        <v>1840</v>
      </c>
      <c r="C18" s="147">
        <v>74655835</v>
      </c>
    </row>
    <row r="19" spans="2:3" ht="15">
      <c r="B19" s="144" t="s">
        <v>99</v>
      </c>
      <c r="C19" s="145">
        <v>72325713</v>
      </c>
    </row>
    <row r="20" spans="2:3" ht="15">
      <c r="B20" s="146" t="s">
        <v>17</v>
      </c>
      <c r="C20" s="147">
        <v>70970207</v>
      </c>
    </row>
    <row r="21" spans="2:3" ht="15">
      <c r="B21" s="144" t="s">
        <v>229</v>
      </c>
      <c r="C21" s="145">
        <v>68890698</v>
      </c>
    </row>
    <row r="22" spans="2:3" ht="15">
      <c r="B22" s="146" t="s">
        <v>1841</v>
      </c>
      <c r="C22" s="147">
        <v>67632490</v>
      </c>
    </row>
    <row r="23" spans="2:3" ht="15">
      <c r="B23" s="144" t="s">
        <v>102</v>
      </c>
      <c r="C23" s="145">
        <v>61146794</v>
      </c>
    </row>
    <row r="24" spans="2:3" ht="15">
      <c r="B24" s="146" t="s">
        <v>721</v>
      </c>
      <c r="C24" s="147">
        <v>55395974</v>
      </c>
    </row>
    <row r="25" spans="2:3" ht="15">
      <c r="B25" s="144" t="s">
        <v>717</v>
      </c>
      <c r="C25" s="145">
        <v>49371044</v>
      </c>
    </row>
    <row r="26" spans="2:3" ht="15">
      <c r="B26" s="146" t="s">
        <v>62</v>
      </c>
      <c r="C26" s="147">
        <v>49238668</v>
      </c>
    </row>
    <row r="27" spans="2:3" ht="15">
      <c r="B27" s="144" t="s">
        <v>1846</v>
      </c>
      <c r="C27" s="145">
        <v>47148886</v>
      </c>
    </row>
    <row r="28" spans="2:3" ht="15">
      <c r="B28" s="146" t="s">
        <v>1843</v>
      </c>
      <c r="C28" s="147">
        <v>44906254</v>
      </c>
    </row>
    <row r="29" spans="2:3" ht="15">
      <c r="B29" s="144" t="s">
        <v>1842</v>
      </c>
      <c r="C29" s="145">
        <v>44287545</v>
      </c>
    </row>
    <row r="30" spans="2:3" ht="15">
      <c r="B30" s="146" t="s">
        <v>1844</v>
      </c>
      <c r="C30" s="147">
        <v>38749655</v>
      </c>
    </row>
    <row r="31" spans="2:3" ht="15">
      <c r="B31" s="144" t="s">
        <v>747</v>
      </c>
      <c r="C31" s="145">
        <v>35403827</v>
      </c>
    </row>
    <row r="32" spans="2:3" ht="15">
      <c r="B32" s="146" t="s">
        <v>1847</v>
      </c>
      <c r="C32" s="147">
        <v>34686107</v>
      </c>
    </row>
    <row r="33" spans="2:3" ht="15">
      <c r="B33" s="144" t="s">
        <v>1851</v>
      </c>
      <c r="C33" s="145">
        <v>31760846</v>
      </c>
    </row>
    <row r="34" spans="2:3" ht="15">
      <c r="B34" s="146" t="s">
        <v>1848</v>
      </c>
      <c r="C34" s="147">
        <v>29540354</v>
      </c>
    </row>
    <row r="35" spans="2:3" ht="15">
      <c r="B35" s="144" t="s">
        <v>3659</v>
      </c>
      <c r="C35" s="145">
        <v>28954283</v>
      </c>
    </row>
    <row r="36" spans="2:3" ht="15">
      <c r="B36" s="146" t="s">
        <v>1845</v>
      </c>
      <c r="C36" s="147">
        <v>26404691</v>
      </c>
    </row>
    <row r="37" spans="2:3" ht="15">
      <c r="B37" s="144" t="s">
        <v>96</v>
      </c>
      <c r="C37" s="145">
        <v>24962924</v>
      </c>
    </row>
    <row r="38" spans="2:3" ht="15">
      <c r="B38" s="146" t="s">
        <v>1853</v>
      </c>
      <c r="C38" s="147">
        <v>24307643</v>
      </c>
    </row>
    <row r="39" spans="2:3" ht="15">
      <c r="B39" s="144" t="s">
        <v>1849</v>
      </c>
      <c r="C39" s="145">
        <v>24103815</v>
      </c>
    </row>
    <row r="40" spans="2:3" ht="15">
      <c r="B40" s="146" t="s">
        <v>1852</v>
      </c>
      <c r="C40" s="147">
        <v>23646049</v>
      </c>
    </row>
    <row r="41" spans="2:3" ht="15">
      <c r="B41" s="144" t="s">
        <v>1855</v>
      </c>
      <c r="C41" s="145">
        <v>22529901</v>
      </c>
    </row>
    <row r="42" spans="2:3" ht="15">
      <c r="B42" s="146" t="s">
        <v>227</v>
      </c>
      <c r="C42" s="147">
        <v>20231996</v>
      </c>
    </row>
    <row r="43" spans="2:3" ht="15">
      <c r="B43" s="144" t="s">
        <v>139</v>
      </c>
      <c r="C43" s="145">
        <v>17515655</v>
      </c>
    </row>
    <row r="44" spans="2:3" ht="15">
      <c r="B44" s="146" t="s">
        <v>1856</v>
      </c>
      <c r="C44" s="147">
        <v>15052511</v>
      </c>
    </row>
    <row r="45" spans="2:3" ht="15">
      <c r="B45" s="144" t="s">
        <v>549</v>
      </c>
      <c r="C45" s="145">
        <v>14329995</v>
      </c>
    </row>
    <row r="46" spans="2:3" ht="15">
      <c r="B46" s="146" t="s">
        <v>1857</v>
      </c>
      <c r="C46" s="147">
        <v>13337959</v>
      </c>
    </row>
    <row r="47" spans="2:3" ht="15">
      <c r="B47" s="144" t="s">
        <v>1858</v>
      </c>
      <c r="C47" s="145">
        <v>12530828</v>
      </c>
    </row>
    <row r="48" spans="2:3" ht="15">
      <c r="B48" s="146" t="s">
        <v>1862</v>
      </c>
      <c r="C48" s="147">
        <v>12303755</v>
      </c>
    </row>
    <row r="49" spans="2:3" ht="15">
      <c r="B49" s="144" t="s">
        <v>215</v>
      </c>
      <c r="C49" s="145">
        <v>12274225</v>
      </c>
    </row>
    <row r="50" spans="2:3" ht="15">
      <c r="B50" s="146" t="s">
        <v>1859</v>
      </c>
      <c r="C50" s="147">
        <v>10257653</v>
      </c>
    </row>
    <row r="51" spans="2:3" ht="15">
      <c r="B51" s="144" t="s">
        <v>792</v>
      </c>
      <c r="C51" s="145">
        <v>10249954</v>
      </c>
    </row>
    <row r="52" spans="2:3" ht="15">
      <c r="B52" s="146" t="s">
        <v>1861</v>
      </c>
      <c r="C52" s="147">
        <v>9992216</v>
      </c>
    </row>
    <row r="53" spans="2:3" ht="15">
      <c r="B53" s="144" t="s">
        <v>158</v>
      </c>
      <c r="C53" s="145">
        <v>9545954</v>
      </c>
    </row>
    <row r="54" spans="2:3" ht="15">
      <c r="B54" s="146" t="s">
        <v>1863</v>
      </c>
      <c r="C54" s="147">
        <v>7979549</v>
      </c>
    </row>
    <row r="55" spans="2:3" ht="15">
      <c r="B55" s="144" t="s">
        <v>175</v>
      </c>
      <c r="C55" s="145">
        <v>7645318</v>
      </c>
    </row>
    <row r="56" spans="2:3" ht="15">
      <c r="B56" s="146" t="s">
        <v>126</v>
      </c>
      <c r="C56" s="147">
        <v>6730770</v>
      </c>
    </row>
    <row r="57" spans="2:3" ht="15">
      <c r="B57" s="144" t="s">
        <v>189</v>
      </c>
      <c r="C57" s="145">
        <v>5683937</v>
      </c>
    </row>
    <row r="58" spans="2:3" ht="15">
      <c r="B58" s="146" t="s">
        <v>818</v>
      </c>
      <c r="C58" s="147">
        <v>5559783</v>
      </c>
    </row>
    <row r="59" spans="2:3" ht="15">
      <c r="B59" s="144" t="s">
        <v>827</v>
      </c>
      <c r="C59" s="145">
        <v>5496556</v>
      </c>
    </row>
    <row r="60" spans="2:3" ht="15">
      <c r="B60" s="146" t="s">
        <v>95</v>
      </c>
      <c r="C60" s="147">
        <v>5003140</v>
      </c>
    </row>
    <row r="61" spans="2:3" ht="15">
      <c r="B61" s="144" t="s">
        <v>182</v>
      </c>
      <c r="C61" s="145">
        <v>3748880</v>
      </c>
    </row>
    <row r="62" spans="2:3" ht="15">
      <c r="B62" s="146" t="s">
        <v>3712</v>
      </c>
      <c r="C62" s="147">
        <v>3333911</v>
      </c>
    </row>
    <row r="63" spans="2:3" ht="15">
      <c r="B63" s="144" t="s">
        <v>173</v>
      </c>
      <c r="C63" s="145">
        <v>3238296</v>
      </c>
    </row>
    <row r="64" spans="2:3" ht="15">
      <c r="B64" s="146" t="s">
        <v>1865</v>
      </c>
      <c r="C64" s="147">
        <v>2711859</v>
      </c>
    </row>
    <row r="65" spans="2:3" ht="15">
      <c r="B65" s="144" t="s">
        <v>177</v>
      </c>
      <c r="C65" s="145">
        <v>2585405</v>
      </c>
    </row>
    <row r="66" spans="2:3" ht="15">
      <c r="B66" s="146" t="s">
        <v>1868</v>
      </c>
      <c r="C66" s="147">
        <v>2189843</v>
      </c>
    </row>
    <row r="67" spans="2:3" ht="15">
      <c r="B67" s="144" t="s">
        <v>1894</v>
      </c>
      <c r="C67" s="145">
        <v>2053038</v>
      </c>
    </row>
    <row r="68" spans="2:3" ht="15">
      <c r="B68" s="146" t="s">
        <v>1866</v>
      </c>
      <c r="C68" s="147">
        <v>1517502</v>
      </c>
    </row>
    <row r="69" spans="2:3" ht="15">
      <c r="B69" s="144" t="s">
        <v>1872</v>
      </c>
      <c r="C69" s="145">
        <v>1387031</v>
      </c>
    </row>
    <row r="70" spans="2:3" ht="15">
      <c r="B70" s="146" t="s">
        <v>440</v>
      </c>
      <c r="C70" s="147">
        <v>1380501</v>
      </c>
    </row>
    <row r="71" spans="2:3" ht="15">
      <c r="B71" s="144" t="s">
        <v>28</v>
      </c>
      <c r="C71" s="145">
        <v>1218285</v>
      </c>
    </row>
    <row r="72" spans="2:3" ht="15">
      <c r="B72" s="146" t="s">
        <v>204</v>
      </c>
      <c r="C72" s="147">
        <v>1212106</v>
      </c>
    </row>
    <row r="73" spans="2:3" ht="15">
      <c r="B73" s="144" t="s">
        <v>85</v>
      </c>
      <c r="C73" s="145">
        <v>1174245</v>
      </c>
    </row>
    <row r="74" spans="2:3" ht="15">
      <c r="B74" s="146" t="s">
        <v>1870</v>
      </c>
      <c r="C74" s="147">
        <v>1092371</v>
      </c>
    </row>
    <row r="75" spans="2:3" ht="15">
      <c r="B75" s="144" t="s">
        <v>1869</v>
      </c>
      <c r="C75" s="145">
        <v>1062063</v>
      </c>
    </row>
    <row r="76" spans="2:3" ht="15">
      <c r="B76" s="146" t="s">
        <v>532</v>
      </c>
      <c r="C76" s="147">
        <v>1059687</v>
      </c>
    </row>
    <row r="77" spans="2:3" ht="15">
      <c r="B77" s="144" t="s">
        <v>459</v>
      </c>
      <c r="C77" s="145">
        <v>1058221</v>
      </c>
    </row>
    <row r="78" spans="2:3" ht="15">
      <c r="B78" s="146" t="s">
        <v>1871</v>
      </c>
      <c r="C78" s="147">
        <v>1046751</v>
      </c>
    </row>
    <row r="79" spans="2:3" ht="15">
      <c r="B79" s="144" t="s">
        <v>1878</v>
      </c>
      <c r="C79" s="145">
        <v>1022038</v>
      </c>
    </row>
    <row r="80" spans="2:3" ht="15">
      <c r="B80" s="146" t="s">
        <v>103</v>
      </c>
      <c r="C80" s="147">
        <v>943172</v>
      </c>
    </row>
    <row r="81" spans="2:3" ht="15">
      <c r="B81" s="144" t="s">
        <v>1876</v>
      </c>
      <c r="C81" s="145">
        <v>922640</v>
      </c>
    </row>
    <row r="82" spans="2:3" ht="15">
      <c r="B82" s="146" t="s">
        <v>315</v>
      </c>
      <c r="C82" s="147">
        <v>657963</v>
      </c>
    </row>
    <row r="83" spans="2:3" ht="15">
      <c r="B83" s="144" t="s">
        <v>1875</v>
      </c>
      <c r="C83" s="145">
        <v>624286</v>
      </c>
    </row>
    <row r="84" spans="2:3" ht="15">
      <c r="B84" s="146" t="s">
        <v>191</v>
      </c>
      <c r="C84" s="147">
        <v>562452</v>
      </c>
    </row>
    <row r="85" spans="2:3" ht="15">
      <c r="B85" s="144" t="s">
        <v>1881</v>
      </c>
      <c r="C85" s="145">
        <v>510973</v>
      </c>
    </row>
    <row r="86" spans="2:3" ht="15">
      <c r="B86" s="146" t="s">
        <v>1880</v>
      </c>
      <c r="C86" s="147">
        <v>492564</v>
      </c>
    </row>
    <row r="87" spans="2:3" ht="15">
      <c r="B87" s="144" t="s">
        <v>1886</v>
      </c>
      <c r="C87" s="145">
        <v>478121</v>
      </c>
    </row>
    <row r="88" spans="2:3" ht="15">
      <c r="B88" s="146" t="s">
        <v>129</v>
      </c>
      <c r="C88" s="147">
        <v>454260</v>
      </c>
    </row>
    <row r="89" spans="2:3" ht="15">
      <c r="B89" s="144" t="s">
        <v>197</v>
      </c>
      <c r="C89" s="145">
        <v>454178</v>
      </c>
    </row>
    <row r="90" spans="2:3" ht="15">
      <c r="B90" s="146" t="s">
        <v>110</v>
      </c>
      <c r="C90" s="147">
        <v>431677</v>
      </c>
    </row>
    <row r="91" spans="2:3" ht="15">
      <c r="B91" s="144" t="s">
        <v>1888</v>
      </c>
      <c r="C91" s="145">
        <v>381299</v>
      </c>
    </row>
    <row r="92" spans="2:3" ht="15">
      <c r="B92" s="146" t="s">
        <v>1892</v>
      </c>
      <c r="C92" s="147">
        <v>300885</v>
      </c>
    </row>
    <row r="93" spans="2:3" ht="15">
      <c r="B93" s="144" t="s">
        <v>160</v>
      </c>
      <c r="C93" s="145">
        <v>289117</v>
      </c>
    </row>
    <row r="94" spans="2:3" ht="15">
      <c r="B94" s="146" t="s">
        <v>83</v>
      </c>
      <c r="C94" s="147">
        <v>283232</v>
      </c>
    </row>
    <row r="95" spans="2:3" ht="15">
      <c r="B95" s="144" t="s">
        <v>90</v>
      </c>
      <c r="C95" s="145">
        <v>272946</v>
      </c>
    </row>
    <row r="96" spans="2:3" ht="15">
      <c r="B96" s="146" t="s">
        <v>109</v>
      </c>
      <c r="C96" s="147">
        <v>257039</v>
      </c>
    </row>
    <row r="97" spans="2:3" ht="15">
      <c r="B97" s="144" t="s">
        <v>134</v>
      </c>
      <c r="C97" s="145">
        <v>223321</v>
      </c>
    </row>
    <row r="98" spans="2:3" ht="15">
      <c r="B98" s="146" t="s">
        <v>2488</v>
      </c>
      <c r="C98" s="147">
        <v>204974</v>
      </c>
    </row>
    <row r="99" spans="2:3" ht="15">
      <c r="B99" s="144" t="s">
        <v>1887</v>
      </c>
      <c r="C99" s="145">
        <v>185598</v>
      </c>
    </row>
    <row r="100" spans="2:3" ht="15">
      <c r="B100" s="146" t="s">
        <v>1884</v>
      </c>
      <c r="C100" s="147">
        <v>174442</v>
      </c>
    </row>
    <row r="101" spans="2:3" ht="15">
      <c r="B101" s="144" t="s">
        <v>1916</v>
      </c>
      <c r="C101" s="145">
        <v>163525</v>
      </c>
    </row>
    <row r="102" spans="2:3" ht="15">
      <c r="B102" s="146" t="s">
        <v>107</v>
      </c>
      <c r="C102" s="147">
        <v>149513</v>
      </c>
    </row>
    <row r="103" spans="2:3" ht="15">
      <c r="B103" s="144" t="s">
        <v>114</v>
      </c>
      <c r="C103" s="145">
        <v>149455</v>
      </c>
    </row>
    <row r="104" spans="2:3" ht="15">
      <c r="B104" s="146" t="s">
        <v>2071</v>
      </c>
      <c r="C104" s="147">
        <v>140491</v>
      </c>
    </row>
    <row r="105" spans="2:3" ht="15">
      <c r="B105" s="144" t="s">
        <v>119</v>
      </c>
      <c r="C105" s="145">
        <v>139788</v>
      </c>
    </row>
    <row r="106" spans="2:3" ht="15">
      <c r="B106" s="146" t="s">
        <v>1891</v>
      </c>
      <c r="C106" s="147">
        <v>135015</v>
      </c>
    </row>
    <row r="107" spans="2:3" ht="15">
      <c r="B107" s="144" t="s">
        <v>184</v>
      </c>
      <c r="C107" s="145">
        <v>126937</v>
      </c>
    </row>
    <row r="108" spans="2:3" ht="15">
      <c r="B108" s="146" t="s">
        <v>1901</v>
      </c>
      <c r="C108" s="147">
        <v>126806</v>
      </c>
    </row>
    <row r="109" spans="2:3" ht="15">
      <c r="B109" s="144" t="s">
        <v>145</v>
      </c>
      <c r="C109" s="145">
        <v>117368</v>
      </c>
    </row>
    <row r="110" spans="2:3" ht="15">
      <c r="B110" s="146" t="s">
        <v>116</v>
      </c>
      <c r="C110" s="147">
        <v>115992</v>
      </c>
    </row>
    <row r="111" spans="2:3" ht="15">
      <c r="B111" s="144" t="s">
        <v>1896</v>
      </c>
      <c r="C111" s="145">
        <v>95212</v>
      </c>
    </row>
    <row r="112" spans="2:3" ht="15">
      <c r="B112" s="146" t="s">
        <v>375</v>
      </c>
      <c r="C112" s="147">
        <v>84132</v>
      </c>
    </row>
    <row r="113" spans="2:3" ht="15">
      <c r="B113" s="144" t="s">
        <v>140</v>
      </c>
      <c r="C113" s="145">
        <v>82158</v>
      </c>
    </row>
    <row r="114" spans="2:3" ht="15">
      <c r="B114" s="146" t="s">
        <v>172</v>
      </c>
      <c r="C114" s="147">
        <v>80677</v>
      </c>
    </row>
    <row r="115" spans="2:3" ht="15">
      <c r="B115" s="144" t="s">
        <v>1898</v>
      </c>
      <c r="C115" s="145">
        <v>75126</v>
      </c>
    </row>
    <row r="116" spans="2:3" ht="15">
      <c r="B116" s="146" t="s">
        <v>1907</v>
      </c>
      <c r="C116" s="147">
        <v>62599</v>
      </c>
    </row>
    <row r="117" spans="2:3" ht="15">
      <c r="B117" s="144" t="s">
        <v>1903</v>
      </c>
      <c r="C117" s="145">
        <v>62578</v>
      </c>
    </row>
    <row r="118" spans="2:3" ht="15">
      <c r="B118" s="146" t="s">
        <v>1905</v>
      </c>
      <c r="C118" s="147">
        <v>59548</v>
      </c>
    </row>
    <row r="119" spans="2:3" ht="15">
      <c r="B119" s="144" t="s">
        <v>527</v>
      </c>
      <c r="C119" s="145">
        <v>59014</v>
      </c>
    </row>
    <row r="120" spans="2:3" ht="15">
      <c r="B120" s="146" t="s">
        <v>1927</v>
      </c>
      <c r="C120" s="147">
        <v>57775</v>
      </c>
    </row>
    <row r="121" spans="2:3" ht="15">
      <c r="B121" s="144" t="s">
        <v>1932</v>
      </c>
      <c r="C121" s="145">
        <v>54511</v>
      </c>
    </row>
    <row r="122" spans="2:3" ht="15">
      <c r="B122" s="146" t="s">
        <v>1931</v>
      </c>
      <c r="C122" s="147">
        <v>50701</v>
      </c>
    </row>
    <row r="123" spans="2:3" ht="15">
      <c r="B123" s="144" t="s">
        <v>1979</v>
      </c>
      <c r="C123" s="145">
        <v>50538</v>
      </c>
    </row>
    <row r="124" spans="2:3" ht="15">
      <c r="B124" s="146" t="s">
        <v>1915</v>
      </c>
      <c r="C124" s="147">
        <v>50203</v>
      </c>
    </row>
    <row r="125" spans="2:3" ht="15">
      <c r="B125" s="144" t="s">
        <v>1937</v>
      </c>
      <c r="C125" s="145">
        <v>49911</v>
      </c>
    </row>
    <row r="126" spans="2:3" ht="15">
      <c r="B126" s="146" t="s">
        <v>142</v>
      </c>
      <c r="C126" s="147">
        <v>47740</v>
      </c>
    </row>
    <row r="127" spans="2:3" ht="15">
      <c r="B127" s="144" t="s">
        <v>1895</v>
      </c>
      <c r="C127" s="145">
        <v>46253</v>
      </c>
    </row>
    <row r="128" spans="2:3" ht="15">
      <c r="B128" s="146" t="s">
        <v>1911</v>
      </c>
      <c r="C128" s="147">
        <v>44112</v>
      </c>
    </row>
    <row r="129" spans="2:3" ht="15">
      <c r="B129" s="144" t="s">
        <v>1928</v>
      </c>
      <c r="C129" s="145">
        <v>42785</v>
      </c>
    </row>
    <row r="130" spans="2:3" ht="15">
      <c r="B130" s="146" t="s">
        <v>1942</v>
      </c>
      <c r="C130" s="147">
        <v>35947</v>
      </c>
    </row>
    <row r="131" spans="2:3" ht="15">
      <c r="B131" s="144" t="s">
        <v>1908</v>
      </c>
      <c r="C131" s="145">
        <v>32607</v>
      </c>
    </row>
    <row r="132" spans="2:3" ht="15">
      <c r="B132" s="146" t="s">
        <v>1946</v>
      </c>
      <c r="C132" s="147">
        <v>31101</v>
      </c>
    </row>
    <row r="133" spans="2:3" ht="15">
      <c r="B133" s="144" t="s">
        <v>1926</v>
      </c>
      <c r="C133" s="145">
        <v>30346</v>
      </c>
    </row>
    <row r="134" spans="2:3" ht="15">
      <c r="B134" s="146" t="s">
        <v>1951</v>
      </c>
      <c r="C134" s="147">
        <v>29434</v>
      </c>
    </row>
    <row r="135" spans="2:3" ht="15">
      <c r="B135" s="144" t="s">
        <v>1978</v>
      </c>
      <c r="C135" s="145">
        <v>28929</v>
      </c>
    </row>
    <row r="136" spans="2:3" ht="15">
      <c r="B136" s="146" t="s">
        <v>1948</v>
      </c>
      <c r="C136" s="147">
        <v>28827</v>
      </c>
    </row>
    <row r="137" spans="2:3" ht="15">
      <c r="B137" s="144" t="s">
        <v>1929</v>
      </c>
      <c r="C137" s="145">
        <v>28206</v>
      </c>
    </row>
    <row r="138" spans="2:3" ht="15">
      <c r="B138" s="146" t="s">
        <v>1958</v>
      </c>
      <c r="C138" s="147">
        <v>27919</v>
      </c>
    </row>
    <row r="139" spans="2:3" ht="15">
      <c r="B139" s="144" t="s">
        <v>1902</v>
      </c>
      <c r="C139" s="145">
        <v>27369</v>
      </c>
    </row>
    <row r="140" spans="2:3" ht="15">
      <c r="B140" s="146" t="s">
        <v>1959</v>
      </c>
      <c r="C140" s="147">
        <v>26388</v>
      </c>
    </row>
    <row r="141" spans="2:3" ht="15">
      <c r="B141" s="144" t="s">
        <v>1934</v>
      </c>
      <c r="C141" s="145">
        <v>24336</v>
      </c>
    </row>
    <row r="142" spans="2:3" ht="15">
      <c r="B142" s="146" t="s">
        <v>1930</v>
      </c>
      <c r="C142" s="147">
        <v>24332</v>
      </c>
    </row>
    <row r="143" spans="2:3" ht="15">
      <c r="B143" s="144" t="s">
        <v>1889</v>
      </c>
      <c r="C143" s="145">
        <v>23810</v>
      </c>
    </row>
    <row r="144" spans="2:3" ht="15">
      <c r="B144" s="146" t="s">
        <v>1933</v>
      </c>
      <c r="C144" s="147">
        <v>20543</v>
      </c>
    </row>
    <row r="145" spans="2:3" ht="15">
      <c r="B145" s="144" t="s">
        <v>2005</v>
      </c>
      <c r="C145" s="145">
        <v>19302</v>
      </c>
    </row>
    <row r="146" spans="2:3" ht="15">
      <c r="B146" s="146" t="s">
        <v>1917</v>
      </c>
      <c r="C146" s="147">
        <v>18496</v>
      </c>
    </row>
    <row r="147" spans="2:3" ht="15">
      <c r="B147" s="144" t="s">
        <v>1912</v>
      </c>
      <c r="C147" s="145">
        <v>17343</v>
      </c>
    </row>
    <row r="148" spans="2:3" ht="15">
      <c r="B148" s="146" t="s">
        <v>488</v>
      </c>
      <c r="C148" s="147">
        <v>17123</v>
      </c>
    </row>
    <row r="149" spans="2:3" ht="15">
      <c r="B149" s="144" t="s">
        <v>1925</v>
      </c>
      <c r="C149" s="145">
        <v>17068</v>
      </c>
    </row>
    <row r="150" spans="2:3" ht="15">
      <c r="B150" s="146" t="s">
        <v>2104</v>
      </c>
      <c r="C150" s="147">
        <v>16321</v>
      </c>
    </row>
    <row r="151" spans="2:3" ht="15">
      <c r="B151" s="144" t="s">
        <v>1956</v>
      </c>
      <c r="C151" s="145">
        <v>16255</v>
      </c>
    </row>
    <row r="152" spans="2:3" ht="15">
      <c r="B152" s="146" t="s">
        <v>1980</v>
      </c>
      <c r="C152" s="147">
        <v>15293</v>
      </c>
    </row>
    <row r="153" spans="2:3" ht="15">
      <c r="B153" s="144" t="s">
        <v>242</v>
      </c>
      <c r="C153" s="145">
        <v>14915</v>
      </c>
    </row>
    <row r="154" spans="2:3" ht="15">
      <c r="B154" s="146" t="s">
        <v>1952</v>
      </c>
      <c r="C154" s="147">
        <v>14590</v>
      </c>
    </row>
    <row r="155" spans="2:3" ht="15">
      <c r="B155" s="144" t="s">
        <v>1981</v>
      </c>
      <c r="C155" s="145">
        <v>14352</v>
      </c>
    </row>
    <row r="156" spans="2:3" ht="15">
      <c r="B156" s="146" t="s">
        <v>1919</v>
      </c>
      <c r="C156" s="147">
        <v>13665</v>
      </c>
    </row>
    <row r="157" spans="2:3" ht="15">
      <c r="B157" s="144" t="s">
        <v>1957</v>
      </c>
      <c r="C157" s="145">
        <v>13323</v>
      </c>
    </row>
    <row r="158" spans="2:3" ht="15">
      <c r="B158" s="146" t="s">
        <v>1986</v>
      </c>
      <c r="C158" s="147">
        <v>12364</v>
      </c>
    </row>
    <row r="159" spans="2:3" ht="15">
      <c r="B159" s="144" t="s">
        <v>1963</v>
      </c>
      <c r="C159" s="145">
        <v>11885</v>
      </c>
    </row>
    <row r="160" spans="2:3" ht="15">
      <c r="B160" s="146" t="s">
        <v>1954</v>
      </c>
      <c r="C160" s="147">
        <v>11825</v>
      </c>
    </row>
    <row r="161" spans="2:3" ht="15">
      <c r="B161" s="144" t="s">
        <v>1972</v>
      </c>
      <c r="C161" s="145">
        <v>11748</v>
      </c>
    </row>
    <row r="162" spans="2:3" ht="15">
      <c r="B162" s="146" t="s">
        <v>1989</v>
      </c>
      <c r="C162" s="147">
        <v>11064</v>
      </c>
    </row>
    <row r="163" spans="2:3" ht="15">
      <c r="B163" s="144" t="s">
        <v>1990</v>
      </c>
      <c r="C163" s="145">
        <v>10926</v>
      </c>
    </row>
    <row r="164" spans="2:3" ht="15">
      <c r="B164" s="146" t="s">
        <v>1922</v>
      </c>
      <c r="C164" s="147">
        <v>10846</v>
      </c>
    </row>
    <row r="165" spans="2:3" ht="15">
      <c r="B165" s="144" t="s">
        <v>1971</v>
      </c>
      <c r="C165" s="145">
        <v>10362</v>
      </c>
    </row>
    <row r="166" spans="2:3" ht="15">
      <c r="B166" s="146" t="s">
        <v>1970</v>
      </c>
      <c r="C166" s="147">
        <v>10263</v>
      </c>
    </row>
    <row r="167" spans="2:3" ht="15">
      <c r="B167" s="144" t="s">
        <v>1975</v>
      </c>
      <c r="C167" s="145">
        <v>9992</v>
      </c>
    </row>
    <row r="168" spans="2:3" ht="15">
      <c r="B168" s="146" t="s">
        <v>1095</v>
      </c>
      <c r="C168" s="147">
        <v>8949</v>
      </c>
    </row>
    <row r="169" spans="2:3" ht="15">
      <c r="B169" s="144" t="s">
        <v>2003</v>
      </c>
      <c r="C169" s="145">
        <v>8636</v>
      </c>
    </row>
    <row r="170" spans="2:3" ht="15">
      <c r="B170" s="146" t="s">
        <v>1955</v>
      </c>
      <c r="C170" s="147">
        <v>8601</v>
      </c>
    </row>
    <row r="171" spans="2:3" ht="15">
      <c r="B171" s="144" t="s">
        <v>1976</v>
      </c>
      <c r="C171" s="145">
        <v>8563</v>
      </c>
    </row>
    <row r="172" spans="2:3" ht="15">
      <c r="B172" s="146" t="s">
        <v>301</v>
      </c>
      <c r="C172" s="147">
        <v>8491</v>
      </c>
    </row>
    <row r="173" spans="2:3" ht="15">
      <c r="B173" s="144" t="s">
        <v>195</v>
      </c>
      <c r="C173" s="145">
        <v>8474</v>
      </c>
    </row>
    <row r="174" spans="2:3" ht="15">
      <c r="B174" s="146" t="s">
        <v>2000</v>
      </c>
      <c r="C174" s="147">
        <v>7556</v>
      </c>
    </row>
    <row r="175" spans="2:3" ht="15">
      <c r="B175" s="144" t="s">
        <v>2009</v>
      </c>
      <c r="C175" s="145">
        <v>7194</v>
      </c>
    </row>
    <row r="176" spans="2:3" ht="15">
      <c r="B176" s="146" t="s">
        <v>1974</v>
      </c>
      <c r="C176" s="147">
        <v>6650</v>
      </c>
    </row>
    <row r="177" spans="2:3" ht="15">
      <c r="B177" s="144" t="s">
        <v>2015</v>
      </c>
      <c r="C177" s="145">
        <v>6567</v>
      </c>
    </row>
    <row r="178" spans="2:3" ht="15">
      <c r="B178" s="146" t="s">
        <v>473</v>
      </c>
      <c r="C178" s="147">
        <v>6450</v>
      </c>
    </row>
    <row r="179" spans="2:3" ht="15">
      <c r="B179" s="144" t="s">
        <v>2058</v>
      </c>
      <c r="C179" s="145">
        <v>6115</v>
      </c>
    </row>
    <row r="180" spans="2:3" ht="15">
      <c r="B180" s="146" t="s">
        <v>306</v>
      </c>
      <c r="C180" s="147">
        <v>6080</v>
      </c>
    </row>
    <row r="181" spans="2:3" ht="15">
      <c r="B181" s="144" t="s">
        <v>1938</v>
      </c>
      <c r="C181" s="145">
        <v>5847</v>
      </c>
    </row>
    <row r="182" spans="2:3" ht="15">
      <c r="B182" s="146" t="s">
        <v>1995</v>
      </c>
      <c r="C182" s="147">
        <v>5014</v>
      </c>
    </row>
    <row r="183" spans="2:3" ht="15">
      <c r="B183" s="144" t="s">
        <v>275</v>
      </c>
      <c r="C183" s="145">
        <v>4613</v>
      </c>
    </row>
    <row r="184" spans="2:3" ht="15">
      <c r="B184" s="146" t="s">
        <v>1999</v>
      </c>
      <c r="C184" s="147">
        <v>4574</v>
      </c>
    </row>
    <row r="185" spans="2:3" ht="15">
      <c r="B185" s="144" t="s">
        <v>265</v>
      </c>
      <c r="C185" s="145">
        <v>4529</v>
      </c>
    </row>
    <row r="186" spans="2:3" ht="15">
      <c r="B186" s="146" t="s">
        <v>2001</v>
      </c>
      <c r="C186" s="147">
        <v>4441</v>
      </c>
    </row>
    <row r="187" spans="2:3" ht="15">
      <c r="B187" s="144" t="s">
        <v>178</v>
      </c>
      <c r="C187" s="145">
        <v>4441</v>
      </c>
    </row>
    <row r="188" spans="2:3" ht="15">
      <c r="B188" s="146" t="s">
        <v>390</v>
      </c>
      <c r="C188" s="147">
        <v>4272</v>
      </c>
    </row>
    <row r="189" spans="2:3" ht="15">
      <c r="B189" s="144" t="s">
        <v>2030</v>
      </c>
      <c r="C189" s="145">
        <v>4008</v>
      </c>
    </row>
    <row r="190" spans="2:3" ht="15">
      <c r="B190" s="146" t="s">
        <v>1982</v>
      </c>
      <c r="C190" s="147">
        <v>3913</v>
      </c>
    </row>
    <row r="191" spans="2:3" ht="15">
      <c r="B191" s="144" t="s">
        <v>1943</v>
      </c>
      <c r="C191" s="145">
        <v>3742</v>
      </c>
    </row>
    <row r="192" spans="2:3" ht="15">
      <c r="B192" s="146" t="s">
        <v>284</v>
      </c>
      <c r="C192" s="147">
        <v>3656</v>
      </c>
    </row>
    <row r="193" spans="2:3" ht="15">
      <c r="B193" s="144" t="s">
        <v>295</v>
      </c>
      <c r="C193" s="145">
        <v>3629</v>
      </c>
    </row>
    <row r="194" spans="2:3" ht="15">
      <c r="B194" s="146" t="s">
        <v>2012</v>
      </c>
      <c r="C194" s="147">
        <v>3546</v>
      </c>
    </row>
    <row r="195" spans="2:3" ht="15">
      <c r="B195" s="144" t="s">
        <v>2040</v>
      </c>
      <c r="C195" s="145">
        <v>3407</v>
      </c>
    </row>
    <row r="196" spans="2:3" ht="15">
      <c r="B196" s="146" t="s">
        <v>2035</v>
      </c>
      <c r="C196" s="147">
        <v>3383</v>
      </c>
    </row>
    <row r="197" spans="2:3" ht="15">
      <c r="B197" s="144" t="s">
        <v>2029</v>
      </c>
      <c r="C197" s="145">
        <v>3305</v>
      </c>
    </row>
    <row r="198" spans="2:3" ht="15">
      <c r="B198" s="146" t="s">
        <v>247</v>
      </c>
      <c r="C198" s="147">
        <v>3303</v>
      </c>
    </row>
    <row r="199" spans="2:3" ht="15">
      <c r="B199" s="144" t="s">
        <v>2041</v>
      </c>
      <c r="C199" s="145">
        <v>3248</v>
      </c>
    </row>
    <row r="200" spans="2:3" ht="15">
      <c r="B200" s="146" t="s">
        <v>2028</v>
      </c>
      <c r="C200" s="147">
        <v>2914</v>
      </c>
    </row>
    <row r="201" spans="2:3" ht="15">
      <c r="B201" s="144" t="s">
        <v>2045</v>
      </c>
      <c r="C201" s="145">
        <v>2894</v>
      </c>
    </row>
    <row r="202" spans="2:3" ht="15">
      <c r="B202" s="146" t="s">
        <v>2046</v>
      </c>
      <c r="C202" s="147">
        <v>2798</v>
      </c>
    </row>
    <row r="203" spans="2:3" ht="15">
      <c r="B203" s="144" t="s">
        <v>2047</v>
      </c>
      <c r="C203" s="145">
        <v>2767</v>
      </c>
    </row>
    <row r="204" spans="2:3" ht="15">
      <c r="B204" s="146" t="s">
        <v>164</v>
      </c>
      <c r="C204" s="147">
        <v>2591</v>
      </c>
    </row>
    <row r="205" spans="2:3" ht="15">
      <c r="B205" s="144" t="s">
        <v>123</v>
      </c>
      <c r="C205" s="145">
        <v>2591</v>
      </c>
    </row>
    <row r="206" spans="2:3" ht="15">
      <c r="B206" s="146" t="s">
        <v>2049</v>
      </c>
      <c r="C206" s="147">
        <v>2591</v>
      </c>
    </row>
    <row r="207" spans="2:3" ht="15">
      <c r="B207" s="144" t="s">
        <v>148</v>
      </c>
      <c r="C207" s="145">
        <v>2554</v>
      </c>
    </row>
    <row r="208" spans="2:3" ht="15">
      <c r="B208" s="146" t="s">
        <v>2027</v>
      </c>
      <c r="C208" s="147">
        <v>2410</v>
      </c>
    </row>
    <row r="209" spans="2:3" ht="15">
      <c r="B209" s="144" t="s">
        <v>58</v>
      </c>
      <c r="C209" s="145">
        <v>2400</v>
      </c>
    </row>
    <row r="210" spans="2:3" ht="15">
      <c r="B210" s="146" t="s">
        <v>2019</v>
      </c>
      <c r="C210" s="147">
        <v>2386</v>
      </c>
    </row>
    <row r="211" spans="2:3" ht="15">
      <c r="B211" s="144" t="s">
        <v>224</v>
      </c>
      <c r="C211" s="145">
        <v>2348</v>
      </c>
    </row>
    <row r="212" spans="2:3" ht="15">
      <c r="B212" s="146" t="s">
        <v>2024</v>
      </c>
      <c r="C212" s="147">
        <v>2320</v>
      </c>
    </row>
    <row r="213" spans="2:3" ht="15">
      <c r="B213" s="144" t="s">
        <v>2050</v>
      </c>
      <c r="C213" s="145">
        <v>2213</v>
      </c>
    </row>
    <row r="214" spans="2:3" ht="15">
      <c r="B214" s="146" t="s">
        <v>323</v>
      </c>
      <c r="C214" s="147">
        <v>2016</v>
      </c>
    </row>
    <row r="215" spans="2:3" ht="15">
      <c r="B215" s="144" t="s">
        <v>2052</v>
      </c>
      <c r="C215" s="145">
        <v>1921</v>
      </c>
    </row>
    <row r="216" spans="2:3" ht="15">
      <c r="B216" s="146" t="s">
        <v>2053</v>
      </c>
      <c r="C216" s="147">
        <v>1901</v>
      </c>
    </row>
    <row r="217" spans="2:3" ht="15">
      <c r="B217" s="144" t="s">
        <v>2033</v>
      </c>
      <c r="C217" s="145">
        <v>1888</v>
      </c>
    </row>
    <row r="218" spans="2:3" ht="15">
      <c r="B218" s="146" t="s">
        <v>2054</v>
      </c>
      <c r="C218" s="147">
        <v>1802</v>
      </c>
    </row>
    <row r="219" spans="2:3" ht="15">
      <c r="B219" s="144" t="s">
        <v>2055</v>
      </c>
      <c r="C219" s="145">
        <v>1687</v>
      </c>
    </row>
    <row r="220" spans="2:3" ht="15">
      <c r="B220" s="146" t="s">
        <v>1909</v>
      </c>
      <c r="C220" s="147">
        <v>1608</v>
      </c>
    </row>
    <row r="221" spans="2:3" ht="15">
      <c r="B221" s="144" t="s">
        <v>2056</v>
      </c>
      <c r="C221" s="145">
        <v>1532</v>
      </c>
    </row>
    <row r="222" spans="2:3" ht="15">
      <c r="B222" s="146" t="s">
        <v>2057</v>
      </c>
      <c r="C222" s="147">
        <v>1507</v>
      </c>
    </row>
    <row r="223" spans="2:3" ht="15">
      <c r="B223" s="144" t="s">
        <v>157</v>
      </c>
      <c r="C223" s="145">
        <v>1480</v>
      </c>
    </row>
    <row r="224" spans="2:3" ht="15">
      <c r="B224" s="146" t="s">
        <v>2010</v>
      </c>
      <c r="C224" s="147">
        <v>1415</v>
      </c>
    </row>
    <row r="225" spans="2:3" ht="15">
      <c r="B225" s="144" t="s">
        <v>2048</v>
      </c>
      <c r="C225" s="145">
        <v>1331</v>
      </c>
    </row>
    <row r="226" spans="2:3" ht="15">
      <c r="B226" s="146" t="s">
        <v>2059</v>
      </c>
      <c r="C226" s="147">
        <v>1329</v>
      </c>
    </row>
    <row r="227" spans="2:3" ht="15">
      <c r="B227" s="144" t="s">
        <v>2060</v>
      </c>
      <c r="C227" s="145">
        <v>1283</v>
      </c>
    </row>
    <row r="228" spans="2:3" ht="15">
      <c r="B228" s="146" t="s">
        <v>2061</v>
      </c>
      <c r="C228" s="147">
        <v>1240</v>
      </c>
    </row>
    <row r="229" spans="2:3" ht="15">
      <c r="B229" s="144" t="s">
        <v>221</v>
      </c>
      <c r="C229" s="145">
        <v>1216</v>
      </c>
    </row>
    <row r="230" spans="2:3" ht="15">
      <c r="B230" s="146" t="s">
        <v>314</v>
      </c>
      <c r="C230" s="147">
        <v>1209</v>
      </c>
    </row>
    <row r="231" spans="2:3" ht="15">
      <c r="B231" s="144" t="s">
        <v>1983</v>
      </c>
      <c r="C231" s="145">
        <v>1193</v>
      </c>
    </row>
    <row r="232" spans="2:3" ht="15">
      <c r="B232" s="146" t="s">
        <v>2008</v>
      </c>
      <c r="C232" s="147">
        <v>1192</v>
      </c>
    </row>
    <row r="233" spans="2:3" ht="15">
      <c r="B233" s="144" t="s">
        <v>1914</v>
      </c>
      <c r="C233" s="145">
        <v>1176</v>
      </c>
    </row>
    <row r="234" spans="2:3" ht="15">
      <c r="B234" s="146" t="s">
        <v>286</v>
      </c>
      <c r="C234" s="147">
        <v>1148</v>
      </c>
    </row>
    <row r="235" spans="2:3" ht="15">
      <c r="B235" s="144" t="s">
        <v>297</v>
      </c>
      <c r="C235" s="145">
        <v>1142</v>
      </c>
    </row>
    <row r="236" spans="2:3" ht="15">
      <c r="B236" s="146" t="s">
        <v>2006</v>
      </c>
      <c r="C236" s="147">
        <v>1016</v>
      </c>
    </row>
    <row r="237" spans="2:3" ht="15">
      <c r="B237" s="144" t="s">
        <v>217</v>
      </c>
      <c r="C237" s="145">
        <v>1006</v>
      </c>
    </row>
    <row r="238" spans="2:3" ht="15">
      <c r="B238" s="146" t="s">
        <v>276</v>
      </c>
      <c r="C238" s="147">
        <v>987</v>
      </c>
    </row>
    <row r="239" spans="2:3" ht="15">
      <c r="B239" s="144" t="s">
        <v>237</v>
      </c>
      <c r="C239" s="145">
        <v>987</v>
      </c>
    </row>
    <row r="240" spans="2:3" ht="15">
      <c r="B240" s="146" t="s">
        <v>1985</v>
      </c>
      <c r="C240" s="147">
        <v>977</v>
      </c>
    </row>
    <row r="241" spans="2:3" ht="15">
      <c r="B241" s="144" t="s">
        <v>1961</v>
      </c>
      <c r="C241" s="145">
        <v>892</v>
      </c>
    </row>
    <row r="242" spans="2:3" ht="15">
      <c r="B242" s="146" t="s">
        <v>1969</v>
      </c>
      <c r="C242" s="147">
        <v>888</v>
      </c>
    </row>
    <row r="243" spans="2:3" ht="15">
      <c r="B243" s="144" t="s">
        <v>2068</v>
      </c>
      <c r="C243" s="145">
        <v>849</v>
      </c>
    </row>
    <row r="244" spans="2:3" ht="15">
      <c r="B244" s="146" t="s">
        <v>2069</v>
      </c>
      <c r="C244" s="147">
        <v>848</v>
      </c>
    </row>
    <row r="245" spans="2:3" ht="15">
      <c r="B245" s="144" t="s">
        <v>272</v>
      </c>
      <c r="C245" s="145">
        <v>758</v>
      </c>
    </row>
    <row r="246" spans="2:3" ht="15">
      <c r="B246" s="146" t="s">
        <v>267</v>
      </c>
      <c r="C246" s="147">
        <v>741</v>
      </c>
    </row>
    <row r="247" spans="2:3" ht="15">
      <c r="B247" s="144" t="s">
        <v>2074</v>
      </c>
      <c r="C247" s="145">
        <v>716</v>
      </c>
    </row>
    <row r="248" spans="2:3" ht="15">
      <c r="B248" s="146" t="s">
        <v>2044</v>
      </c>
      <c r="C248" s="147">
        <v>703</v>
      </c>
    </row>
    <row r="249" spans="2:3" ht="15">
      <c r="B249" s="144" t="s">
        <v>2075</v>
      </c>
      <c r="C249" s="145">
        <v>669</v>
      </c>
    </row>
    <row r="250" spans="2:3" ht="15">
      <c r="B250" s="146" t="s">
        <v>2076</v>
      </c>
      <c r="C250" s="147">
        <v>625</v>
      </c>
    </row>
    <row r="251" spans="2:3" ht="15">
      <c r="B251" s="144" t="s">
        <v>303</v>
      </c>
      <c r="C251" s="145">
        <v>620</v>
      </c>
    </row>
    <row r="252" spans="2:3" ht="15">
      <c r="B252" s="146" t="s">
        <v>2062</v>
      </c>
      <c r="C252" s="147">
        <v>619</v>
      </c>
    </row>
    <row r="253" spans="2:3" ht="15">
      <c r="B253" s="144" t="s">
        <v>2063</v>
      </c>
      <c r="C253" s="145">
        <v>609</v>
      </c>
    </row>
    <row r="254" spans="2:3" ht="15">
      <c r="B254" s="146" t="s">
        <v>503</v>
      </c>
      <c r="C254" s="147">
        <v>592</v>
      </c>
    </row>
    <row r="255" spans="2:3" ht="15">
      <c r="B255" s="144" t="s">
        <v>1996</v>
      </c>
      <c r="C255" s="145">
        <v>568</v>
      </c>
    </row>
    <row r="256" spans="2:3" ht="15">
      <c r="B256" s="146" t="s">
        <v>464</v>
      </c>
      <c r="C256" s="147">
        <v>562</v>
      </c>
    </row>
    <row r="257" spans="2:3" ht="15">
      <c r="B257" s="144" t="s">
        <v>313</v>
      </c>
      <c r="C257" s="145">
        <v>552</v>
      </c>
    </row>
    <row r="258" spans="2:3" ht="15">
      <c r="B258" s="146" t="s">
        <v>2064</v>
      </c>
      <c r="C258" s="147">
        <v>551</v>
      </c>
    </row>
    <row r="259" spans="2:3" ht="15">
      <c r="B259" s="144" t="s">
        <v>2002</v>
      </c>
      <c r="C259" s="145">
        <v>528</v>
      </c>
    </row>
    <row r="260" spans="2:3" ht="15">
      <c r="B260" s="146" t="s">
        <v>2065</v>
      </c>
      <c r="C260" s="147">
        <v>501</v>
      </c>
    </row>
    <row r="261" spans="2:3" ht="15">
      <c r="B261" s="144" t="s">
        <v>263</v>
      </c>
      <c r="C261" s="145">
        <v>467</v>
      </c>
    </row>
    <row r="262" spans="2:3" ht="15">
      <c r="B262" s="146" t="s">
        <v>2067</v>
      </c>
      <c r="C262" s="147">
        <v>458</v>
      </c>
    </row>
    <row r="263" spans="2:3" ht="15">
      <c r="B263" s="144" t="s">
        <v>274</v>
      </c>
      <c r="C263" s="145">
        <v>458</v>
      </c>
    </row>
    <row r="264" spans="2:3" ht="15">
      <c r="B264" s="146" t="s">
        <v>343</v>
      </c>
      <c r="C264" s="147">
        <v>434</v>
      </c>
    </row>
    <row r="265" spans="2:3" ht="15">
      <c r="B265" s="144" t="s">
        <v>248</v>
      </c>
      <c r="C265" s="145">
        <v>414</v>
      </c>
    </row>
    <row r="266" spans="2:3" ht="15">
      <c r="B266" s="146" t="s">
        <v>2089</v>
      </c>
      <c r="C266" s="147">
        <v>389</v>
      </c>
    </row>
    <row r="267" spans="2:3" ht="15">
      <c r="B267" s="144" t="s">
        <v>2105</v>
      </c>
      <c r="C267" s="145">
        <v>378</v>
      </c>
    </row>
    <row r="268" spans="2:3" ht="15">
      <c r="B268" s="146" t="s">
        <v>2021</v>
      </c>
      <c r="C268" s="147">
        <v>368</v>
      </c>
    </row>
    <row r="269" spans="2:3" ht="15">
      <c r="B269" s="144" t="s">
        <v>2072</v>
      </c>
      <c r="C269" s="145">
        <v>367</v>
      </c>
    </row>
    <row r="270" spans="2:3" ht="15">
      <c r="B270" s="146" t="s">
        <v>538</v>
      </c>
      <c r="C270" s="147">
        <v>357</v>
      </c>
    </row>
    <row r="271" spans="2:3" ht="15">
      <c r="B271" s="144" t="s">
        <v>293</v>
      </c>
      <c r="C271" s="145">
        <v>350</v>
      </c>
    </row>
    <row r="272" spans="2:3" ht="15">
      <c r="B272" s="146" t="s">
        <v>2091</v>
      </c>
      <c r="C272" s="147">
        <v>349</v>
      </c>
    </row>
    <row r="273" spans="2:3" ht="15">
      <c r="B273" s="144" t="s">
        <v>2051</v>
      </c>
      <c r="C273" s="145">
        <v>346</v>
      </c>
    </row>
    <row r="274" spans="2:3" ht="15">
      <c r="B274" s="146" t="s">
        <v>531</v>
      </c>
      <c r="C274" s="147">
        <v>342</v>
      </c>
    </row>
    <row r="275" spans="2:3" ht="15">
      <c r="B275" s="144" t="s">
        <v>1993</v>
      </c>
      <c r="C275" s="145">
        <v>321</v>
      </c>
    </row>
    <row r="276" spans="2:3" ht="15">
      <c r="B276" s="146" t="s">
        <v>1992</v>
      </c>
      <c r="C276" s="147">
        <v>313</v>
      </c>
    </row>
    <row r="277" spans="2:3" ht="15">
      <c r="B277" s="144" t="s">
        <v>2077</v>
      </c>
      <c r="C277" s="145">
        <v>302</v>
      </c>
    </row>
    <row r="278" spans="2:3" ht="15">
      <c r="B278" s="146" t="s">
        <v>2094</v>
      </c>
      <c r="C278" s="147">
        <v>299</v>
      </c>
    </row>
    <row r="279" spans="2:3" ht="15">
      <c r="B279" s="144" t="s">
        <v>2034</v>
      </c>
      <c r="C279" s="145">
        <v>296</v>
      </c>
    </row>
    <row r="280" spans="2:3" ht="15">
      <c r="B280" s="146" t="s">
        <v>2078</v>
      </c>
      <c r="C280" s="147">
        <v>286</v>
      </c>
    </row>
    <row r="281" spans="2:3" ht="15">
      <c r="B281" s="144" t="s">
        <v>305</v>
      </c>
      <c r="C281" s="145">
        <v>276</v>
      </c>
    </row>
    <row r="282" spans="2:3" ht="15">
      <c r="B282" s="146" t="s">
        <v>2080</v>
      </c>
      <c r="C282" s="147">
        <v>276</v>
      </c>
    </row>
    <row r="283" spans="2:3" ht="15">
      <c r="B283" s="144" t="s">
        <v>1984</v>
      </c>
      <c r="C283" s="145">
        <v>276</v>
      </c>
    </row>
    <row r="284" spans="2:3" ht="15">
      <c r="B284" s="146" t="s">
        <v>2079</v>
      </c>
      <c r="C284" s="147">
        <v>276</v>
      </c>
    </row>
    <row r="285" spans="2:3" ht="15">
      <c r="B285" s="144" t="s">
        <v>2081</v>
      </c>
      <c r="C285" s="145">
        <v>275</v>
      </c>
    </row>
    <row r="286" spans="2:3" ht="15">
      <c r="B286" s="146" t="s">
        <v>331</v>
      </c>
      <c r="C286" s="147">
        <v>275</v>
      </c>
    </row>
    <row r="287" spans="2:3" ht="15">
      <c r="B287" s="144" t="s">
        <v>2082</v>
      </c>
      <c r="C287" s="145">
        <v>272</v>
      </c>
    </row>
    <row r="288" spans="2:3" ht="15">
      <c r="B288" s="146" t="s">
        <v>2097</v>
      </c>
      <c r="C288" s="147">
        <v>260</v>
      </c>
    </row>
    <row r="289" spans="2:3" ht="15">
      <c r="B289" s="144" t="s">
        <v>2099</v>
      </c>
      <c r="C289" s="145">
        <v>252</v>
      </c>
    </row>
    <row r="290" spans="2:3" ht="15">
      <c r="B290" s="146" t="s">
        <v>2083</v>
      </c>
      <c r="C290" s="147">
        <v>230</v>
      </c>
    </row>
    <row r="291" spans="2:3" ht="15">
      <c r="B291" s="144" t="s">
        <v>2085</v>
      </c>
      <c r="C291" s="145">
        <v>229</v>
      </c>
    </row>
    <row r="292" spans="2:3" ht="15">
      <c r="B292" s="146" t="s">
        <v>2084</v>
      </c>
      <c r="C292" s="147">
        <v>229</v>
      </c>
    </row>
    <row r="293" spans="2:3" ht="15">
      <c r="B293" s="144" t="s">
        <v>266</v>
      </c>
      <c r="C293" s="145">
        <v>229</v>
      </c>
    </row>
    <row r="294" spans="2:3" ht="15">
      <c r="B294" s="146" t="s">
        <v>1987</v>
      </c>
      <c r="C294" s="147">
        <v>219</v>
      </c>
    </row>
    <row r="295" spans="2:3" ht="15">
      <c r="B295" s="144" t="s">
        <v>1997</v>
      </c>
      <c r="C295" s="145">
        <v>212</v>
      </c>
    </row>
    <row r="296" spans="2:3" ht="15">
      <c r="B296" s="146" t="s">
        <v>2088</v>
      </c>
      <c r="C296" s="147">
        <v>207</v>
      </c>
    </row>
    <row r="297" spans="2:3" ht="15">
      <c r="B297" s="144" t="s">
        <v>2087</v>
      </c>
      <c r="C297" s="145">
        <v>207</v>
      </c>
    </row>
    <row r="298" spans="2:3" ht="15">
      <c r="B298" s="146" t="s">
        <v>2086</v>
      </c>
      <c r="C298" s="147">
        <v>207</v>
      </c>
    </row>
    <row r="299" spans="2:3" ht="15">
      <c r="B299" s="144" t="s">
        <v>2090</v>
      </c>
      <c r="C299" s="145">
        <v>184</v>
      </c>
    </row>
    <row r="300" spans="2:3" ht="15">
      <c r="B300" s="146" t="s">
        <v>2103</v>
      </c>
      <c r="C300" s="147">
        <v>184</v>
      </c>
    </row>
    <row r="301" spans="2:3" ht="15">
      <c r="B301" s="144" t="s">
        <v>250</v>
      </c>
      <c r="C301" s="145">
        <v>184</v>
      </c>
    </row>
    <row r="302" spans="2:3" ht="15">
      <c r="B302" s="146" t="s">
        <v>337</v>
      </c>
      <c r="C302" s="147">
        <v>178</v>
      </c>
    </row>
    <row r="303" spans="2:3" ht="15">
      <c r="B303" s="144" t="s">
        <v>2095</v>
      </c>
      <c r="C303" s="145">
        <v>139</v>
      </c>
    </row>
    <row r="304" spans="2:3" ht="15">
      <c r="B304" s="146" t="s">
        <v>279</v>
      </c>
      <c r="C304" s="147">
        <v>138</v>
      </c>
    </row>
    <row r="305" spans="2:3" ht="15">
      <c r="B305" s="144" t="s">
        <v>1988</v>
      </c>
      <c r="C305" s="145">
        <v>128</v>
      </c>
    </row>
    <row r="306" spans="2:3" ht="15">
      <c r="B306" s="146" t="s">
        <v>2117</v>
      </c>
      <c r="C306" s="147">
        <v>120</v>
      </c>
    </row>
    <row r="307" spans="2:3" ht="15">
      <c r="B307" s="144" t="s">
        <v>405</v>
      </c>
      <c r="C307" s="145">
        <v>117</v>
      </c>
    </row>
    <row r="308" spans="2:3" ht="15">
      <c r="B308" s="146" t="s">
        <v>2098</v>
      </c>
      <c r="C308" s="147">
        <v>115</v>
      </c>
    </row>
    <row r="309" spans="2:3" ht="15">
      <c r="B309" s="144" t="s">
        <v>332</v>
      </c>
      <c r="C309" s="145">
        <v>115</v>
      </c>
    </row>
    <row r="310" spans="2:3" ht="15">
      <c r="B310" s="146" t="s">
        <v>319</v>
      </c>
      <c r="C310" s="147">
        <v>107</v>
      </c>
    </row>
    <row r="311" spans="2:3" ht="15">
      <c r="B311" s="144" t="s">
        <v>318</v>
      </c>
      <c r="C311" s="145">
        <v>103</v>
      </c>
    </row>
    <row r="312" spans="2:3" ht="15">
      <c r="B312" s="146" t="s">
        <v>353</v>
      </c>
      <c r="C312" s="147">
        <v>98</v>
      </c>
    </row>
    <row r="313" spans="2:3" ht="15">
      <c r="B313" s="144" t="s">
        <v>2101</v>
      </c>
      <c r="C313" s="145">
        <v>98</v>
      </c>
    </row>
    <row r="314" spans="2:3" ht="15">
      <c r="B314" s="146" t="s">
        <v>290</v>
      </c>
      <c r="C314" s="147">
        <v>93</v>
      </c>
    </row>
    <row r="315" spans="2:3" ht="15">
      <c r="B315" s="144" t="s">
        <v>2102</v>
      </c>
      <c r="C315" s="145">
        <v>92</v>
      </c>
    </row>
    <row r="316" spans="2:3" ht="15">
      <c r="B316" s="146" t="s">
        <v>210</v>
      </c>
      <c r="C316" s="147">
        <v>85</v>
      </c>
    </row>
    <row r="317" spans="2:3" ht="15">
      <c r="B317" s="144" t="s">
        <v>358</v>
      </c>
      <c r="C317" s="145">
        <v>75</v>
      </c>
    </row>
    <row r="318" spans="2:3" ht="15">
      <c r="B318" s="146" t="s">
        <v>2115</v>
      </c>
      <c r="C318" s="147">
        <v>75</v>
      </c>
    </row>
    <row r="319" spans="2:3" ht="15">
      <c r="B319" s="144" t="s">
        <v>348</v>
      </c>
      <c r="C319" s="145">
        <v>64</v>
      </c>
    </row>
    <row r="320" spans="2:3" ht="15">
      <c r="B320" s="146" t="s">
        <v>2106</v>
      </c>
      <c r="C320" s="147">
        <v>62</v>
      </c>
    </row>
    <row r="321" spans="2:3" ht="15">
      <c r="B321" s="144" t="s">
        <v>2114</v>
      </c>
      <c r="C321" s="145">
        <v>61</v>
      </c>
    </row>
    <row r="322" spans="2:3" ht="15">
      <c r="B322" s="146" t="s">
        <v>2118</v>
      </c>
      <c r="C322" s="147">
        <v>60</v>
      </c>
    </row>
    <row r="323" spans="2:3" ht="15">
      <c r="B323" s="144" t="s">
        <v>2110</v>
      </c>
      <c r="C323" s="145">
        <v>47</v>
      </c>
    </row>
    <row r="324" spans="2:3" ht="15">
      <c r="B324" s="146" t="s">
        <v>469</v>
      </c>
      <c r="C324" s="147">
        <v>46</v>
      </c>
    </row>
    <row r="325" spans="2:3" ht="15">
      <c r="B325" s="144" t="s">
        <v>252</v>
      </c>
      <c r="C325" s="145">
        <v>46</v>
      </c>
    </row>
    <row r="326" spans="2:3" ht="15">
      <c r="B326" s="146" t="s">
        <v>2111</v>
      </c>
      <c r="C326" s="147">
        <v>46</v>
      </c>
    </row>
    <row r="327" spans="2:3" ht="15">
      <c r="B327" s="144" t="s">
        <v>2113</v>
      </c>
      <c r="C327" s="145">
        <v>44</v>
      </c>
    </row>
    <row r="328" spans="2:3" ht="15">
      <c r="B328" s="146" t="s">
        <v>361</v>
      </c>
      <c r="C328" s="147">
        <v>44</v>
      </c>
    </row>
    <row r="329" spans="2:3" ht="15">
      <c r="B329" s="144" t="s">
        <v>2112</v>
      </c>
      <c r="C329" s="145">
        <v>44</v>
      </c>
    </row>
    <row r="330" spans="2:3" ht="15">
      <c r="B330" s="146" t="s">
        <v>1910</v>
      </c>
      <c r="C330" s="147">
        <v>44</v>
      </c>
    </row>
    <row r="331" spans="2:3" ht="15">
      <c r="B331" s="144" t="s">
        <v>2116</v>
      </c>
      <c r="C331" s="145">
        <v>37</v>
      </c>
    </row>
    <row r="332" spans="2:3" ht="15">
      <c r="B332" s="146" t="s">
        <v>2093</v>
      </c>
      <c r="C332" s="147">
        <v>30</v>
      </c>
    </row>
    <row r="333" spans="2:3" ht="15">
      <c r="B333" s="144" t="s">
        <v>406</v>
      </c>
      <c r="C333" s="145">
        <v>21</v>
      </c>
    </row>
    <row r="334" spans="2:3" ht="15">
      <c r="B334" s="146" t="s">
        <v>414</v>
      </c>
      <c r="C334" s="147">
        <v>20</v>
      </c>
    </row>
    <row r="335" spans="2:3" ht="15">
      <c r="B335" s="144" t="s">
        <v>2120</v>
      </c>
      <c r="C335" s="145">
        <v>16</v>
      </c>
    </row>
    <row r="336" spans="2:3" ht="15">
      <c r="B336" s="146" t="s">
        <v>232</v>
      </c>
      <c r="C336" s="147">
        <v>15</v>
      </c>
    </row>
    <row r="337" spans="2:3" ht="15">
      <c r="B337" s="144" t="s">
        <v>2122</v>
      </c>
      <c r="C337" s="145">
        <v>11</v>
      </c>
    </row>
    <row r="338" spans="2:3" ht="15">
      <c r="B338" s="146" t="s">
        <v>2124</v>
      </c>
      <c r="C338" s="147">
        <v>9</v>
      </c>
    </row>
    <row r="339" spans="2:3" ht="15">
      <c r="B339" s="144" t="s">
        <v>2123</v>
      </c>
      <c r="C339" s="145">
        <v>9</v>
      </c>
    </row>
    <row r="340" spans="2:3" ht="15">
      <c r="B340" s="146" t="s">
        <v>2127</v>
      </c>
      <c r="C340" s="147">
        <v>9</v>
      </c>
    </row>
    <row r="341" spans="2:3" ht="15">
      <c r="B341" s="144" t="s">
        <v>2037</v>
      </c>
      <c r="C341" s="145">
        <v>8</v>
      </c>
    </row>
    <row r="342" spans="2:3" ht="15">
      <c r="B342" s="146" t="s">
        <v>432</v>
      </c>
      <c r="C342" s="147">
        <v>7</v>
      </c>
    </row>
    <row r="343" spans="2:3" ht="15">
      <c r="B343" s="144" t="s">
        <v>365</v>
      </c>
      <c r="C343" s="145">
        <v>4</v>
      </c>
    </row>
    <row r="344" spans="2:3" ht="15">
      <c r="B344" s="146" t="s">
        <v>2121</v>
      </c>
      <c r="C344" s="147">
        <v>3</v>
      </c>
    </row>
    <row r="345" spans="2:3" ht="15">
      <c r="B345" s="144" t="s">
        <v>2131</v>
      </c>
      <c r="C345" s="145">
        <v>2</v>
      </c>
    </row>
    <row r="346" spans="2:3">
      <c r="C346" s="217">
        <f>SUM(C5:C345)</f>
        <v>5291433903</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5"/>
  <dimension ref="A2:C29"/>
  <sheetViews>
    <sheetView zoomScale="80" zoomScaleNormal="80" workbookViewId="0">
      <selection activeCell="L37" sqref="L37"/>
    </sheetView>
  </sheetViews>
  <sheetFormatPr baseColWidth="10" defaultRowHeight="13.8"/>
  <cols>
    <col min="2" max="2" width="76" customWidth="1"/>
    <col min="3" max="3" width="15.296875" style="75" bestFit="1" customWidth="1"/>
  </cols>
  <sheetData>
    <row r="2" spans="1:3" ht="16.2">
      <c r="A2" s="10" t="s">
        <v>3816</v>
      </c>
      <c r="B2" s="141"/>
    </row>
    <row r="4" spans="1:3" ht="15">
      <c r="B4" s="225" t="s">
        <v>2135</v>
      </c>
      <c r="C4" s="226" t="s">
        <v>1828</v>
      </c>
    </row>
    <row r="5" spans="1:3" ht="15">
      <c r="B5" s="227" t="s">
        <v>2136</v>
      </c>
      <c r="C5" s="228">
        <v>2194990709</v>
      </c>
    </row>
    <row r="6" spans="1:3" ht="15">
      <c r="B6" s="229" t="s">
        <v>2137</v>
      </c>
      <c r="C6" s="230">
        <v>768922788</v>
      </c>
    </row>
    <row r="7" spans="1:3" ht="15">
      <c r="B7" s="227" t="s">
        <v>2138</v>
      </c>
      <c r="C7" s="228">
        <v>684893846</v>
      </c>
    </row>
    <row r="8" spans="1:3" ht="15">
      <c r="B8" s="229" t="s">
        <v>2140</v>
      </c>
      <c r="C8" s="230">
        <v>365316063</v>
      </c>
    </row>
    <row r="9" spans="1:3" ht="15">
      <c r="B9" s="227" t="s">
        <v>2141</v>
      </c>
      <c r="C9" s="228">
        <v>336802682</v>
      </c>
    </row>
    <row r="10" spans="1:3" ht="15">
      <c r="B10" s="229" t="s">
        <v>2142</v>
      </c>
      <c r="C10" s="230">
        <v>328228566</v>
      </c>
    </row>
    <row r="11" spans="1:3" ht="15">
      <c r="B11" s="227" t="s">
        <v>2144</v>
      </c>
      <c r="C11" s="228">
        <v>252290900</v>
      </c>
    </row>
    <row r="12" spans="1:3" ht="15">
      <c r="B12" s="229" t="s">
        <v>2145</v>
      </c>
      <c r="C12" s="230">
        <v>191444031</v>
      </c>
    </row>
    <row r="13" spans="1:3" ht="15">
      <c r="B13" s="227" t="s">
        <v>2153</v>
      </c>
      <c r="C13" s="228">
        <v>44670861</v>
      </c>
    </row>
    <row r="14" spans="1:3" ht="15">
      <c r="B14" s="229" t="s">
        <v>2158</v>
      </c>
      <c r="C14" s="230">
        <v>30030370</v>
      </c>
    </row>
    <row r="15" spans="1:3" ht="15">
      <c r="B15" s="227" t="s">
        <v>2156</v>
      </c>
      <c r="C15" s="228">
        <v>28257392</v>
      </c>
    </row>
    <row r="16" spans="1:3" ht="15">
      <c r="B16" s="229" t="s">
        <v>2162</v>
      </c>
      <c r="C16" s="230">
        <v>20444714</v>
      </c>
    </row>
    <row r="17" spans="2:3" ht="15">
      <c r="B17" s="227" t="s">
        <v>2163</v>
      </c>
      <c r="C17" s="228">
        <v>17413990</v>
      </c>
    </row>
    <row r="18" spans="2:3" ht="15">
      <c r="B18" s="229" t="s">
        <v>2168</v>
      </c>
      <c r="C18" s="230">
        <v>10068100</v>
      </c>
    </row>
    <row r="19" spans="2:3" ht="15">
      <c r="B19" s="227" t="s">
        <v>2175</v>
      </c>
      <c r="C19" s="228">
        <v>5281698</v>
      </c>
    </row>
    <row r="20" spans="2:3" ht="15">
      <c r="B20" s="229" t="s">
        <v>2173</v>
      </c>
      <c r="C20" s="230">
        <v>3741954</v>
      </c>
    </row>
    <row r="21" spans="2:3" ht="15">
      <c r="B21" s="227" t="s">
        <v>2187</v>
      </c>
      <c r="C21" s="228">
        <v>2308514</v>
      </c>
    </row>
    <row r="22" spans="2:3" ht="15">
      <c r="B22" s="229" t="s">
        <v>3828</v>
      </c>
      <c r="C22" s="230">
        <v>2000954</v>
      </c>
    </row>
    <row r="23" spans="2:3" ht="15">
      <c r="B23" s="227" t="s">
        <v>2176</v>
      </c>
      <c r="C23" s="228">
        <v>1958149</v>
      </c>
    </row>
    <row r="24" spans="2:3" ht="15">
      <c r="B24" s="229" t="s">
        <v>2179</v>
      </c>
      <c r="C24" s="230">
        <v>1204513</v>
      </c>
    </row>
    <row r="25" spans="2:3" ht="28.8">
      <c r="B25" s="227" t="s">
        <v>2181</v>
      </c>
      <c r="C25" s="228">
        <v>553512</v>
      </c>
    </row>
    <row r="26" spans="2:3" ht="15">
      <c r="B26" s="229" t="s">
        <v>2375</v>
      </c>
      <c r="C26" s="230">
        <v>520337</v>
      </c>
    </row>
    <row r="27" spans="2:3" ht="15">
      <c r="B27" s="227" t="s">
        <v>4023</v>
      </c>
      <c r="C27" s="228">
        <v>89260</v>
      </c>
    </row>
    <row r="28" spans="2:3">
      <c r="C28" s="217">
        <f>SUM(C5:C27)</f>
        <v>5291433903</v>
      </c>
    </row>
    <row r="29" spans="2:3">
      <c r="C29" s="374">
        <f>C28-'Annexe 42'!C346</f>
        <v>0</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6"/>
  <dimension ref="A2:C17"/>
  <sheetViews>
    <sheetView zoomScale="80" zoomScaleNormal="80" workbookViewId="0">
      <selection activeCell="L37" sqref="L37"/>
    </sheetView>
  </sheetViews>
  <sheetFormatPr baseColWidth="10" defaultRowHeight="13.8"/>
  <cols>
    <col min="2" max="2" width="76.69921875" bestFit="1" customWidth="1"/>
    <col min="3" max="3" width="13.69921875" bestFit="1" customWidth="1"/>
  </cols>
  <sheetData>
    <row r="2" spans="1:3" ht="16.2">
      <c r="A2" s="10" t="s">
        <v>3817</v>
      </c>
      <c r="B2" s="141"/>
    </row>
    <row r="4" spans="1:3" ht="15">
      <c r="B4" s="225" t="s">
        <v>2135</v>
      </c>
      <c r="C4" s="226" t="s">
        <v>1828</v>
      </c>
    </row>
    <row r="5" spans="1:3" ht="15">
      <c r="B5" s="227" t="s">
        <v>2195</v>
      </c>
      <c r="C5" s="228">
        <v>135560376</v>
      </c>
    </row>
    <row r="6" spans="1:3" ht="15">
      <c r="B6" s="229" t="s">
        <v>2136</v>
      </c>
      <c r="C6" s="230">
        <v>96253738</v>
      </c>
    </row>
    <row r="7" spans="1:3" ht="15">
      <c r="B7" s="227" t="s">
        <v>2196</v>
      </c>
      <c r="C7" s="228">
        <v>40668114</v>
      </c>
    </row>
    <row r="8" spans="1:3" ht="15">
      <c r="B8" s="229" t="s">
        <v>2153</v>
      </c>
      <c r="C8" s="230">
        <v>26341156</v>
      </c>
    </row>
    <row r="9" spans="1:3" ht="15">
      <c r="B9" s="227" t="s">
        <v>2197</v>
      </c>
      <c r="C9" s="228">
        <v>6665376</v>
      </c>
    </row>
    <row r="10" spans="1:3" ht="15">
      <c r="B10" s="229" t="s">
        <v>2198</v>
      </c>
      <c r="C10" s="230">
        <v>5473919</v>
      </c>
    </row>
    <row r="11" spans="1:3" ht="15">
      <c r="B11" s="227" t="s">
        <v>2142</v>
      </c>
      <c r="C11" s="228">
        <v>4156350</v>
      </c>
    </row>
    <row r="12" spans="1:3" ht="15">
      <c r="B12" s="229" t="s">
        <v>2144</v>
      </c>
      <c r="C12" s="230">
        <v>2129289</v>
      </c>
    </row>
    <row r="13" spans="1:3" ht="15">
      <c r="B13" s="227" t="s">
        <v>2175</v>
      </c>
      <c r="C13" s="228">
        <v>1463152</v>
      </c>
    </row>
    <row r="14" spans="1:3" ht="15">
      <c r="B14" s="229" t="s">
        <v>2199</v>
      </c>
      <c r="C14" s="230">
        <v>1250000</v>
      </c>
    </row>
    <row r="15" spans="1:3" ht="15">
      <c r="B15" s="227" t="s">
        <v>2156</v>
      </c>
      <c r="C15" s="228">
        <v>41651</v>
      </c>
    </row>
    <row r="16" spans="1:3" ht="15">
      <c r="B16" s="229" t="s">
        <v>2179</v>
      </c>
      <c r="C16" s="230">
        <v>36200</v>
      </c>
    </row>
    <row r="17" spans="3:3">
      <c r="C17" s="217">
        <f>SUM(C5:C16)</f>
        <v>320039321</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7">
    <pageSetUpPr fitToPage="1"/>
  </sheetPr>
  <dimension ref="A2:I2933"/>
  <sheetViews>
    <sheetView showGridLines="0" zoomScale="50" zoomScaleNormal="50" zoomScaleSheetLayoutView="85" zoomScalePageLayoutView="60" workbookViewId="0">
      <selection activeCell="A2" sqref="A2"/>
    </sheetView>
  </sheetViews>
  <sheetFormatPr baseColWidth="10" defaultColWidth="128" defaultRowHeight="17.399999999999999"/>
  <cols>
    <col min="1" max="1" width="7.296875" style="240" customWidth="1"/>
    <col min="2" max="2" width="99.59765625" style="241" bestFit="1" customWidth="1"/>
    <col min="3" max="3" width="13.3984375" style="240" bestFit="1" customWidth="1"/>
    <col min="4" max="4" width="16.3984375" style="240" bestFit="1" customWidth="1"/>
    <col min="5" max="5" width="30.09765625" style="240" customWidth="1"/>
    <col min="6" max="6" width="15.3984375" style="240" bestFit="1" customWidth="1"/>
    <col min="7" max="7" width="18" style="240" bestFit="1" customWidth="1"/>
    <col min="8" max="8" width="19.296875" style="242" bestFit="1" customWidth="1"/>
    <col min="9" max="9" width="47.296875" style="241" bestFit="1" customWidth="1"/>
    <col min="10" max="16384" width="128" style="241"/>
  </cols>
  <sheetData>
    <row r="2" spans="1:9">
      <c r="A2" s="10" t="s">
        <v>3818</v>
      </c>
    </row>
    <row r="3" spans="1:9" ht="18" thickBot="1"/>
    <row r="4" spans="1:9" ht="20.100000000000001" customHeight="1">
      <c r="A4" s="243" t="s">
        <v>3</v>
      </c>
      <c r="B4" s="244" t="s">
        <v>6</v>
      </c>
      <c r="C4" s="244" t="s">
        <v>7</v>
      </c>
      <c r="D4" s="244" t="s">
        <v>8</v>
      </c>
      <c r="E4" s="244" t="s">
        <v>9</v>
      </c>
      <c r="F4" s="244" t="s">
        <v>10</v>
      </c>
      <c r="G4" s="244" t="s">
        <v>11</v>
      </c>
      <c r="H4" s="244" t="s">
        <v>2</v>
      </c>
      <c r="I4" s="245" t="s">
        <v>77</v>
      </c>
    </row>
    <row r="5" spans="1:9">
      <c r="A5" s="246">
        <v>1</v>
      </c>
      <c r="B5" s="247" t="s">
        <v>55</v>
      </c>
      <c r="C5" s="302" t="str">
        <f>"5"</f>
        <v>5</v>
      </c>
      <c r="D5" s="247" t="s">
        <v>13</v>
      </c>
      <c r="E5" s="248">
        <v>56</v>
      </c>
      <c r="F5" s="249">
        <v>38992</v>
      </c>
      <c r="G5" s="249">
        <v>42555</v>
      </c>
      <c r="H5" s="247" t="s">
        <v>84</v>
      </c>
      <c r="I5" s="250" t="s">
        <v>3342</v>
      </c>
    </row>
    <row r="6" spans="1:9">
      <c r="A6" s="246">
        <v>2</v>
      </c>
      <c r="B6" s="247" t="s">
        <v>55</v>
      </c>
      <c r="C6" s="302" t="str">
        <f>"6"</f>
        <v>6</v>
      </c>
      <c r="D6" s="247" t="s">
        <v>13</v>
      </c>
      <c r="E6" s="248">
        <v>34</v>
      </c>
      <c r="F6" s="249">
        <v>38992</v>
      </c>
      <c r="G6" s="249">
        <v>42555</v>
      </c>
      <c r="H6" s="247" t="s">
        <v>84</v>
      </c>
      <c r="I6" s="250" t="s">
        <v>3342</v>
      </c>
    </row>
    <row r="7" spans="1:9">
      <c r="A7" s="246">
        <v>3</v>
      </c>
      <c r="B7" s="247" t="s">
        <v>55</v>
      </c>
      <c r="C7" s="302" t="str">
        <f>"11"</f>
        <v>11</v>
      </c>
      <c r="D7" s="247" t="s">
        <v>13</v>
      </c>
      <c r="E7" s="248">
        <v>375</v>
      </c>
      <c r="F7" s="249">
        <v>38992</v>
      </c>
      <c r="G7" s="249">
        <v>42555</v>
      </c>
      <c r="H7" s="247" t="s">
        <v>56</v>
      </c>
      <c r="I7" s="250" t="s">
        <v>433</v>
      </c>
    </row>
    <row r="8" spans="1:9">
      <c r="A8" s="246">
        <v>4</v>
      </c>
      <c r="B8" s="247" t="s">
        <v>55</v>
      </c>
      <c r="C8" s="302" t="str">
        <f>"12"</f>
        <v>12</v>
      </c>
      <c r="D8" s="247" t="s">
        <v>13</v>
      </c>
      <c r="E8" s="248">
        <v>434</v>
      </c>
      <c r="F8" s="249">
        <v>36469</v>
      </c>
      <c r="G8" s="249">
        <v>42555</v>
      </c>
      <c r="H8" s="247" t="s">
        <v>56</v>
      </c>
      <c r="I8" s="250" t="s">
        <v>3342</v>
      </c>
    </row>
    <row r="9" spans="1:9">
      <c r="A9" s="246">
        <v>5</v>
      </c>
      <c r="B9" s="247" t="s">
        <v>75</v>
      </c>
      <c r="C9" s="302" t="str">
        <f>"13"</f>
        <v>13</v>
      </c>
      <c r="D9" s="247" t="s">
        <v>13</v>
      </c>
      <c r="E9" s="248">
        <v>72</v>
      </c>
      <c r="F9" s="249">
        <v>42556</v>
      </c>
      <c r="G9" s="249">
        <v>48033</v>
      </c>
      <c r="H9" s="247" t="s">
        <v>56</v>
      </c>
      <c r="I9" s="250" t="s">
        <v>433</v>
      </c>
    </row>
    <row r="10" spans="1:9">
      <c r="A10" s="246">
        <v>6</v>
      </c>
      <c r="B10" s="247" t="s">
        <v>55</v>
      </c>
      <c r="C10" s="302" t="str">
        <f>"14"</f>
        <v>14</v>
      </c>
      <c r="D10" s="247" t="s">
        <v>13</v>
      </c>
      <c r="E10" s="248">
        <v>174</v>
      </c>
      <c r="F10" s="249">
        <v>38992</v>
      </c>
      <c r="G10" s="249">
        <v>42555</v>
      </c>
      <c r="H10" s="247" t="s">
        <v>56</v>
      </c>
      <c r="I10" s="250" t="s">
        <v>3342</v>
      </c>
    </row>
    <row r="11" spans="1:9">
      <c r="A11" s="246">
        <v>7</v>
      </c>
      <c r="B11" s="247" t="s">
        <v>55</v>
      </c>
      <c r="C11" s="302" t="str">
        <f>"15"</f>
        <v>15</v>
      </c>
      <c r="D11" s="247" t="s">
        <v>13</v>
      </c>
      <c r="E11" s="248">
        <v>49</v>
      </c>
      <c r="F11" s="249">
        <v>38992</v>
      </c>
      <c r="G11" s="249">
        <v>42555</v>
      </c>
      <c r="H11" s="247" t="s">
        <v>84</v>
      </c>
      <c r="I11" s="250" t="s">
        <v>3342</v>
      </c>
    </row>
    <row r="12" spans="1:9">
      <c r="A12" s="246">
        <v>8</v>
      </c>
      <c r="B12" s="247" t="s">
        <v>55</v>
      </c>
      <c r="C12" s="302" t="str">
        <f>"16"</f>
        <v>16</v>
      </c>
      <c r="D12" s="247" t="s">
        <v>13</v>
      </c>
      <c r="E12" s="248">
        <v>18</v>
      </c>
      <c r="F12" s="249">
        <v>38992</v>
      </c>
      <c r="G12" s="249">
        <v>42555</v>
      </c>
      <c r="H12" s="247" t="s">
        <v>84</v>
      </c>
      <c r="I12" s="250" t="s">
        <v>3342</v>
      </c>
    </row>
    <row r="13" spans="1:9">
      <c r="A13" s="246">
        <v>9</v>
      </c>
      <c r="B13" s="247" t="s">
        <v>78</v>
      </c>
      <c r="C13" s="302" t="str">
        <f>"17"</f>
        <v>17</v>
      </c>
      <c r="D13" s="247" t="s">
        <v>13</v>
      </c>
      <c r="E13" s="248">
        <v>216</v>
      </c>
      <c r="F13" s="249">
        <v>36104</v>
      </c>
      <c r="G13" s="249">
        <v>48216</v>
      </c>
      <c r="H13" s="247" t="s">
        <v>56</v>
      </c>
      <c r="I13" s="250" t="s">
        <v>79</v>
      </c>
    </row>
    <row r="14" spans="1:9">
      <c r="A14" s="246">
        <v>10</v>
      </c>
      <c r="B14" s="247" t="s">
        <v>80</v>
      </c>
      <c r="C14" s="302" t="str">
        <f>"18"</f>
        <v>18</v>
      </c>
      <c r="D14" s="247" t="s">
        <v>13</v>
      </c>
      <c r="E14" s="248">
        <v>203</v>
      </c>
      <c r="F14" s="249">
        <v>42632</v>
      </c>
      <c r="G14" s="249">
        <v>48109</v>
      </c>
      <c r="H14" s="247" t="s">
        <v>56</v>
      </c>
      <c r="I14" s="250" t="s">
        <v>79</v>
      </c>
    </row>
    <row r="15" spans="1:9">
      <c r="A15" s="246">
        <v>11</v>
      </c>
      <c r="B15" s="247" t="s">
        <v>75</v>
      </c>
      <c r="C15" s="302" t="str">
        <f>"19"</f>
        <v>19</v>
      </c>
      <c r="D15" s="247" t="s">
        <v>13</v>
      </c>
      <c r="E15" s="248">
        <v>329</v>
      </c>
      <c r="F15" s="249">
        <v>42556</v>
      </c>
      <c r="G15" s="249">
        <v>48033</v>
      </c>
      <c r="H15" s="247" t="s">
        <v>56</v>
      </c>
      <c r="I15" s="250" t="s">
        <v>433</v>
      </c>
    </row>
    <row r="16" spans="1:9">
      <c r="A16" s="246">
        <v>12</v>
      </c>
      <c r="B16" s="247" t="s">
        <v>55</v>
      </c>
      <c r="C16" s="302" t="str">
        <f>"20"</f>
        <v>20</v>
      </c>
      <c r="D16" s="247" t="s">
        <v>13</v>
      </c>
      <c r="E16" s="248">
        <v>291</v>
      </c>
      <c r="F16" s="251">
        <v>36105</v>
      </c>
      <c r="G16" s="249">
        <v>42556</v>
      </c>
      <c r="H16" s="247" t="s">
        <v>56</v>
      </c>
      <c r="I16" s="250" t="s">
        <v>3342</v>
      </c>
    </row>
    <row r="17" spans="1:9">
      <c r="A17" s="246">
        <v>13</v>
      </c>
      <c r="B17" s="247" t="s">
        <v>81</v>
      </c>
      <c r="C17" s="302" t="str">
        <f>"21"</f>
        <v>21</v>
      </c>
      <c r="D17" s="247" t="s">
        <v>13</v>
      </c>
      <c r="E17" s="248">
        <v>351</v>
      </c>
      <c r="F17" s="249">
        <v>42556</v>
      </c>
      <c r="G17" s="249">
        <v>48033</v>
      </c>
      <c r="H17" s="247" t="s">
        <v>56</v>
      </c>
      <c r="I17" s="250" t="s">
        <v>79</v>
      </c>
    </row>
    <row r="18" spans="1:9">
      <c r="A18" s="246">
        <v>14</v>
      </c>
      <c r="B18" s="247" t="s">
        <v>55</v>
      </c>
      <c r="C18" s="302" t="str">
        <f>"22"</f>
        <v>22</v>
      </c>
      <c r="D18" s="247" t="s">
        <v>13</v>
      </c>
      <c r="E18" s="248">
        <v>244</v>
      </c>
      <c r="F18" s="249">
        <v>36105</v>
      </c>
      <c r="G18" s="249">
        <v>42556</v>
      </c>
      <c r="H18" s="247" t="s">
        <v>56</v>
      </c>
      <c r="I18" s="250" t="s">
        <v>3342</v>
      </c>
    </row>
    <row r="19" spans="1:9">
      <c r="A19" s="246">
        <v>15</v>
      </c>
      <c r="B19" s="247" t="s">
        <v>55</v>
      </c>
      <c r="C19" s="302" t="str">
        <f>"26"</f>
        <v>26</v>
      </c>
      <c r="D19" s="247" t="s">
        <v>13</v>
      </c>
      <c r="E19" s="248">
        <v>142</v>
      </c>
      <c r="F19" s="249">
        <v>36114</v>
      </c>
      <c r="G19" s="249">
        <v>42595</v>
      </c>
      <c r="H19" s="247" t="s">
        <v>84</v>
      </c>
      <c r="I19" s="250" t="s">
        <v>3342</v>
      </c>
    </row>
    <row r="20" spans="1:9">
      <c r="A20" s="246">
        <v>16</v>
      </c>
      <c r="B20" s="247" t="s">
        <v>55</v>
      </c>
      <c r="C20" s="302" t="str">
        <f>"27"</f>
        <v>27</v>
      </c>
      <c r="D20" s="247" t="s">
        <v>13</v>
      </c>
      <c r="E20" s="248">
        <v>176</v>
      </c>
      <c r="F20" s="249">
        <v>36114</v>
      </c>
      <c r="G20" s="249">
        <v>42596</v>
      </c>
      <c r="H20" s="247" t="s">
        <v>56</v>
      </c>
      <c r="I20" s="250" t="s">
        <v>3342</v>
      </c>
    </row>
    <row r="21" spans="1:9">
      <c r="A21" s="246">
        <v>17</v>
      </c>
      <c r="B21" s="247" t="s">
        <v>82</v>
      </c>
      <c r="C21" s="302" t="str">
        <f>"32"</f>
        <v>32</v>
      </c>
      <c r="D21" s="247" t="s">
        <v>13</v>
      </c>
      <c r="E21" s="248">
        <v>29</v>
      </c>
      <c r="F21" s="249">
        <v>43357</v>
      </c>
      <c r="G21" s="249">
        <v>48835</v>
      </c>
      <c r="H21" s="247" t="s">
        <v>16</v>
      </c>
      <c r="I21" s="250" t="s">
        <v>79</v>
      </c>
    </row>
    <row r="22" spans="1:9">
      <c r="A22" s="246">
        <v>18</v>
      </c>
      <c r="B22" s="247" t="s">
        <v>83</v>
      </c>
      <c r="C22" s="302" t="str">
        <f>"36"</f>
        <v>36</v>
      </c>
      <c r="D22" s="247" t="s">
        <v>13</v>
      </c>
      <c r="E22" s="248">
        <v>115</v>
      </c>
      <c r="F22" s="249">
        <v>42632</v>
      </c>
      <c r="G22" s="249">
        <v>48109</v>
      </c>
      <c r="H22" s="247" t="s">
        <v>84</v>
      </c>
      <c r="I22" s="250" t="s">
        <v>79</v>
      </c>
    </row>
    <row r="23" spans="1:9">
      <c r="A23" s="246">
        <v>19</v>
      </c>
      <c r="B23" s="247" t="s">
        <v>83</v>
      </c>
      <c r="C23" s="302" t="str">
        <f>"37"</f>
        <v>37</v>
      </c>
      <c r="D23" s="247" t="s">
        <v>13</v>
      </c>
      <c r="E23" s="248">
        <v>356</v>
      </c>
      <c r="F23" s="249">
        <v>42632</v>
      </c>
      <c r="G23" s="249">
        <v>48109</v>
      </c>
      <c r="H23" s="247" t="s">
        <v>84</v>
      </c>
      <c r="I23" s="250" t="s">
        <v>433</v>
      </c>
    </row>
    <row r="24" spans="1:9">
      <c r="A24" s="246">
        <v>20</v>
      </c>
      <c r="B24" s="247" t="s">
        <v>90</v>
      </c>
      <c r="C24" s="302" t="str">
        <f>"38"</f>
        <v>38</v>
      </c>
      <c r="D24" s="247" t="s">
        <v>13</v>
      </c>
      <c r="E24" s="248">
        <v>368</v>
      </c>
      <c r="F24" s="249">
        <v>42632</v>
      </c>
      <c r="G24" s="249">
        <v>48109</v>
      </c>
      <c r="H24" s="247" t="s">
        <v>84</v>
      </c>
      <c r="I24" s="250" t="s">
        <v>433</v>
      </c>
    </row>
    <row r="25" spans="1:9">
      <c r="A25" s="246">
        <v>21</v>
      </c>
      <c r="B25" s="247" t="s">
        <v>83</v>
      </c>
      <c r="C25" s="302" t="str">
        <f>"39"</f>
        <v>39</v>
      </c>
      <c r="D25" s="247" t="s">
        <v>13</v>
      </c>
      <c r="E25" s="248">
        <v>271</v>
      </c>
      <c r="F25" s="249">
        <v>42632</v>
      </c>
      <c r="G25" s="249">
        <v>48109</v>
      </c>
      <c r="H25" s="247" t="s">
        <v>84</v>
      </c>
      <c r="I25" s="250" t="s">
        <v>433</v>
      </c>
    </row>
    <row r="26" spans="1:9">
      <c r="A26" s="246">
        <v>22</v>
      </c>
      <c r="B26" s="247" t="s">
        <v>85</v>
      </c>
      <c r="C26" s="302" t="str">
        <f>"40"</f>
        <v>40</v>
      </c>
      <c r="D26" s="247" t="s">
        <v>13</v>
      </c>
      <c r="E26" s="248">
        <v>241</v>
      </c>
      <c r="F26" s="249">
        <v>42632</v>
      </c>
      <c r="G26" s="249">
        <v>48109</v>
      </c>
      <c r="H26" s="247" t="s">
        <v>84</v>
      </c>
      <c r="I26" s="250" t="s">
        <v>79</v>
      </c>
    </row>
    <row r="27" spans="1:9">
      <c r="A27" s="246">
        <v>23</v>
      </c>
      <c r="B27" s="247" t="s">
        <v>85</v>
      </c>
      <c r="C27" s="302" t="str">
        <f>"41"</f>
        <v>41</v>
      </c>
      <c r="D27" s="247" t="s">
        <v>13</v>
      </c>
      <c r="E27" s="248">
        <v>171</v>
      </c>
      <c r="F27" s="249">
        <v>42632</v>
      </c>
      <c r="G27" s="249">
        <v>48109</v>
      </c>
      <c r="H27" s="247" t="s">
        <v>84</v>
      </c>
      <c r="I27" s="250" t="s">
        <v>79</v>
      </c>
    </row>
    <row r="28" spans="1:9">
      <c r="A28" s="246">
        <v>24</v>
      </c>
      <c r="B28" s="247" t="s">
        <v>85</v>
      </c>
      <c r="C28" s="302" t="str">
        <f>"42"</f>
        <v>42</v>
      </c>
      <c r="D28" s="247" t="s">
        <v>13</v>
      </c>
      <c r="E28" s="248">
        <v>284</v>
      </c>
      <c r="F28" s="249">
        <v>42632</v>
      </c>
      <c r="G28" s="249">
        <v>48109</v>
      </c>
      <c r="H28" s="247" t="s">
        <v>84</v>
      </c>
      <c r="I28" s="250" t="s">
        <v>79</v>
      </c>
    </row>
    <row r="29" spans="1:9">
      <c r="A29" s="246">
        <v>25</v>
      </c>
      <c r="B29" s="247" t="s">
        <v>85</v>
      </c>
      <c r="C29" s="302" t="str">
        <f>"43"</f>
        <v>43</v>
      </c>
      <c r="D29" s="247" t="s">
        <v>13</v>
      </c>
      <c r="E29" s="248">
        <v>251</v>
      </c>
      <c r="F29" s="249">
        <v>42632</v>
      </c>
      <c r="G29" s="249">
        <v>48109</v>
      </c>
      <c r="H29" s="247" t="s">
        <v>84</v>
      </c>
      <c r="I29" s="250" t="s">
        <v>79</v>
      </c>
    </row>
    <row r="30" spans="1:9">
      <c r="A30" s="246">
        <v>26</v>
      </c>
      <c r="B30" s="247" t="s">
        <v>85</v>
      </c>
      <c r="C30" s="302" t="str">
        <f>"44"</f>
        <v>44</v>
      </c>
      <c r="D30" s="247" t="s">
        <v>13</v>
      </c>
      <c r="E30" s="248">
        <v>271</v>
      </c>
      <c r="F30" s="249">
        <v>42632</v>
      </c>
      <c r="G30" s="249">
        <v>48109</v>
      </c>
      <c r="H30" s="247" t="s">
        <v>84</v>
      </c>
      <c r="I30" s="250" t="s">
        <v>79</v>
      </c>
    </row>
    <row r="31" spans="1:9">
      <c r="A31" s="246">
        <v>27</v>
      </c>
      <c r="B31" s="247" t="s">
        <v>85</v>
      </c>
      <c r="C31" s="302" t="str">
        <f>"68"</f>
        <v>68</v>
      </c>
      <c r="D31" s="247" t="s">
        <v>13</v>
      </c>
      <c r="E31" s="248">
        <v>140</v>
      </c>
      <c r="F31" s="249">
        <v>42739</v>
      </c>
      <c r="G31" s="249">
        <v>48216</v>
      </c>
      <c r="H31" s="247" t="s">
        <v>84</v>
      </c>
      <c r="I31" s="250" t="s">
        <v>79</v>
      </c>
    </row>
    <row r="32" spans="1:9">
      <c r="A32" s="246">
        <v>28</v>
      </c>
      <c r="B32" s="247" t="s">
        <v>55</v>
      </c>
      <c r="C32" s="302" t="str">
        <f>"69"</f>
        <v>69</v>
      </c>
      <c r="D32" s="247" t="s">
        <v>13</v>
      </c>
      <c r="E32" s="248">
        <v>143</v>
      </c>
      <c r="F32" s="249">
        <v>36254</v>
      </c>
      <c r="G32" s="249">
        <v>42738</v>
      </c>
      <c r="H32" s="247" t="s">
        <v>56</v>
      </c>
      <c r="I32" s="250" t="s">
        <v>3342</v>
      </c>
    </row>
    <row r="33" spans="1:9">
      <c r="A33" s="246">
        <v>29</v>
      </c>
      <c r="B33" s="247" t="s">
        <v>55</v>
      </c>
      <c r="C33" s="302" t="str">
        <f>"70"</f>
        <v>70</v>
      </c>
      <c r="D33" s="247" t="s">
        <v>13</v>
      </c>
      <c r="E33" s="248">
        <v>438</v>
      </c>
      <c r="F33" s="249">
        <v>36254</v>
      </c>
      <c r="G33" s="249">
        <v>42738</v>
      </c>
      <c r="H33" s="247" t="s">
        <v>19</v>
      </c>
      <c r="I33" s="250" t="s">
        <v>3342</v>
      </c>
    </row>
    <row r="34" spans="1:9">
      <c r="A34" s="246">
        <v>30</v>
      </c>
      <c r="B34" s="247" t="s">
        <v>55</v>
      </c>
      <c r="C34" s="302" t="str">
        <f>"71"</f>
        <v>71</v>
      </c>
      <c r="D34" s="247" t="s">
        <v>13</v>
      </c>
      <c r="E34" s="248">
        <v>160</v>
      </c>
      <c r="F34" s="249">
        <v>36254</v>
      </c>
      <c r="G34" s="249">
        <v>42738</v>
      </c>
      <c r="H34" s="247" t="s">
        <v>19</v>
      </c>
      <c r="I34" s="250" t="s">
        <v>433</v>
      </c>
    </row>
    <row r="35" spans="1:9">
      <c r="A35" s="246">
        <v>31</v>
      </c>
      <c r="B35" s="247" t="s">
        <v>55</v>
      </c>
      <c r="C35" s="302" t="str">
        <f>"72"</f>
        <v>72</v>
      </c>
      <c r="D35" s="247" t="s">
        <v>13</v>
      </c>
      <c r="E35" s="248">
        <v>16</v>
      </c>
      <c r="F35" s="249">
        <v>36254</v>
      </c>
      <c r="G35" s="249">
        <v>42738</v>
      </c>
      <c r="H35" s="247" t="s">
        <v>19</v>
      </c>
      <c r="I35" s="250" t="s">
        <v>3342</v>
      </c>
    </row>
    <row r="36" spans="1:9">
      <c r="A36" s="246">
        <v>32</v>
      </c>
      <c r="B36" s="247" t="s">
        <v>55</v>
      </c>
      <c r="C36" s="302" t="str">
        <f>"73"</f>
        <v>73</v>
      </c>
      <c r="D36" s="247" t="s">
        <v>13</v>
      </c>
      <c r="E36" s="248">
        <v>57</v>
      </c>
      <c r="F36" s="249">
        <v>36254</v>
      </c>
      <c r="G36" s="249">
        <v>42738</v>
      </c>
      <c r="H36" s="247" t="s">
        <v>19</v>
      </c>
      <c r="I36" s="250" t="s">
        <v>3342</v>
      </c>
    </row>
    <row r="37" spans="1:9">
      <c r="A37" s="246">
        <v>33</v>
      </c>
      <c r="B37" s="247" t="s">
        <v>55</v>
      </c>
      <c r="C37" s="302" t="str">
        <f>"74"</f>
        <v>74</v>
      </c>
      <c r="D37" s="247" t="s">
        <v>13</v>
      </c>
      <c r="E37" s="248">
        <v>225</v>
      </c>
      <c r="F37" s="249">
        <v>36254</v>
      </c>
      <c r="G37" s="249">
        <v>42738</v>
      </c>
      <c r="H37" s="247" t="s">
        <v>19</v>
      </c>
      <c r="I37" s="250" t="s">
        <v>3342</v>
      </c>
    </row>
    <row r="38" spans="1:9">
      <c r="A38" s="246">
        <v>34</v>
      </c>
      <c r="B38" s="247" t="s">
        <v>55</v>
      </c>
      <c r="C38" s="302" t="str">
        <f>"75"</f>
        <v>75</v>
      </c>
      <c r="D38" s="247" t="s">
        <v>13</v>
      </c>
      <c r="E38" s="248">
        <v>275</v>
      </c>
      <c r="F38" s="249">
        <v>36254</v>
      </c>
      <c r="G38" s="249">
        <v>42738</v>
      </c>
      <c r="H38" s="247" t="s">
        <v>19</v>
      </c>
      <c r="I38" s="250" t="s">
        <v>3342</v>
      </c>
    </row>
    <row r="39" spans="1:9">
      <c r="A39" s="246">
        <v>35</v>
      </c>
      <c r="B39" s="247" t="s">
        <v>78</v>
      </c>
      <c r="C39" s="302" t="str">
        <f>"76"</f>
        <v>76</v>
      </c>
      <c r="D39" s="247" t="s">
        <v>13</v>
      </c>
      <c r="E39" s="248">
        <v>324</v>
      </c>
      <c r="F39" s="249">
        <v>36254</v>
      </c>
      <c r="G39" s="249">
        <v>48216</v>
      </c>
      <c r="H39" s="247" t="s">
        <v>19</v>
      </c>
      <c r="I39" s="250" t="s">
        <v>79</v>
      </c>
    </row>
    <row r="40" spans="1:9">
      <c r="A40" s="246">
        <v>36</v>
      </c>
      <c r="B40" s="247" t="s">
        <v>55</v>
      </c>
      <c r="C40" s="302" t="str">
        <f>"77"</f>
        <v>77</v>
      </c>
      <c r="D40" s="247" t="s">
        <v>13</v>
      </c>
      <c r="E40" s="248">
        <v>205</v>
      </c>
      <c r="F40" s="249">
        <v>36254</v>
      </c>
      <c r="G40" s="249">
        <v>42738</v>
      </c>
      <c r="H40" s="247" t="s">
        <v>19</v>
      </c>
      <c r="I40" s="250" t="s">
        <v>3342</v>
      </c>
    </row>
    <row r="41" spans="1:9">
      <c r="A41" s="246">
        <v>37</v>
      </c>
      <c r="B41" s="247" t="s">
        <v>55</v>
      </c>
      <c r="C41" s="302" t="str">
        <f>"78"</f>
        <v>78</v>
      </c>
      <c r="D41" s="247" t="s">
        <v>13</v>
      </c>
      <c r="E41" s="248">
        <v>418</v>
      </c>
      <c r="F41" s="249">
        <v>42739</v>
      </c>
      <c r="G41" s="249">
        <v>48216</v>
      </c>
      <c r="H41" s="247" t="s">
        <v>56</v>
      </c>
      <c r="I41" s="250" t="s">
        <v>433</v>
      </c>
    </row>
    <row r="42" spans="1:9">
      <c r="A42" s="246">
        <v>38</v>
      </c>
      <c r="B42" s="247" t="s">
        <v>55</v>
      </c>
      <c r="C42" s="302" t="str">
        <f>"79"</f>
        <v>79</v>
      </c>
      <c r="D42" s="247" t="s">
        <v>13</v>
      </c>
      <c r="E42" s="248">
        <v>100</v>
      </c>
      <c r="F42" s="249">
        <v>36254</v>
      </c>
      <c r="G42" s="249">
        <v>42738</v>
      </c>
      <c r="H42" s="247" t="s">
        <v>19</v>
      </c>
      <c r="I42" s="250" t="s">
        <v>3342</v>
      </c>
    </row>
    <row r="43" spans="1:9">
      <c r="A43" s="246">
        <v>39</v>
      </c>
      <c r="B43" s="247" t="s">
        <v>55</v>
      </c>
      <c r="C43" s="302" t="str">
        <f>"80"</f>
        <v>80</v>
      </c>
      <c r="D43" s="247" t="s">
        <v>13</v>
      </c>
      <c r="E43" s="248">
        <v>345</v>
      </c>
      <c r="F43" s="249">
        <v>36254</v>
      </c>
      <c r="G43" s="249">
        <v>42738</v>
      </c>
      <c r="H43" s="247" t="s">
        <v>84</v>
      </c>
      <c r="I43" s="250" t="s">
        <v>3342</v>
      </c>
    </row>
    <row r="44" spans="1:9">
      <c r="A44" s="246">
        <v>40</v>
      </c>
      <c r="B44" s="247" t="s">
        <v>55</v>
      </c>
      <c r="C44" s="302" t="str">
        <f>"81"</f>
        <v>81</v>
      </c>
      <c r="D44" s="247" t="s">
        <v>13</v>
      </c>
      <c r="E44" s="248">
        <v>206</v>
      </c>
      <c r="F44" s="249">
        <v>36254</v>
      </c>
      <c r="G44" s="249">
        <v>42738</v>
      </c>
      <c r="H44" s="247" t="s">
        <v>84</v>
      </c>
      <c r="I44" s="250" t="s">
        <v>3342</v>
      </c>
    </row>
    <row r="45" spans="1:9">
      <c r="A45" s="246">
        <v>41</v>
      </c>
      <c r="B45" s="247" t="s">
        <v>55</v>
      </c>
      <c r="C45" s="302" t="str">
        <f>"87"</f>
        <v>87</v>
      </c>
      <c r="D45" s="247" t="s">
        <v>13</v>
      </c>
      <c r="E45" s="248">
        <v>234</v>
      </c>
      <c r="F45" s="249">
        <v>36567</v>
      </c>
      <c r="G45" s="249">
        <v>43049</v>
      </c>
      <c r="H45" s="247" t="s">
        <v>56</v>
      </c>
      <c r="I45" s="250" t="s">
        <v>3342</v>
      </c>
    </row>
    <row r="46" spans="1:9">
      <c r="A46" s="246">
        <v>42</v>
      </c>
      <c r="B46" s="247" t="s">
        <v>55</v>
      </c>
      <c r="C46" s="302" t="str">
        <f>"88"</f>
        <v>88</v>
      </c>
      <c r="D46" s="247" t="s">
        <v>13</v>
      </c>
      <c r="E46" s="248">
        <v>261</v>
      </c>
      <c r="F46" s="249">
        <v>38093</v>
      </c>
      <c r="G46" s="249">
        <v>44576</v>
      </c>
      <c r="H46" s="247" t="s">
        <v>56</v>
      </c>
      <c r="I46" s="250" t="s">
        <v>433</v>
      </c>
    </row>
    <row r="47" spans="1:9">
      <c r="A47" s="246">
        <v>43</v>
      </c>
      <c r="B47" s="247" t="s">
        <v>55</v>
      </c>
      <c r="C47" s="302" t="str">
        <f>"89"</f>
        <v>89</v>
      </c>
      <c r="D47" s="247" t="s">
        <v>13</v>
      </c>
      <c r="E47" s="248">
        <v>72</v>
      </c>
      <c r="F47" s="249">
        <v>36592</v>
      </c>
      <c r="G47" s="249">
        <v>43075</v>
      </c>
      <c r="H47" s="247" t="s">
        <v>56</v>
      </c>
      <c r="I47" s="250" t="s">
        <v>3342</v>
      </c>
    </row>
    <row r="48" spans="1:9">
      <c r="A48" s="246">
        <v>44</v>
      </c>
      <c r="B48" s="247" t="s">
        <v>20</v>
      </c>
      <c r="C48" s="302" t="str">
        <f>"91"</f>
        <v>91</v>
      </c>
      <c r="D48" s="247" t="s">
        <v>21</v>
      </c>
      <c r="E48" s="248">
        <v>5</v>
      </c>
      <c r="F48" s="249">
        <v>42117</v>
      </c>
      <c r="G48" s="249">
        <v>43943</v>
      </c>
      <c r="H48" s="247" t="s">
        <v>22</v>
      </c>
      <c r="I48" s="250" t="s">
        <v>3342</v>
      </c>
    </row>
    <row r="49" spans="1:9">
      <c r="A49" s="246">
        <v>45</v>
      </c>
      <c r="B49" s="247" t="s">
        <v>434</v>
      </c>
      <c r="C49" s="302" t="str">
        <f>"95"</f>
        <v>95</v>
      </c>
      <c r="D49" s="247" t="s">
        <v>21</v>
      </c>
      <c r="E49" s="248">
        <v>5</v>
      </c>
      <c r="F49" s="249">
        <v>42702</v>
      </c>
      <c r="G49" s="249">
        <v>44527</v>
      </c>
      <c r="H49" s="247" t="s">
        <v>22</v>
      </c>
      <c r="I49" s="250" t="s">
        <v>3342</v>
      </c>
    </row>
    <row r="50" spans="1:9">
      <c r="A50" s="246">
        <v>46</v>
      </c>
      <c r="B50" s="247" t="s">
        <v>86</v>
      </c>
      <c r="C50" s="302" t="str">
        <f>"101"</f>
        <v>101</v>
      </c>
      <c r="D50" s="247" t="s">
        <v>13</v>
      </c>
      <c r="E50" s="248">
        <v>59</v>
      </c>
      <c r="F50" s="249">
        <v>44475</v>
      </c>
      <c r="G50" s="249">
        <v>49953</v>
      </c>
      <c r="H50" s="247" t="s">
        <v>14</v>
      </c>
      <c r="I50" s="250" t="s">
        <v>79</v>
      </c>
    </row>
    <row r="51" spans="1:9">
      <c r="A51" s="246">
        <v>47</v>
      </c>
      <c r="B51" s="247" t="s">
        <v>92</v>
      </c>
      <c r="C51" s="302" t="str">
        <f>"102"</f>
        <v>102</v>
      </c>
      <c r="D51" s="247" t="s">
        <v>13</v>
      </c>
      <c r="E51" s="248">
        <v>55</v>
      </c>
      <c r="F51" s="249">
        <v>38828</v>
      </c>
      <c r="G51" s="249">
        <v>43743</v>
      </c>
      <c r="H51" s="247" t="s">
        <v>14</v>
      </c>
      <c r="I51" s="250" t="s">
        <v>433</v>
      </c>
    </row>
    <row r="52" spans="1:9">
      <c r="A52" s="246">
        <v>48</v>
      </c>
      <c r="B52" s="247" t="s">
        <v>20</v>
      </c>
      <c r="C52" s="302" t="str">
        <f>"105"</f>
        <v>105</v>
      </c>
      <c r="D52" s="247" t="s">
        <v>21</v>
      </c>
      <c r="E52" s="248">
        <v>5</v>
      </c>
      <c r="F52" s="249">
        <v>42117</v>
      </c>
      <c r="G52" s="249">
        <v>43943</v>
      </c>
      <c r="H52" s="247" t="s">
        <v>22</v>
      </c>
      <c r="I52" s="250" t="s">
        <v>3342</v>
      </c>
    </row>
    <row r="53" spans="1:9">
      <c r="A53" s="246">
        <v>49</v>
      </c>
      <c r="B53" s="247" t="s">
        <v>20</v>
      </c>
      <c r="C53" s="302" t="str">
        <f>"106"</f>
        <v>106</v>
      </c>
      <c r="D53" s="247" t="s">
        <v>21</v>
      </c>
      <c r="E53" s="248">
        <v>5</v>
      </c>
      <c r="F53" s="249">
        <v>42117</v>
      </c>
      <c r="G53" s="249">
        <v>43943</v>
      </c>
      <c r="H53" s="247" t="s">
        <v>22</v>
      </c>
      <c r="I53" s="250" t="s">
        <v>3342</v>
      </c>
    </row>
    <row r="54" spans="1:9">
      <c r="A54" s="246">
        <v>50</v>
      </c>
      <c r="B54" s="247" t="s">
        <v>20</v>
      </c>
      <c r="C54" s="302" t="str">
        <f>"107"</f>
        <v>107</v>
      </c>
      <c r="D54" s="247" t="s">
        <v>21</v>
      </c>
      <c r="E54" s="248">
        <v>1</v>
      </c>
      <c r="F54" s="249">
        <v>42117</v>
      </c>
      <c r="G54" s="249">
        <v>43943</v>
      </c>
      <c r="H54" s="247" t="s">
        <v>22</v>
      </c>
      <c r="I54" s="250" t="s">
        <v>3342</v>
      </c>
    </row>
    <row r="55" spans="1:9">
      <c r="A55" s="246">
        <v>51</v>
      </c>
      <c r="B55" s="247" t="s">
        <v>3343</v>
      </c>
      <c r="C55" s="302" t="str">
        <f>"113"</f>
        <v>113</v>
      </c>
      <c r="D55" s="247" t="s">
        <v>21</v>
      </c>
      <c r="E55" s="248">
        <v>4</v>
      </c>
      <c r="F55" s="249">
        <v>42213</v>
      </c>
      <c r="G55" s="249">
        <v>44039</v>
      </c>
      <c r="H55" s="247" t="s">
        <v>89</v>
      </c>
      <c r="I55" s="250" t="s">
        <v>433</v>
      </c>
    </row>
    <row r="56" spans="1:9">
      <c r="A56" s="246">
        <v>52</v>
      </c>
      <c r="B56" s="247" t="s">
        <v>435</v>
      </c>
      <c r="C56" s="302" t="str">
        <f>"117"</f>
        <v>117</v>
      </c>
      <c r="D56" s="247" t="s">
        <v>21</v>
      </c>
      <c r="E56" s="248">
        <v>1</v>
      </c>
      <c r="F56" s="249">
        <v>39717</v>
      </c>
      <c r="G56" s="249">
        <v>41542</v>
      </c>
      <c r="H56" s="247" t="s">
        <v>89</v>
      </c>
      <c r="I56" s="250" t="s">
        <v>3342</v>
      </c>
    </row>
    <row r="57" spans="1:9">
      <c r="A57" s="246">
        <v>53</v>
      </c>
      <c r="B57" s="247" t="s">
        <v>43</v>
      </c>
      <c r="C57" s="302" t="str">
        <f>"118"</f>
        <v>118</v>
      </c>
      <c r="D57" s="247" t="s">
        <v>13</v>
      </c>
      <c r="E57" s="248">
        <v>7</v>
      </c>
      <c r="F57" s="249">
        <v>38628</v>
      </c>
      <c r="G57" s="249">
        <v>44106</v>
      </c>
      <c r="H57" s="247" t="s">
        <v>70</v>
      </c>
      <c r="I57" s="250" t="s">
        <v>3342</v>
      </c>
    </row>
    <row r="58" spans="1:9">
      <c r="A58" s="246">
        <v>54</v>
      </c>
      <c r="B58" s="247" t="s">
        <v>43</v>
      </c>
      <c r="C58" s="302" t="str">
        <f>"119"</f>
        <v>119</v>
      </c>
      <c r="D58" s="247" t="s">
        <v>13</v>
      </c>
      <c r="E58" s="248">
        <v>101</v>
      </c>
      <c r="F58" s="249">
        <v>38628</v>
      </c>
      <c r="G58" s="249">
        <v>44106</v>
      </c>
      <c r="H58" s="247" t="s">
        <v>70</v>
      </c>
      <c r="I58" s="250" t="s">
        <v>3342</v>
      </c>
    </row>
    <row r="59" spans="1:9">
      <c r="A59" s="246">
        <v>55</v>
      </c>
      <c r="B59" s="247" t="s">
        <v>43</v>
      </c>
      <c r="C59" s="302" t="str">
        <f>"120"</f>
        <v>120</v>
      </c>
      <c r="D59" s="247" t="s">
        <v>13</v>
      </c>
      <c r="E59" s="248">
        <v>18</v>
      </c>
      <c r="F59" s="249">
        <v>38628</v>
      </c>
      <c r="G59" s="249">
        <v>44106</v>
      </c>
      <c r="H59" s="247" t="s">
        <v>16</v>
      </c>
      <c r="I59" s="250" t="s">
        <v>3342</v>
      </c>
    </row>
    <row r="60" spans="1:9">
      <c r="A60" s="246">
        <v>56</v>
      </c>
      <c r="B60" s="247" t="s">
        <v>43</v>
      </c>
      <c r="C60" s="302" t="str">
        <f>"121"</f>
        <v>121</v>
      </c>
      <c r="D60" s="247" t="s">
        <v>13</v>
      </c>
      <c r="E60" s="248">
        <v>68</v>
      </c>
      <c r="F60" s="249">
        <v>38628</v>
      </c>
      <c r="G60" s="249">
        <v>44106</v>
      </c>
      <c r="H60" s="247" t="s">
        <v>16</v>
      </c>
      <c r="I60" s="250" t="s">
        <v>3342</v>
      </c>
    </row>
    <row r="61" spans="1:9">
      <c r="A61" s="246">
        <v>57</v>
      </c>
      <c r="B61" s="247" t="s">
        <v>436</v>
      </c>
      <c r="C61" s="302" t="str">
        <f>"122"</f>
        <v>122</v>
      </c>
      <c r="D61" s="247" t="s">
        <v>13</v>
      </c>
      <c r="E61" s="248">
        <v>51</v>
      </c>
      <c r="F61" s="249">
        <v>38628</v>
      </c>
      <c r="G61" s="249">
        <v>44106</v>
      </c>
      <c r="H61" s="247" t="s">
        <v>70</v>
      </c>
      <c r="I61" s="250" t="s">
        <v>437</v>
      </c>
    </row>
    <row r="62" spans="1:9">
      <c r="A62" s="246">
        <v>58</v>
      </c>
      <c r="B62" s="247" t="s">
        <v>87</v>
      </c>
      <c r="C62" s="302" t="str">
        <f>"123"</f>
        <v>123</v>
      </c>
      <c r="D62" s="247" t="s">
        <v>13</v>
      </c>
      <c r="E62" s="248">
        <v>448</v>
      </c>
      <c r="F62" s="249">
        <v>44091</v>
      </c>
      <c r="G62" s="249">
        <v>49568</v>
      </c>
      <c r="H62" s="247" t="s">
        <v>16</v>
      </c>
      <c r="I62" s="250" t="s">
        <v>79</v>
      </c>
    </row>
    <row r="63" spans="1:9">
      <c r="A63" s="246">
        <v>59</v>
      </c>
      <c r="B63" s="247" t="s">
        <v>88</v>
      </c>
      <c r="C63" s="302" t="str">
        <f>"132"</f>
        <v>132</v>
      </c>
      <c r="D63" s="247" t="s">
        <v>21</v>
      </c>
      <c r="E63" s="248">
        <v>2</v>
      </c>
      <c r="F63" s="249">
        <v>43956</v>
      </c>
      <c r="G63" s="249">
        <v>45781</v>
      </c>
      <c r="H63" s="247" t="s">
        <v>89</v>
      </c>
      <c r="I63" s="250" t="s">
        <v>79</v>
      </c>
    </row>
    <row r="64" spans="1:9">
      <c r="A64" s="246">
        <v>60</v>
      </c>
      <c r="B64" s="247" t="s">
        <v>1939</v>
      </c>
      <c r="C64" s="302" t="str">
        <f>"133"</f>
        <v>133</v>
      </c>
      <c r="D64" s="247" t="s">
        <v>13</v>
      </c>
      <c r="E64" s="248">
        <v>36</v>
      </c>
      <c r="F64" s="249">
        <v>39785</v>
      </c>
      <c r="G64" s="249">
        <v>45262</v>
      </c>
      <c r="H64" s="247" t="s">
        <v>56</v>
      </c>
      <c r="I64" s="250" t="s">
        <v>3342</v>
      </c>
    </row>
    <row r="65" spans="1:9">
      <c r="A65" s="246">
        <v>61</v>
      </c>
      <c r="B65" s="247" t="s">
        <v>1939</v>
      </c>
      <c r="C65" s="302" t="str">
        <f>"134"</f>
        <v>134</v>
      </c>
      <c r="D65" s="247" t="s">
        <v>13</v>
      </c>
      <c r="E65" s="248">
        <v>36</v>
      </c>
      <c r="F65" s="249">
        <v>39785</v>
      </c>
      <c r="G65" s="249">
        <v>45262</v>
      </c>
      <c r="H65" s="247" t="s">
        <v>56</v>
      </c>
      <c r="I65" s="250" t="s">
        <v>3342</v>
      </c>
    </row>
    <row r="66" spans="1:9">
      <c r="A66" s="246">
        <v>62</v>
      </c>
      <c r="B66" s="247" t="s">
        <v>3344</v>
      </c>
      <c r="C66" s="302" t="str">
        <f>"137"</f>
        <v>137</v>
      </c>
      <c r="D66" s="247" t="s">
        <v>13</v>
      </c>
      <c r="E66" s="248">
        <v>36</v>
      </c>
      <c r="F66" s="249">
        <v>39867</v>
      </c>
      <c r="G66" s="249">
        <v>50823</v>
      </c>
      <c r="H66" s="247" t="s">
        <v>32</v>
      </c>
      <c r="I66" s="250" t="s">
        <v>433</v>
      </c>
    </row>
    <row r="67" spans="1:9">
      <c r="A67" s="246">
        <v>63</v>
      </c>
      <c r="B67" s="247" t="s">
        <v>160</v>
      </c>
      <c r="C67" s="302" t="str">
        <f>"138"</f>
        <v>138</v>
      </c>
      <c r="D67" s="247" t="s">
        <v>13</v>
      </c>
      <c r="E67" s="248">
        <v>36</v>
      </c>
      <c r="F67" s="249">
        <v>39867</v>
      </c>
      <c r="G67" s="249">
        <v>50823</v>
      </c>
      <c r="H67" s="247" t="s">
        <v>32</v>
      </c>
      <c r="I67" s="250" t="s">
        <v>437</v>
      </c>
    </row>
    <row r="68" spans="1:9">
      <c r="A68" s="246">
        <v>64</v>
      </c>
      <c r="B68" s="247" t="s">
        <v>3344</v>
      </c>
      <c r="C68" s="302" t="str">
        <f>"140"</f>
        <v>140</v>
      </c>
      <c r="D68" s="247" t="s">
        <v>13</v>
      </c>
      <c r="E68" s="248">
        <v>36</v>
      </c>
      <c r="F68" s="249">
        <v>39867</v>
      </c>
      <c r="G68" s="249">
        <v>50823</v>
      </c>
      <c r="H68" s="247" t="s">
        <v>31</v>
      </c>
      <c r="I68" s="250" t="s">
        <v>433</v>
      </c>
    </row>
    <row r="69" spans="1:9">
      <c r="A69" s="246">
        <v>65</v>
      </c>
      <c r="B69" s="247" t="s">
        <v>3345</v>
      </c>
      <c r="C69" s="302" t="str">
        <f>"152"</f>
        <v>152</v>
      </c>
      <c r="D69" s="247" t="s">
        <v>21</v>
      </c>
      <c r="E69" s="248">
        <v>4</v>
      </c>
      <c r="F69" s="249">
        <v>40521</v>
      </c>
      <c r="G69" s="249">
        <v>42346</v>
      </c>
      <c r="H69" s="247" t="s">
        <v>89</v>
      </c>
      <c r="I69" s="250" t="s">
        <v>3342</v>
      </c>
    </row>
    <row r="70" spans="1:9">
      <c r="A70" s="246">
        <v>66</v>
      </c>
      <c r="B70" s="247" t="s">
        <v>87</v>
      </c>
      <c r="C70" s="302" t="str">
        <f>"159"</f>
        <v>159</v>
      </c>
      <c r="D70" s="247" t="s">
        <v>13</v>
      </c>
      <c r="E70" s="248">
        <v>435</v>
      </c>
      <c r="F70" s="249">
        <v>40768</v>
      </c>
      <c r="G70" s="249">
        <v>46246</v>
      </c>
      <c r="H70" s="247" t="s">
        <v>16</v>
      </c>
      <c r="I70" s="250" t="s">
        <v>79</v>
      </c>
    </row>
    <row r="71" spans="1:9">
      <c r="A71" s="246">
        <v>67</v>
      </c>
      <c r="B71" s="247" t="s">
        <v>55</v>
      </c>
      <c r="C71" s="302" t="str">
        <f>"180"</f>
        <v>180</v>
      </c>
      <c r="D71" s="247" t="s">
        <v>13</v>
      </c>
      <c r="E71" s="248">
        <v>302</v>
      </c>
      <c r="F71" s="249">
        <v>38093</v>
      </c>
      <c r="G71" s="249">
        <v>44666</v>
      </c>
      <c r="H71" s="247" t="s">
        <v>56</v>
      </c>
      <c r="I71" s="250" t="s">
        <v>79</v>
      </c>
    </row>
    <row r="72" spans="1:9">
      <c r="A72" s="246">
        <v>68</v>
      </c>
      <c r="B72" s="247" t="s">
        <v>416</v>
      </c>
      <c r="C72" s="302" t="str">
        <f>"185"</f>
        <v>185</v>
      </c>
      <c r="D72" s="247" t="s">
        <v>13</v>
      </c>
      <c r="E72" s="248">
        <v>28</v>
      </c>
      <c r="F72" s="249">
        <v>41782</v>
      </c>
      <c r="G72" s="249">
        <v>47260</v>
      </c>
      <c r="H72" s="247" t="s">
        <v>59</v>
      </c>
      <c r="I72" s="250" t="s">
        <v>3346</v>
      </c>
    </row>
    <row r="73" spans="1:9">
      <c r="A73" s="246">
        <v>69</v>
      </c>
      <c r="B73" s="247" t="s">
        <v>416</v>
      </c>
      <c r="C73" s="302" t="str">
        <f>"186"</f>
        <v>186</v>
      </c>
      <c r="D73" s="247" t="s">
        <v>13</v>
      </c>
      <c r="E73" s="248">
        <v>1</v>
      </c>
      <c r="F73" s="249">
        <v>41782</v>
      </c>
      <c r="G73" s="249">
        <v>47260</v>
      </c>
      <c r="H73" s="247" t="s">
        <v>59</v>
      </c>
      <c r="I73" s="250" t="s">
        <v>3346</v>
      </c>
    </row>
    <row r="74" spans="1:9">
      <c r="A74" s="246">
        <v>70</v>
      </c>
      <c r="B74" s="247" t="s">
        <v>3347</v>
      </c>
      <c r="C74" s="302" t="str">
        <f>"203"</f>
        <v>203</v>
      </c>
      <c r="D74" s="247" t="s">
        <v>13</v>
      </c>
      <c r="E74" s="248">
        <v>30</v>
      </c>
      <c r="F74" s="249">
        <v>38867</v>
      </c>
      <c r="G74" s="249">
        <v>39477</v>
      </c>
      <c r="H74" s="247" t="s">
        <v>341</v>
      </c>
      <c r="I74" s="250" t="s">
        <v>438</v>
      </c>
    </row>
    <row r="75" spans="1:9">
      <c r="A75" s="246">
        <v>71</v>
      </c>
      <c r="B75" s="247" t="s">
        <v>3347</v>
      </c>
      <c r="C75" s="302" t="str">
        <f>"211"</f>
        <v>211</v>
      </c>
      <c r="D75" s="247" t="s">
        <v>13</v>
      </c>
      <c r="E75" s="248">
        <v>36</v>
      </c>
      <c r="F75" s="249">
        <v>38867</v>
      </c>
      <c r="G75" s="249">
        <v>39477</v>
      </c>
      <c r="H75" s="247" t="s">
        <v>341</v>
      </c>
      <c r="I75" s="250" t="s">
        <v>438</v>
      </c>
    </row>
    <row r="76" spans="1:9">
      <c r="A76" s="246">
        <v>72</v>
      </c>
      <c r="B76" s="247" t="s">
        <v>3347</v>
      </c>
      <c r="C76" s="302" t="str">
        <f>"212"</f>
        <v>212</v>
      </c>
      <c r="D76" s="247" t="s">
        <v>13</v>
      </c>
      <c r="E76" s="248">
        <v>36</v>
      </c>
      <c r="F76" s="249">
        <v>38867</v>
      </c>
      <c r="G76" s="249">
        <v>39477</v>
      </c>
      <c r="H76" s="247" t="s">
        <v>341</v>
      </c>
      <c r="I76" s="250" t="s">
        <v>438</v>
      </c>
    </row>
    <row r="77" spans="1:9">
      <c r="A77" s="246">
        <v>73</v>
      </c>
      <c r="B77" s="247" t="s">
        <v>3348</v>
      </c>
      <c r="C77" s="302" t="str">
        <f>"222"</f>
        <v>222</v>
      </c>
      <c r="D77" s="247" t="s">
        <v>30</v>
      </c>
      <c r="E77" s="248">
        <v>8</v>
      </c>
      <c r="F77" s="249">
        <v>38625</v>
      </c>
      <c r="G77" s="249">
        <v>42276</v>
      </c>
      <c r="H77" s="247" t="s">
        <v>26</v>
      </c>
      <c r="I77" s="250" t="s">
        <v>438</v>
      </c>
    </row>
    <row r="78" spans="1:9">
      <c r="A78" s="246">
        <v>74</v>
      </c>
      <c r="B78" s="247" t="s">
        <v>3348</v>
      </c>
      <c r="C78" s="302" t="str">
        <f>"223"</f>
        <v>223</v>
      </c>
      <c r="D78" s="247" t="s">
        <v>30</v>
      </c>
      <c r="E78" s="248">
        <v>14</v>
      </c>
      <c r="F78" s="249">
        <v>38625</v>
      </c>
      <c r="G78" s="249">
        <v>42276</v>
      </c>
      <c r="H78" s="247" t="s">
        <v>26</v>
      </c>
      <c r="I78" s="250" t="s">
        <v>438</v>
      </c>
    </row>
    <row r="79" spans="1:9">
      <c r="A79" s="246">
        <v>75</v>
      </c>
      <c r="B79" s="247" t="s">
        <v>75</v>
      </c>
      <c r="C79" s="302" t="str">
        <f>"235"</f>
        <v>235</v>
      </c>
      <c r="D79" s="247" t="s">
        <v>13</v>
      </c>
      <c r="E79" s="248">
        <v>144</v>
      </c>
      <c r="F79" s="249">
        <v>41950</v>
      </c>
      <c r="G79" s="249">
        <v>44779</v>
      </c>
      <c r="H79" s="247" t="s">
        <v>56</v>
      </c>
      <c r="I79" s="250" t="s">
        <v>433</v>
      </c>
    </row>
    <row r="80" spans="1:9">
      <c r="A80" s="246">
        <v>76</v>
      </c>
      <c r="B80" s="247" t="s">
        <v>55</v>
      </c>
      <c r="C80" s="302" t="str">
        <f>"237"</f>
        <v>237</v>
      </c>
      <c r="D80" s="247" t="s">
        <v>13</v>
      </c>
      <c r="E80" s="248">
        <v>49</v>
      </c>
      <c r="F80" s="249">
        <v>41950</v>
      </c>
      <c r="G80" s="249">
        <v>44779</v>
      </c>
      <c r="H80" s="247" t="s">
        <v>56</v>
      </c>
      <c r="I80" s="250" t="s">
        <v>433</v>
      </c>
    </row>
    <row r="81" spans="1:9">
      <c r="A81" s="246">
        <v>77</v>
      </c>
      <c r="B81" s="247" t="s">
        <v>90</v>
      </c>
      <c r="C81" s="302" t="str">
        <f>"238"</f>
        <v>238</v>
      </c>
      <c r="D81" s="247" t="s">
        <v>13</v>
      </c>
      <c r="E81" s="248">
        <v>42</v>
      </c>
      <c r="F81" s="249">
        <v>34645</v>
      </c>
      <c r="G81" s="249">
        <v>44872</v>
      </c>
      <c r="H81" s="247" t="s">
        <v>84</v>
      </c>
      <c r="I81" s="250" t="s">
        <v>79</v>
      </c>
    </row>
    <row r="82" spans="1:9">
      <c r="A82" s="246">
        <v>78</v>
      </c>
      <c r="B82" s="247" t="s">
        <v>91</v>
      </c>
      <c r="C82" s="302" t="str">
        <f>"251"</f>
        <v>251</v>
      </c>
      <c r="D82" s="247" t="s">
        <v>13</v>
      </c>
      <c r="E82" s="248">
        <v>36</v>
      </c>
      <c r="F82" s="249">
        <v>42329</v>
      </c>
      <c r="G82" s="249">
        <v>45490</v>
      </c>
      <c r="H82" s="247" t="s">
        <v>26</v>
      </c>
      <c r="I82" s="250" t="s">
        <v>79</v>
      </c>
    </row>
    <row r="83" spans="1:9">
      <c r="A83" s="246">
        <v>79</v>
      </c>
      <c r="B83" s="247" t="s">
        <v>91</v>
      </c>
      <c r="C83" s="302" t="str">
        <f>"252"</f>
        <v>252</v>
      </c>
      <c r="D83" s="247" t="s">
        <v>13</v>
      </c>
      <c r="E83" s="248">
        <v>25</v>
      </c>
      <c r="F83" s="249">
        <v>42329</v>
      </c>
      <c r="G83" s="249">
        <v>45490</v>
      </c>
      <c r="H83" s="247" t="s">
        <v>26</v>
      </c>
      <c r="I83" s="250" t="s">
        <v>79</v>
      </c>
    </row>
    <row r="84" spans="1:9">
      <c r="A84" s="246">
        <v>80</v>
      </c>
      <c r="B84" s="247" t="s">
        <v>3349</v>
      </c>
      <c r="C84" s="302" t="str">
        <f>"258"</f>
        <v>258</v>
      </c>
      <c r="D84" s="247" t="s">
        <v>13</v>
      </c>
      <c r="E84" s="248">
        <v>6</v>
      </c>
      <c r="F84" s="249">
        <v>39811</v>
      </c>
      <c r="G84" s="249">
        <v>50767</v>
      </c>
      <c r="H84" s="247" t="s">
        <v>3350</v>
      </c>
      <c r="I84" s="250" t="s">
        <v>3351</v>
      </c>
    </row>
    <row r="85" spans="1:9">
      <c r="A85" s="246">
        <v>81</v>
      </c>
      <c r="B85" s="247" t="s">
        <v>3349</v>
      </c>
      <c r="C85" s="302" t="str">
        <f>"260"</f>
        <v>260</v>
      </c>
      <c r="D85" s="247" t="s">
        <v>18</v>
      </c>
      <c r="E85" s="248">
        <v>18</v>
      </c>
      <c r="F85" s="249">
        <v>38867</v>
      </c>
      <c r="G85" s="249">
        <v>44475</v>
      </c>
      <c r="H85" s="247" t="s">
        <v>3350</v>
      </c>
      <c r="I85" s="250" t="s">
        <v>437</v>
      </c>
    </row>
    <row r="86" spans="1:9">
      <c r="A86" s="246">
        <v>82</v>
      </c>
      <c r="B86" s="247" t="s">
        <v>3349</v>
      </c>
      <c r="C86" s="302" t="str">
        <f>"262"</f>
        <v>262</v>
      </c>
      <c r="D86" s="247" t="s">
        <v>18</v>
      </c>
      <c r="E86" s="248">
        <v>9</v>
      </c>
      <c r="F86" s="249">
        <v>35110</v>
      </c>
      <c r="G86" s="249">
        <v>40954</v>
      </c>
      <c r="H86" s="247" t="s">
        <v>3350</v>
      </c>
      <c r="I86" s="250" t="s">
        <v>3351</v>
      </c>
    </row>
    <row r="87" spans="1:9">
      <c r="A87" s="246">
        <v>83</v>
      </c>
      <c r="B87" s="247" t="s">
        <v>3352</v>
      </c>
      <c r="C87" s="302" t="str">
        <f>"269"</f>
        <v>269</v>
      </c>
      <c r="D87" s="247" t="s">
        <v>30</v>
      </c>
      <c r="E87" s="248">
        <v>11</v>
      </c>
      <c r="F87" s="249">
        <v>38607</v>
      </c>
      <c r="G87" s="249">
        <v>41893</v>
      </c>
      <c r="H87" s="247" t="s">
        <v>26</v>
      </c>
      <c r="I87" s="250" t="s">
        <v>3342</v>
      </c>
    </row>
    <row r="88" spans="1:9">
      <c r="A88" s="246">
        <v>84</v>
      </c>
      <c r="B88" s="247" t="s">
        <v>396</v>
      </c>
      <c r="C88" s="302" t="str">
        <f>"270"</f>
        <v>270</v>
      </c>
      <c r="D88" s="247" t="s">
        <v>30</v>
      </c>
      <c r="E88" s="248">
        <v>30</v>
      </c>
      <c r="F88" s="249">
        <v>38558</v>
      </c>
      <c r="G88" s="249">
        <v>42440</v>
      </c>
      <c r="H88" s="247" t="s">
        <v>26</v>
      </c>
      <c r="I88" s="250" t="s">
        <v>3353</v>
      </c>
    </row>
    <row r="89" spans="1:9">
      <c r="A89" s="246">
        <v>85</v>
      </c>
      <c r="B89" s="247" t="s">
        <v>92</v>
      </c>
      <c r="C89" s="302" t="str">
        <f>"271"</f>
        <v>271</v>
      </c>
      <c r="D89" s="247" t="s">
        <v>13</v>
      </c>
      <c r="E89" s="248">
        <v>20</v>
      </c>
      <c r="F89" s="249">
        <v>42476</v>
      </c>
      <c r="G89" s="249">
        <v>47953</v>
      </c>
      <c r="H89" s="247" t="s">
        <v>14</v>
      </c>
      <c r="I89" s="250" t="s">
        <v>79</v>
      </c>
    </row>
    <row r="90" spans="1:9">
      <c r="A90" s="246">
        <v>86</v>
      </c>
      <c r="B90" s="247" t="s">
        <v>93</v>
      </c>
      <c r="C90" s="302" t="str">
        <f>"312"</f>
        <v>312</v>
      </c>
      <c r="D90" s="247" t="s">
        <v>13</v>
      </c>
      <c r="E90" s="248">
        <v>10</v>
      </c>
      <c r="F90" s="249">
        <v>42411</v>
      </c>
      <c r="G90" s="249">
        <v>54101</v>
      </c>
      <c r="H90" s="247" t="s">
        <v>26</v>
      </c>
      <c r="I90" s="250" t="s">
        <v>79</v>
      </c>
    </row>
    <row r="91" spans="1:9">
      <c r="A91" s="246">
        <v>87</v>
      </c>
      <c r="B91" s="247" t="s">
        <v>3349</v>
      </c>
      <c r="C91" s="302" t="str">
        <f>"317"</f>
        <v>317</v>
      </c>
      <c r="D91" s="247" t="s">
        <v>13</v>
      </c>
      <c r="E91" s="248">
        <v>13</v>
      </c>
      <c r="F91" s="249">
        <v>37230</v>
      </c>
      <c r="G91" s="249">
        <v>42708</v>
      </c>
      <c r="H91" s="247" t="s">
        <v>3350</v>
      </c>
      <c r="I91" s="250" t="s">
        <v>3351</v>
      </c>
    </row>
    <row r="92" spans="1:9">
      <c r="A92" s="246">
        <v>88</v>
      </c>
      <c r="B92" s="247" t="s">
        <v>86</v>
      </c>
      <c r="C92" s="302" t="str">
        <f>"330"</f>
        <v>330</v>
      </c>
      <c r="D92" s="247" t="s">
        <v>13</v>
      </c>
      <c r="E92" s="248">
        <v>28</v>
      </c>
      <c r="F92" s="249">
        <v>42764</v>
      </c>
      <c r="G92" s="249">
        <v>48241</v>
      </c>
      <c r="H92" s="247" t="s">
        <v>14</v>
      </c>
      <c r="I92" s="250" t="s">
        <v>79</v>
      </c>
    </row>
    <row r="93" spans="1:9">
      <c r="A93" s="246">
        <v>89</v>
      </c>
      <c r="B93" s="247" t="s">
        <v>3354</v>
      </c>
      <c r="C93" s="302" t="str">
        <f>"331"</f>
        <v>331</v>
      </c>
      <c r="D93" s="247" t="s">
        <v>13</v>
      </c>
      <c r="E93" s="248">
        <v>82</v>
      </c>
      <c r="F93" s="249">
        <v>35462</v>
      </c>
      <c r="G93" s="249">
        <v>42766</v>
      </c>
      <c r="H93" s="247" t="s">
        <v>3350</v>
      </c>
      <c r="I93" s="250" t="s">
        <v>438</v>
      </c>
    </row>
    <row r="94" spans="1:9">
      <c r="A94" s="246">
        <v>90</v>
      </c>
      <c r="B94" s="247" t="s">
        <v>439</v>
      </c>
      <c r="C94" s="302" t="str">
        <f>"332"</f>
        <v>332</v>
      </c>
      <c r="D94" s="247" t="s">
        <v>21</v>
      </c>
      <c r="E94" s="248">
        <v>3</v>
      </c>
      <c r="F94" s="249">
        <v>40491</v>
      </c>
      <c r="G94" s="249">
        <v>42316</v>
      </c>
      <c r="H94" s="247" t="s">
        <v>22</v>
      </c>
      <c r="I94" s="250" t="s">
        <v>3342</v>
      </c>
    </row>
    <row r="95" spans="1:9">
      <c r="A95" s="246">
        <v>91</v>
      </c>
      <c r="B95" s="247" t="s">
        <v>3354</v>
      </c>
      <c r="C95" s="302" t="str">
        <f>"334"</f>
        <v>334</v>
      </c>
      <c r="D95" s="247" t="s">
        <v>13</v>
      </c>
      <c r="E95" s="248">
        <v>36</v>
      </c>
      <c r="F95" s="249">
        <v>37328</v>
      </c>
      <c r="G95" s="249">
        <v>42806</v>
      </c>
      <c r="H95" s="247" t="s">
        <v>24</v>
      </c>
      <c r="I95" s="250" t="s">
        <v>438</v>
      </c>
    </row>
    <row r="96" spans="1:9">
      <c r="A96" s="246">
        <v>92</v>
      </c>
      <c r="B96" s="247" t="s">
        <v>3354</v>
      </c>
      <c r="C96" s="302" t="str">
        <f>"336"</f>
        <v>336</v>
      </c>
      <c r="D96" s="247" t="s">
        <v>13</v>
      </c>
      <c r="E96" s="248">
        <v>36</v>
      </c>
      <c r="F96" s="249">
        <v>37328</v>
      </c>
      <c r="G96" s="249">
        <v>42806</v>
      </c>
      <c r="H96" s="247" t="s">
        <v>24</v>
      </c>
      <c r="I96" s="250" t="s">
        <v>438</v>
      </c>
    </row>
    <row r="97" spans="1:9">
      <c r="A97" s="246">
        <v>93</v>
      </c>
      <c r="B97" s="247" t="s">
        <v>3355</v>
      </c>
      <c r="C97" s="302" t="str">
        <f>"364"</f>
        <v>364</v>
      </c>
      <c r="D97" s="247" t="s">
        <v>13</v>
      </c>
      <c r="E97" s="248">
        <v>36</v>
      </c>
      <c r="F97" s="249">
        <v>39680</v>
      </c>
      <c r="G97" s="249">
        <v>45157</v>
      </c>
      <c r="H97" s="247" t="s">
        <v>31</v>
      </c>
      <c r="I97" s="250" t="s">
        <v>437</v>
      </c>
    </row>
    <row r="98" spans="1:9">
      <c r="A98" s="246">
        <v>94</v>
      </c>
      <c r="B98" s="247" t="s">
        <v>72</v>
      </c>
      <c r="C98" s="302" t="str">
        <f>"366"</f>
        <v>366</v>
      </c>
      <c r="D98" s="247" t="s">
        <v>13</v>
      </c>
      <c r="E98" s="248">
        <v>3</v>
      </c>
      <c r="F98" s="249">
        <v>39676</v>
      </c>
      <c r="G98" s="249">
        <v>45153</v>
      </c>
      <c r="H98" s="247" t="s">
        <v>94</v>
      </c>
      <c r="I98" s="250" t="s">
        <v>79</v>
      </c>
    </row>
    <row r="99" spans="1:9">
      <c r="A99" s="246">
        <v>95</v>
      </c>
      <c r="B99" s="247" t="s">
        <v>3356</v>
      </c>
      <c r="C99" s="302" t="str">
        <f>"367"</f>
        <v>367</v>
      </c>
      <c r="D99" s="247" t="s">
        <v>13</v>
      </c>
      <c r="E99" s="248">
        <v>24</v>
      </c>
      <c r="F99" s="249">
        <v>37805</v>
      </c>
      <c r="G99" s="249">
        <v>44705</v>
      </c>
      <c r="H99" s="247" t="s">
        <v>34</v>
      </c>
      <c r="I99" s="250" t="s">
        <v>3351</v>
      </c>
    </row>
    <row r="100" spans="1:9">
      <c r="A100" s="246">
        <v>96</v>
      </c>
      <c r="B100" s="247" t="s">
        <v>72</v>
      </c>
      <c r="C100" s="302" t="str">
        <f>"382"</f>
        <v>382</v>
      </c>
      <c r="D100" s="247" t="s">
        <v>13</v>
      </c>
      <c r="E100" s="248">
        <v>3</v>
      </c>
      <c r="F100" s="249">
        <v>39676</v>
      </c>
      <c r="G100" s="249">
        <v>45153</v>
      </c>
      <c r="H100" s="247" t="s">
        <v>34</v>
      </c>
      <c r="I100" s="250" t="s">
        <v>79</v>
      </c>
    </row>
    <row r="101" spans="1:9">
      <c r="A101" s="246">
        <v>97</v>
      </c>
      <c r="B101" s="247" t="s">
        <v>72</v>
      </c>
      <c r="C101" s="302" t="str">
        <f>"389"</f>
        <v>389</v>
      </c>
      <c r="D101" s="247" t="s">
        <v>13</v>
      </c>
      <c r="E101" s="248">
        <v>10</v>
      </c>
      <c r="F101" s="249">
        <v>39676</v>
      </c>
      <c r="G101" s="249">
        <v>45153</v>
      </c>
      <c r="H101" s="247" t="s">
        <v>34</v>
      </c>
      <c r="I101" s="250" t="s">
        <v>79</v>
      </c>
    </row>
    <row r="102" spans="1:9">
      <c r="A102" s="246">
        <v>98</v>
      </c>
      <c r="B102" s="247" t="s">
        <v>72</v>
      </c>
      <c r="C102" s="302" t="str">
        <f>"395"</f>
        <v>395</v>
      </c>
      <c r="D102" s="247" t="s">
        <v>13</v>
      </c>
      <c r="E102" s="248">
        <v>6</v>
      </c>
      <c r="F102" s="249">
        <v>39676</v>
      </c>
      <c r="G102" s="249">
        <v>45153</v>
      </c>
      <c r="H102" s="247" t="s">
        <v>34</v>
      </c>
      <c r="I102" s="250" t="s">
        <v>79</v>
      </c>
    </row>
    <row r="103" spans="1:9">
      <c r="A103" s="246">
        <v>99</v>
      </c>
      <c r="B103" s="247" t="s">
        <v>72</v>
      </c>
      <c r="C103" s="302" t="str">
        <f>"397"</f>
        <v>397</v>
      </c>
      <c r="D103" s="247" t="s">
        <v>13</v>
      </c>
      <c r="E103" s="248">
        <v>4</v>
      </c>
      <c r="F103" s="249">
        <v>39676</v>
      </c>
      <c r="G103" s="249">
        <v>45153</v>
      </c>
      <c r="H103" s="247" t="s">
        <v>34</v>
      </c>
      <c r="I103" s="250" t="s">
        <v>79</v>
      </c>
    </row>
    <row r="104" spans="1:9">
      <c r="A104" s="246">
        <v>100</v>
      </c>
      <c r="B104" s="247" t="s">
        <v>72</v>
      </c>
      <c r="C104" s="302" t="str">
        <f>"398"</f>
        <v>398</v>
      </c>
      <c r="D104" s="247" t="s">
        <v>13</v>
      </c>
      <c r="E104" s="248">
        <v>18</v>
      </c>
      <c r="F104" s="249">
        <v>39676</v>
      </c>
      <c r="G104" s="249">
        <v>45153</v>
      </c>
      <c r="H104" s="247" t="s">
        <v>34</v>
      </c>
      <c r="I104" s="250" t="s">
        <v>79</v>
      </c>
    </row>
    <row r="105" spans="1:9">
      <c r="A105" s="246">
        <v>101</v>
      </c>
      <c r="B105" s="247" t="s">
        <v>72</v>
      </c>
      <c r="C105" s="302" t="str">
        <f>"399"</f>
        <v>399</v>
      </c>
      <c r="D105" s="247" t="s">
        <v>13</v>
      </c>
      <c r="E105" s="248">
        <v>19</v>
      </c>
      <c r="F105" s="249">
        <v>39676</v>
      </c>
      <c r="G105" s="249">
        <v>45153</v>
      </c>
      <c r="H105" s="247" t="s">
        <v>34</v>
      </c>
      <c r="I105" s="250" t="s">
        <v>79</v>
      </c>
    </row>
    <row r="106" spans="1:9">
      <c r="A106" s="246">
        <v>102</v>
      </c>
      <c r="B106" s="247" t="s">
        <v>72</v>
      </c>
      <c r="C106" s="302" t="str">
        <f>"402"</f>
        <v>402</v>
      </c>
      <c r="D106" s="247" t="s">
        <v>13</v>
      </c>
      <c r="E106" s="248">
        <v>4</v>
      </c>
      <c r="F106" s="249">
        <v>39676</v>
      </c>
      <c r="G106" s="249">
        <v>45153</v>
      </c>
      <c r="H106" s="247" t="s">
        <v>34</v>
      </c>
      <c r="I106" s="250" t="s">
        <v>79</v>
      </c>
    </row>
    <row r="107" spans="1:9">
      <c r="A107" s="246">
        <v>103</v>
      </c>
      <c r="B107" s="247" t="s">
        <v>72</v>
      </c>
      <c r="C107" s="302" t="str">
        <f>"407"</f>
        <v>407</v>
      </c>
      <c r="D107" s="247" t="s">
        <v>13</v>
      </c>
      <c r="E107" s="248">
        <v>20</v>
      </c>
      <c r="F107" s="249">
        <v>39676</v>
      </c>
      <c r="G107" s="249">
        <v>45153</v>
      </c>
      <c r="H107" s="247" t="s">
        <v>34</v>
      </c>
      <c r="I107" s="250" t="s">
        <v>79</v>
      </c>
    </row>
    <row r="108" spans="1:9">
      <c r="A108" s="246">
        <v>104</v>
      </c>
      <c r="B108" s="247" t="s">
        <v>72</v>
      </c>
      <c r="C108" s="302" t="str">
        <f>"408"</f>
        <v>408</v>
      </c>
      <c r="D108" s="247" t="s">
        <v>13</v>
      </c>
      <c r="E108" s="248">
        <v>4</v>
      </c>
      <c r="F108" s="249">
        <v>39676</v>
      </c>
      <c r="G108" s="249">
        <v>45153</v>
      </c>
      <c r="H108" s="247" t="s">
        <v>34</v>
      </c>
      <c r="I108" s="250" t="s">
        <v>79</v>
      </c>
    </row>
    <row r="109" spans="1:9">
      <c r="A109" s="246">
        <v>105</v>
      </c>
      <c r="B109" s="247" t="s">
        <v>72</v>
      </c>
      <c r="C109" s="302" t="str">
        <f>"409"</f>
        <v>409</v>
      </c>
      <c r="D109" s="247" t="s">
        <v>13</v>
      </c>
      <c r="E109" s="248">
        <v>13</v>
      </c>
      <c r="F109" s="249">
        <v>39676</v>
      </c>
      <c r="G109" s="249">
        <v>45153</v>
      </c>
      <c r="H109" s="247" t="s">
        <v>34</v>
      </c>
      <c r="I109" s="250" t="s">
        <v>79</v>
      </c>
    </row>
    <row r="110" spans="1:9">
      <c r="A110" s="246">
        <v>106</v>
      </c>
      <c r="B110" s="247" t="s">
        <v>72</v>
      </c>
      <c r="C110" s="302" t="str">
        <f>"410"</f>
        <v>410</v>
      </c>
      <c r="D110" s="247" t="s">
        <v>13</v>
      </c>
      <c r="E110" s="248">
        <v>52</v>
      </c>
      <c r="F110" s="249">
        <v>39676</v>
      </c>
      <c r="G110" s="249">
        <v>45153</v>
      </c>
      <c r="H110" s="247" t="s">
        <v>34</v>
      </c>
      <c r="I110" s="250" t="s">
        <v>79</v>
      </c>
    </row>
    <row r="111" spans="1:9">
      <c r="A111" s="246">
        <v>107</v>
      </c>
      <c r="B111" s="247" t="s">
        <v>72</v>
      </c>
      <c r="C111" s="302" t="str">
        <f>"422"</f>
        <v>422</v>
      </c>
      <c r="D111" s="247" t="s">
        <v>13</v>
      </c>
      <c r="E111" s="248">
        <v>30</v>
      </c>
      <c r="F111" s="249">
        <v>37804</v>
      </c>
      <c r="G111" s="249">
        <v>43282</v>
      </c>
      <c r="H111" s="247" t="s">
        <v>34</v>
      </c>
      <c r="I111" s="250" t="s">
        <v>437</v>
      </c>
    </row>
    <row r="112" spans="1:9">
      <c r="A112" s="246">
        <v>108</v>
      </c>
      <c r="B112" s="247" t="s">
        <v>72</v>
      </c>
      <c r="C112" s="302" t="str">
        <f>"424"</f>
        <v>424</v>
      </c>
      <c r="D112" s="247" t="s">
        <v>13</v>
      </c>
      <c r="E112" s="248">
        <v>25</v>
      </c>
      <c r="F112" s="249">
        <v>37804</v>
      </c>
      <c r="G112" s="249">
        <v>43282</v>
      </c>
      <c r="H112" s="247" t="s">
        <v>34</v>
      </c>
      <c r="I112" s="250" t="s">
        <v>437</v>
      </c>
    </row>
    <row r="113" spans="1:9">
      <c r="A113" s="246">
        <v>109</v>
      </c>
      <c r="B113" s="247" t="s">
        <v>3356</v>
      </c>
      <c r="C113" s="302" t="str">
        <f>"425"</f>
        <v>425</v>
      </c>
      <c r="D113" s="247" t="s">
        <v>13</v>
      </c>
      <c r="E113" s="248">
        <v>24</v>
      </c>
      <c r="F113" s="249">
        <v>37805</v>
      </c>
      <c r="G113" s="249">
        <v>44704</v>
      </c>
      <c r="H113" s="247" t="s">
        <v>34</v>
      </c>
      <c r="I113" s="250" t="s">
        <v>3351</v>
      </c>
    </row>
    <row r="114" spans="1:9">
      <c r="A114" s="246">
        <v>110</v>
      </c>
      <c r="B114" s="247" t="s">
        <v>72</v>
      </c>
      <c r="C114" s="302" t="str">
        <f>"426"</f>
        <v>426</v>
      </c>
      <c r="D114" s="247" t="s">
        <v>13</v>
      </c>
      <c r="E114" s="248">
        <v>28</v>
      </c>
      <c r="F114" s="249">
        <v>37804</v>
      </c>
      <c r="G114" s="249">
        <v>43282</v>
      </c>
      <c r="H114" s="247" t="s">
        <v>34</v>
      </c>
      <c r="I114" s="250" t="s">
        <v>437</v>
      </c>
    </row>
    <row r="115" spans="1:9">
      <c r="A115" s="246">
        <v>111</v>
      </c>
      <c r="B115" s="247" t="s">
        <v>72</v>
      </c>
      <c r="C115" s="302" t="str">
        <f>"428"</f>
        <v>428</v>
      </c>
      <c r="D115" s="247" t="s">
        <v>13</v>
      </c>
      <c r="E115" s="248">
        <v>30</v>
      </c>
      <c r="F115" s="249">
        <v>37804</v>
      </c>
      <c r="G115" s="249">
        <v>43282</v>
      </c>
      <c r="H115" s="247" t="s">
        <v>34</v>
      </c>
      <c r="I115" s="250" t="s">
        <v>437</v>
      </c>
    </row>
    <row r="116" spans="1:9">
      <c r="A116" s="246">
        <v>112</v>
      </c>
      <c r="B116" s="247" t="s">
        <v>72</v>
      </c>
      <c r="C116" s="302" t="str">
        <f>"429"</f>
        <v>429</v>
      </c>
      <c r="D116" s="247" t="s">
        <v>13</v>
      </c>
      <c r="E116" s="248">
        <v>20</v>
      </c>
      <c r="F116" s="249">
        <v>37804</v>
      </c>
      <c r="G116" s="249">
        <v>43282</v>
      </c>
      <c r="H116" s="247" t="s">
        <v>34</v>
      </c>
      <c r="I116" s="250" t="s">
        <v>437</v>
      </c>
    </row>
    <row r="117" spans="1:9">
      <c r="A117" s="246">
        <v>113</v>
      </c>
      <c r="B117" s="247" t="s">
        <v>72</v>
      </c>
      <c r="C117" s="302" t="str">
        <f>"430"</f>
        <v>430</v>
      </c>
      <c r="D117" s="247" t="s">
        <v>13</v>
      </c>
      <c r="E117" s="248">
        <v>30</v>
      </c>
      <c r="F117" s="249">
        <v>39272</v>
      </c>
      <c r="G117" s="249">
        <v>44750</v>
      </c>
      <c r="H117" s="247" t="s">
        <v>34</v>
      </c>
      <c r="I117" s="250" t="s">
        <v>433</v>
      </c>
    </row>
    <row r="118" spans="1:9">
      <c r="A118" s="246">
        <v>114</v>
      </c>
      <c r="B118" s="247" t="s">
        <v>72</v>
      </c>
      <c r="C118" s="302" t="str">
        <f>"432"</f>
        <v>432</v>
      </c>
      <c r="D118" s="247" t="s">
        <v>13</v>
      </c>
      <c r="E118" s="248">
        <v>28</v>
      </c>
      <c r="F118" s="249">
        <v>37804</v>
      </c>
      <c r="G118" s="249">
        <v>43282</v>
      </c>
      <c r="H118" s="247" t="s">
        <v>34</v>
      </c>
      <c r="I118" s="250" t="s">
        <v>437</v>
      </c>
    </row>
    <row r="119" spans="1:9">
      <c r="A119" s="246">
        <v>115</v>
      </c>
      <c r="B119" s="247" t="s">
        <v>72</v>
      </c>
      <c r="C119" s="302" t="str">
        <f>"437"</f>
        <v>437</v>
      </c>
      <c r="D119" s="247" t="s">
        <v>13</v>
      </c>
      <c r="E119" s="248">
        <v>20</v>
      </c>
      <c r="F119" s="249">
        <v>37804</v>
      </c>
      <c r="G119" s="249">
        <v>43282</v>
      </c>
      <c r="H119" s="247" t="s">
        <v>34</v>
      </c>
      <c r="I119" s="250" t="s">
        <v>437</v>
      </c>
    </row>
    <row r="120" spans="1:9">
      <c r="A120" s="246">
        <v>116</v>
      </c>
      <c r="B120" s="247" t="s">
        <v>72</v>
      </c>
      <c r="C120" s="302" t="str">
        <f>"446"</f>
        <v>446</v>
      </c>
      <c r="D120" s="247" t="s">
        <v>13</v>
      </c>
      <c r="E120" s="248">
        <v>24</v>
      </c>
      <c r="F120" s="249">
        <v>37804</v>
      </c>
      <c r="G120" s="249">
        <v>43282</v>
      </c>
      <c r="H120" s="247" t="s">
        <v>34</v>
      </c>
      <c r="I120" s="250" t="s">
        <v>437</v>
      </c>
    </row>
    <row r="121" spans="1:9">
      <c r="A121" s="246">
        <v>117</v>
      </c>
      <c r="B121" s="247" t="s">
        <v>72</v>
      </c>
      <c r="C121" s="302" t="str">
        <f>"450"</f>
        <v>450</v>
      </c>
      <c r="D121" s="247" t="s">
        <v>13</v>
      </c>
      <c r="E121" s="248">
        <v>25</v>
      </c>
      <c r="F121" s="249">
        <v>37804</v>
      </c>
      <c r="G121" s="249">
        <v>43282</v>
      </c>
      <c r="H121" s="247" t="s">
        <v>34</v>
      </c>
      <c r="I121" s="250" t="s">
        <v>437</v>
      </c>
    </row>
    <row r="122" spans="1:9">
      <c r="A122" s="246">
        <v>118</v>
      </c>
      <c r="B122" s="247" t="s">
        <v>95</v>
      </c>
      <c r="C122" s="302" t="str">
        <f>"463"</f>
        <v>463</v>
      </c>
      <c r="D122" s="247" t="s">
        <v>13</v>
      </c>
      <c r="E122" s="248">
        <v>44</v>
      </c>
      <c r="F122" s="249">
        <v>39906</v>
      </c>
      <c r="G122" s="249">
        <v>45384</v>
      </c>
      <c r="H122" s="247" t="s">
        <v>14</v>
      </c>
      <c r="I122" s="250" t="s">
        <v>79</v>
      </c>
    </row>
    <row r="123" spans="1:9">
      <c r="A123" s="246">
        <v>119</v>
      </c>
      <c r="B123" s="247" t="s">
        <v>43</v>
      </c>
      <c r="C123" s="302" t="str">
        <f>"464"</f>
        <v>464</v>
      </c>
      <c r="D123" s="247" t="s">
        <v>13</v>
      </c>
      <c r="E123" s="248">
        <v>21</v>
      </c>
      <c r="F123" s="249">
        <v>39906</v>
      </c>
      <c r="G123" s="249">
        <v>45384</v>
      </c>
      <c r="H123" s="247" t="s">
        <v>14</v>
      </c>
      <c r="I123" s="250" t="s">
        <v>3357</v>
      </c>
    </row>
    <row r="124" spans="1:9">
      <c r="A124" s="246">
        <v>120</v>
      </c>
      <c r="B124" s="247" t="s">
        <v>96</v>
      </c>
      <c r="C124" s="302" t="str">
        <f>"465"</f>
        <v>465</v>
      </c>
      <c r="D124" s="247" t="s">
        <v>13</v>
      </c>
      <c r="E124" s="248">
        <v>30</v>
      </c>
      <c r="F124" s="249">
        <v>40102</v>
      </c>
      <c r="G124" s="249">
        <v>45384</v>
      </c>
      <c r="H124" s="247" t="s">
        <v>14</v>
      </c>
      <c r="I124" s="250" t="s">
        <v>79</v>
      </c>
    </row>
    <row r="125" spans="1:9">
      <c r="A125" s="246">
        <v>121</v>
      </c>
      <c r="B125" s="247" t="s">
        <v>95</v>
      </c>
      <c r="C125" s="302" t="str">
        <f>"467"</f>
        <v>467</v>
      </c>
      <c r="D125" s="247" t="s">
        <v>13</v>
      </c>
      <c r="E125" s="248">
        <v>151</v>
      </c>
      <c r="F125" s="249">
        <v>39906</v>
      </c>
      <c r="G125" s="249">
        <v>45384</v>
      </c>
      <c r="H125" s="247" t="s">
        <v>16</v>
      </c>
      <c r="I125" s="250" t="s">
        <v>79</v>
      </c>
    </row>
    <row r="126" spans="1:9">
      <c r="A126" s="246">
        <v>122</v>
      </c>
      <c r="B126" s="247" t="s">
        <v>95</v>
      </c>
      <c r="C126" s="302" t="str">
        <f>"468"</f>
        <v>468</v>
      </c>
      <c r="D126" s="247" t="s">
        <v>13</v>
      </c>
      <c r="E126" s="248">
        <v>27</v>
      </c>
      <c r="F126" s="249">
        <v>39906</v>
      </c>
      <c r="G126" s="249">
        <v>45384</v>
      </c>
      <c r="H126" s="247" t="s">
        <v>14</v>
      </c>
      <c r="I126" s="250" t="s">
        <v>79</v>
      </c>
    </row>
    <row r="127" spans="1:9">
      <c r="A127" s="246">
        <v>123</v>
      </c>
      <c r="B127" s="247" t="s">
        <v>95</v>
      </c>
      <c r="C127" s="302" t="str">
        <f>"469"</f>
        <v>469</v>
      </c>
      <c r="D127" s="247" t="s">
        <v>13</v>
      </c>
      <c r="E127" s="248">
        <v>275</v>
      </c>
      <c r="F127" s="249">
        <v>39906</v>
      </c>
      <c r="G127" s="249">
        <v>45384</v>
      </c>
      <c r="H127" s="247" t="s">
        <v>16</v>
      </c>
      <c r="I127" s="250" t="s">
        <v>79</v>
      </c>
    </row>
    <row r="128" spans="1:9">
      <c r="A128" s="246">
        <v>124</v>
      </c>
      <c r="B128" s="247" t="s">
        <v>3355</v>
      </c>
      <c r="C128" s="302" t="str">
        <f>"480"</f>
        <v>480</v>
      </c>
      <c r="D128" s="247" t="s">
        <v>13</v>
      </c>
      <c r="E128" s="248">
        <v>20</v>
      </c>
      <c r="F128" s="249">
        <v>39680</v>
      </c>
      <c r="G128" s="249">
        <v>45157</v>
      </c>
      <c r="H128" s="247" t="s">
        <v>31</v>
      </c>
      <c r="I128" s="250" t="s">
        <v>437</v>
      </c>
    </row>
    <row r="129" spans="1:9">
      <c r="A129" s="246">
        <v>125</v>
      </c>
      <c r="B129" s="247" t="s">
        <v>43</v>
      </c>
      <c r="C129" s="302" t="str">
        <f>"481"</f>
        <v>481</v>
      </c>
      <c r="D129" s="247" t="s">
        <v>13</v>
      </c>
      <c r="E129" s="248">
        <v>53</v>
      </c>
      <c r="F129" s="249">
        <v>39907</v>
      </c>
      <c r="G129" s="249">
        <v>45385</v>
      </c>
      <c r="H129" s="247" t="s">
        <v>14</v>
      </c>
      <c r="I129" s="250" t="s">
        <v>79</v>
      </c>
    </row>
    <row r="130" spans="1:9">
      <c r="A130" s="246">
        <v>126</v>
      </c>
      <c r="B130" s="247" t="s">
        <v>3358</v>
      </c>
      <c r="C130" s="302" t="str">
        <f>"484"</f>
        <v>484</v>
      </c>
      <c r="D130" s="247" t="s">
        <v>30</v>
      </c>
      <c r="E130" s="248">
        <v>13</v>
      </c>
      <c r="F130" s="249">
        <v>38964</v>
      </c>
      <c r="G130" s="249">
        <v>42616</v>
      </c>
      <c r="H130" s="247" t="s">
        <v>26</v>
      </c>
      <c r="I130" s="250" t="s">
        <v>3359</v>
      </c>
    </row>
    <row r="131" spans="1:9">
      <c r="A131" s="246">
        <v>127</v>
      </c>
      <c r="B131" s="247" t="s">
        <v>3358</v>
      </c>
      <c r="C131" s="302" t="str">
        <f>"485"</f>
        <v>485</v>
      </c>
      <c r="D131" s="247" t="s">
        <v>30</v>
      </c>
      <c r="E131" s="248">
        <v>25</v>
      </c>
      <c r="F131" s="249">
        <v>38964</v>
      </c>
      <c r="G131" s="249">
        <v>42616</v>
      </c>
      <c r="H131" s="247" t="s">
        <v>26</v>
      </c>
      <c r="I131" s="250" t="s">
        <v>3359</v>
      </c>
    </row>
    <row r="132" spans="1:9">
      <c r="A132" s="246">
        <v>128</v>
      </c>
      <c r="B132" s="247" t="s">
        <v>3358</v>
      </c>
      <c r="C132" s="302" t="str">
        <f>"486"</f>
        <v>486</v>
      </c>
      <c r="D132" s="247" t="s">
        <v>30</v>
      </c>
      <c r="E132" s="248">
        <v>22</v>
      </c>
      <c r="F132" s="249">
        <v>38964</v>
      </c>
      <c r="G132" s="249">
        <v>42616</v>
      </c>
      <c r="H132" s="247" t="s">
        <v>26</v>
      </c>
      <c r="I132" s="250" t="s">
        <v>3359</v>
      </c>
    </row>
    <row r="133" spans="1:9">
      <c r="A133" s="246">
        <v>129</v>
      </c>
      <c r="B133" s="247" t="s">
        <v>3358</v>
      </c>
      <c r="C133" s="302" t="str">
        <f>"487"</f>
        <v>487</v>
      </c>
      <c r="D133" s="247" t="s">
        <v>30</v>
      </c>
      <c r="E133" s="248">
        <v>14</v>
      </c>
      <c r="F133" s="249">
        <v>38973</v>
      </c>
      <c r="G133" s="249">
        <v>42625</v>
      </c>
      <c r="H133" s="247" t="s">
        <v>26</v>
      </c>
      <c r="I133" s="250" t="s">
        <v>3359</v>
      </c>
    </row>
    <row r="134" spans="1:9">
      <c r="A134" s="246">
        <v>130</v>
      </c>
      <c r="B134" s="247" t="s">
        <v>3358</v>
      </c>
      <c r="C134" s="302" t="str">
        <f>"488"</f>
        <v>488</v>
      </c>
      <c r="D134" s="247" t="s">
        <v>30</v>
      </c>
      <c r="E134" s="248">
        <v>15</v>
      </c>
      <c r="F134" s="249">
        <v>38973</v>
      </c>
      <c r="G134" s="249">
        <v>40798</v>
      </c>
      <c r="H134" s="247" t="s">
        <v>26</v>
      </c>
      <c r="I134" s="250" t="s">
        <v>3359</v>
      </c>
    </row>
    <row r="135" spans="1:9">
      <c r="A135" s="246">
        <v>131</v>
      </c>
      <c r="B135" s="247" t="s">
        <v>3358</v>
      </c>
      <c r="C135" s="302" t="str">
        <f>"489"</f>
        <v>489</v>
      </c>
      <c r="D135" s="247" t="s">
        <v>30</v>
      </c>
      <c r="E135" s="248">
        <v>12</v>
      </c>
      <c r="F135" s="249">
        <v>38973</v>
      </c>
      <c r="G135" s="249">
        <v>40798</v>
      </c>
      <c r="H135" s="247" t="s">
        <v>26</v>
      </c>
      <c r="I135" s="250" t="s">
        <v>3359</v>
      </c>
    </row>
    <row r="136" spans="1:9">
      <c r="A136" s="246">
        <v>132</v>
      </c>
      <c r="B136" s="247" t="s">
        <v>3358</v>
      </c>
      <c r="C136" s="302" t="str">
        <f>"490"</f>
        <v>490</v>
      </c>
      <c r="D136" s="247" t="s">
        <v>30</v>
      </c>
      <c r="E136" s="248">
        <v>10</v>
      </c>
      <c r="F136" s="249">
        <v>38973</v>
      </c>
      <c r="G136" s="249">
        <v>40798</v>
      </c>
      <c r="H136" s="247" t="s">
        <v>26</v>
      </c>
      <c r="I136" s="250" t="s">
        <v>3359</v>
      </c>
    </row>
    <row r="137" spans="1:9">
      <c r="A137" s="246">
        <v>133</v>
      </c>
      <c r="B137" s="247" t="s">
        <v>3358</v>
      </c>
      <c r="C137" s="302" t="str">
        <f>"491"</f>
        <v>491</v>
      </c>
      <c r="D137" s="247" t="s">
        <v>30</v>
      </c>
      <c r="E137" s="248">
        <v>11</v>
      </c>
      <c r="F137" s="249">
        <v>38973</v>
      </c>
      <c r="G137" s="249">
        <v>40798</v>
      </c>
      <c r="H137" s="247" t="s">
        <v>26</v>
      </c>
      <c r="I137" s="250" t="s">
        <v>3359</v>
      </c>
    </row>
    <row r="138" spans="1:9">
      <c r="A138" s="246">
        <v>134</v>
      </c>
      <c r="B138" s="247" t="s">
        <v>440</v>
      </c>
      <c r="C138" s="302" t="str">
        <f>"495"</f>
        <v>495</v>
      </c>
      <c r="D138" s="247" t="s">
        <v>13</v>
      </c>
      <c r="E138" s="248">
        <v>6</v>
      </c>
      <c r="F138" s="249">
        <v>36512</v>
      </c>
      <c r="G138" s="249">
        <v>43816</v>
      </c>
      <c r="H138" s="247" t="s">
        <v>14</v>
      </c>
      <c r="I138" s="250" t="s">
        <v>3342</v>
      </c>
    </row>
    <row r="139" spans="1:9">
      <c r="A139" s="246">
        <v>135</v>
      </c>
      <c r="B139" s="247" t="s">
        <v>440</v>
      </c>
      <c r="C139" s="302" t="str">
        <f>"496"</f>
        <v>496</v>
      </c>
      <c r="D139" s="247" t="s">
        <v>13</v>
      </c>
      <c r="E139" s="248">
        <v>11</v>
      </c>
      <c r="F139" s="249">
        <v>36512</v>
      </c>
      <c r="G139" s="249">
        <v>43816</v>
      </c>
      <c r="H139" s="247" t="s">
        <v>16</v>
      </c>
      <c r="I139" s="250" t="s">
        <v>3342</v>
      </c>
    </row>
    <row r="140" spans="1:9">
      <c r="A140" s="246">
        <v>136</v>
      </c>
      <c r="B140" s="247" t="s">
        <v>441</v>
      </c>
      <c r="C140" s="302" t="str">
        <f>"515"</f>
        <v>515</v>
      </c>
      <c r="D140" s="247" t="s">
        <v>30</v>
      </c>
      <c r="E140" s="248">
        <v>25</v>
      </c>
      <c r="F140" s="249">
        <v>36770</v>
      </c>
      <c r="G140" s="249">
        <v>38595</v>
      </c>
      <c r="H140" s="247" t="s">
        <v>26</v>
      </c>
      <c r="I140" s="250" t="s">
        <v>438</v>
      </c>
    </row>
    <row r="141" spans="1:9">
      <c r="A141" s="246">
        <v>137</v>
      </c>
      <c r="B141" s="247" t="s">
        <v>43</v>
      </c>
      <c r="C141" s="302" t="str">
        <f>"523"</f>
        <v>523</v>
      </c>
      <c r="D141" s="247" t="s">
        <v>13</v>
      </c>
      <c r="E141" s="248">
        <v>6</v>
      </c>
      <c r="F141" s="249">
        <v>39907</v>
      </c>
      <c r="G141" s="249">
        <v>45385</v>
      </c>
      <c r="H141" s="247" t="s">
        <v>14</v>
      </c>
      <c r="I141" s="250" t="s">
        <v>79</v>
      </c>
    </row>
    <row r="142" spans="1:9">
      <c r="A142" s="246">
        <v>138</v>
      </c>
      <c r="B142" s="247" t="s">
        <v>43</v>
      </c>
      <c r="C142" s="302" t="str">
        <f>"524"</f>
        <v>524</v>
      </c>
      <c r="D142" s="247" t="s">
        <v>13</v>
      </c>
      <c r="E142" s="248">
        <v>6</v>
      </c>
      <c r="F142" s="249">
        <v>39907</v>
      </c>
      <c r="G142" s="249">
        <v>45385</v>
      </c>
      <c r="H142" s="247" t="s">
        <v>14</v>
      </c>
      <c r="I142" s="250" t="s">
        <v>79</v>
      </c>
    </row>
    <row r="143" spans="1:9">
      <c r="A143" s="246">
        <v>139</v>
      </c>
      <c r="B143" s="247" t="s">
        <v>97</v>
      </c>
      <c r="C143" s="302" t="str">
        <f>"525"</f>
        <v>525</v>
      </c>
      <c r="D143" s="247" t="s">
        <v>13</v>
      </c>
      <c r="E143" s="248">
        <v>13</v>
      </c>
      <c r="F143" s="249">
        <v>39444</v>
      </c>
      <c r="G143" s="249">
        <v>45385</v>
      </c>
      <c r="H143" s="247" t="s">
        <v>16</v>
      </c>
      <c r="I143" s="250" t="s">
        <v>79</v>
      </c>
    </row>
    <row r="144" spans="1:9">
      <c r="A144" s="246">
        <v>140</v>
      </c>
      <c r="B144" s="247" t="s">
        <v>98</v>
      </c>
      <c r="C144" s="302" t="str">
        <f>"526"</f>
        <v>526</v>
      </c>
      <c r="D144" s="247" t="s">
        <v>13</v>
      </c>
      <c r="E144" s="248">
        <v>6</v>
      </c>
      <c r="F144" s="249">
        <v>39907</v>
      </c>
      <c r="G144" s="249">
        <v>45385</v>
      </c>
      <c r="H144" s="247" t="s">
        <v>14</v>
      </c>
      <c r="I144" s="250" t="s">
        <v>79</v>
      </c>
    </row>
    <row r="145" spans="1:9">
      <c r="A145" s="246">
        <v>141</v>
      </c>
      <c r="B145" s="247" t="s">
        <v>99</v>
      </c>
      <c r="C145" s="302" t="str">
        <f>"527"</f>
        <v>527</v>
      </c>
      <c r="D145" s="247" t="s">
        <v>13</v>
      </c>
      <c r="E145" s="248">
        <v>34</v>
      </c>
      <c r="F145" s="249">
        <v>39907</v>
      </c>
      <c r="G145" s="249">
        <v>45385</v>
      </c>
      <c r="H145" s="247" t="s">
        <v>14</v>
      </c>
      <c r="I145" s="250" t="s">
        <v>79</v>
      </c>
    </row>
    <row r="146" spans="1:9">
      <c r="A146" s="246">
        <v>142</v>
      </c>
      <c r="B146" s="247" t="s">
        <v>43</v>
      </c>
      <c r="C146" s="302" t="str">
        <f>"528"</f>
        <v>528</v>
      </c>
      <c r="D146" s="247" t="s">
        <v>13</v>
      </c>
      <c r="E146" s="248">
        <v>25</v>
      </c>
      <c r="F146" s="249">
        <v>39907</v>
      </c>
      <c r="G146" s="249">
        <v>45385</v>
      </c>
      <c r="H146" s="247" t="s">
        <v>14</v>
      </c>
      <c r="I146" s="250" t="s">
        <v>79</v>
      </c>
    </row>
    <row r="147" spans="1:9">
      <c r="A147" s="246">
        <v>143</v>
      </c>
      <c r="B147" s="247" t="s">
        <v>43</v>
      </c>
      <c r="C147" s="302" t="str">
        <f>"529"</f>
        <v>529</v>
      </c>
      <c r="D147" s="247" t="s">
        <v>13</v>
      </c>
      <c r="E147" s="248">
        <v>2</v>
      </c>
      <c r="F147" s="249">
        <v>39907</v>
      </c>
      <c r="G147" s="249">
        <v>45385</v>
      </c>
      <c r="H147" s="247" t="s">
        <v>16</v>
      </c>
      <c r="I147" s="250" t="s">
        <v>79</v>
      </c>
    </row>
    <row r="148" spans="1:9">
      <c r="A148" s="246">
        <v>144</v>
      </c>
      <c r="B148" s="247" t="s">
        <v>43</v>
      </c>
      <c r="C148" s="302" t="str">
        <f>"530"</f>
        <v>530</v>
      </c>
      <c r="D148" s="247" t="s">
        <v>13</v>
      </c>
      <c r="E148" s="248">
        <v>4</v>
      </c>
      <c r="F148" s="249">
        <v>39907</v>
      </c>
      <c r="G148" s="249">
        <v>45385</v>
      </c>
      <c r="H148" s="247" t="s">
        <v>14</v>
      </c>
      <c r="I148" s="250" t="s">
        <v>79</v>
      </c>
    </row>
    <row r="149" spans="1:9">
      <c r="A149" s="246">
        <v>145</v>
      </c>
      <c r="B149" s="247" t="s">
        <v>43</v>
      </c>
      <c r="C149" s="302" t="str">
        <f>"531"</f>
        <v>531</v>
      </c>
      <c r="D149" s="247" t="s">
        <v>13</v>
      </c>
      <c r="E149" s="248">
        <v>13</v>
      </c>
      <c r="F149" s="249">
        <v>39907</v>
      </c>
      <c r="G149" s="249">
        <v>45385</v>
      </c>
      <c r="H149" s="247" t="s">
        <v>14</v>
      </c>
      <c r="I149" s="250" t="s">
        <v>79</v>
      </c>
    </row>
    <row r="150" spans="1:9">
      <c r="A150" s="246">
        <v>146</v>
      </c>
      <c r="B150" s="247" t="s">
        <v>43</v>
      </c>
      <c r="C150" s="302" t="str">
        <f>"532"</f>
        <v>532</v>
      </c>
      <c r="D150" s="247" t="s">
        <v>13</v>
      </c>
      <c r="E150" s="248">
        <v>1</v>
      </c>
      <c r="F150" s="249">
        <v>39907</v>
      </c>
      <c r="G150" s="249">
        <v>45385</v>
      </c>
      <c r="H150" s="247" t="s">
        <v>14</v>
      </c>
      <c r="I150" s="250" t="s">
        <v>79</v>
      </c>
    </row>
    <row r="151" spans="1:9">
      <c r="A151" s="246">
        <v>147</v>
      </c>
      <c r="B151" s="247" t="s">
        <v>100</v>
      </c>
      <c r="C151" s="302" t="str">
        <f>"533"</f>
        <v>533</v>
      </c>
      <c r="D151" s="247" t="s">
        <v>13</v>
      </c>
      <c r="E151" s="248">
        <v>25</v>
      </c>
      <c r="F151" s="249">
        <v>39907</v>
      </c>
      <c r="G151" s="249">
        <v>45385</v>
      </c>
      <c r="H151" s="247" t="s">
        <v>14</v>
      </c>
      <c r="I151" s="250" t="s">
        <v>79</v>
      </c>
    </row>
    <row r="152" spans="1:9">
      <c r="A152" s="246">
        <v>148</v>
      </c>
      <c r="B152" s="247" t="s">
        <v>101</v>
      </c>
      <c r="C152" s="302" t="str">
        <f>"535"</f>
        <v>535</v>
      </c>
      <c r="D152" s="247" t="s">
        <v>13</v>
      </c>
      <c r="E152" s="248">
        <v>8</v>
      </c>
      <c r="F152" s="249">
        <v>39907</v>
      </c>
      <c r="G152" s="249">
        <v>45385</v>
      </c>
      <c r="H152" s="247" t="s">
        <v>16</v>
      </c>
      <c r="I152" s="250" t="s">
        <v>79</v>
      </c>
    </row>
    <row r="153" spans="1:9">
      <c r="A153" s="246">
        <v>149</v>
      </c>
      <c r="B153" s="247" t="s">
        <v>43</v>
      </c>
      <c r="C153" s="302" t="str">
        <f>"536"</f>
        <v>536</v>
      </c>
      <c r="D153" s="247" t="s">
        <v>13</v>
      </c>
      <c r="E153" s="248">
        <v>13</v>
      </c>
      <c r="F153" s="249">
        <v>39907</v>
      </c>
      <c r="G153" s="249">
        <v>45385</v>
      </c>
      <c r="H153" s="247" t="s">
        <v>16</v>
      </c>
      <c r="I153" s="250" t="s">
        <v>79</v>
      </c>
    </row>
    <row r="154" spans="1:9">
      <c r="A154" s="246">
        <v>150</v>
      </c>
      <c r="B154" s="247" t="s">
        <v>43</v>
      </c>
      <c r="C154" s="302" t="str">
        <f>"537"</f>
        <v>537</v>
      </c>
      <c r="D154" s="247" t="s">
        <v>13</v>
      </c>
      <c r="E154" s="248">
        <v>10</v>
      </c>
      <c r="F154" s="249">
        <v>39907</v>
      </c>
      <c r="G154" s="249">
        <v>45385</v>
      </c>
      <c r="H154" s="247" t="s">
        <v>14</v>
      </c>
      <c r="I154" s="250" t="s">
        <v>79</v>
      </c>
    </row>
    <row r="155" spans="1:9">
      <c r="A155" s="246">
        <v>151</v>
      </c>
      <c r="B155" s="247" t="s">
        <v>43</v>
      </c>
      <c r="C155" s="302" t="str">
        <f>"538"</f>
        <v>538</v>
      </c>
      <c r="D155" s="247" t="s">
        <v>13</v>
      </c>
      <c r="E155" s="248">
        <v>6</v>
      </c>
      <c r="F155" s="249">
        <v>39907</v>
      </c>
      <c r="G155" s="249">
        <v>45385</v>
      </c>
      <c r="H155" s="247" t="s">
        <v>14</v>
      </c>
      <c r="I155" s="250" t="s">
        <v>79</v>
      </c>
    </row>
    <row r="156" spans="1:9">
      <c r="A156" s="246">
        <v>152</v>
      </c>
      <c r="B156" s="247" t="s">
        <v>43</v>
      </c>
      <c r="C156" s="302" t="str">
        <f>"539"</f>
        <v>539</v>
      </c>
      <c r="D156" s="247" t="s">
        <v>13</v>
      </c>
      <c r="E156" s="248">
        <v>16</v>
      </c>
      <c r="F156" s="249">
        <v>39907</v>
      </c>
      <c r="G156" s="249">
        <v>45385</v>
      </c>
      <c r="H156" s="247" t="s">
        <v>14</v>
      </c>
      <c r="I156" s="250" t="s">
        <v>79</v>
      </c>
    </row>
    <row r="157" spans="1:9">
      <c r="A157" s="246">
        <v>153</v>
      </c>
      <c r="B157" s="247" t="s">
        <v>43</v>
      </c>
      <c r="C157" s="302" t="str">
        <f>"540"</f>
        <v>540</v>
      </c>
      <c r="D157" s="247" t="s">
        <v>13</v>
      </c>
      <c r="E157" s="248">
        <v>6</v>
      </c>
      <c r="F157" s="249">
        <v>39907</v>
      </c>
      <c r="G157" s="249">
        <v>45385</v>
      </c>
      <c r="H157" s="247" t="s">
        <v>14</v>
      </c>
      <c r="I157" s="250" t="s">
        <v>79</v>
      </c>
    </row>
    <row r="158" spans="1:9">
      <c r="A158" s="246">
        <v>154</v>
      </c>
      <c r="B158" s="247" t="s">
        <v>3360</v>
      </c>
      <c r="C158" s="302" t="str">
        <f>"541"</f>
        <v>541</v>
      </c>
      <c r="D158" s="247" t="s">
        <v>30</v>
      </c>
      <c r="E158" s="248">
        <v>30</v>
      </c>
      <c r="F158" s="249">
        <v>38771</v>
      </c>
      <c r="G158" s="249">
        <v>42422</v>
      </c>
      <c r="H158" s="247" t="s">
        <v>26</v>
      </c>
      <c r="I158" s="250" t="s">
        <v>438</v>
      </c>
    </row>
    <row r="159" spans="1:9">
      <c r="A159" s="246">
        <v>155</v>
      </c>
      <c r="B159" s="247" t="s">
        <v>3361</v>
      </c>
      <c r="C159" s="302" t="str">
        <f>"569"</f>
        <v>569</v>
      </c>
      <c r="D159" s="247" t="s">
        <v>13</v>
      </c>
      <c r="E159" s="248">
        <v>20</v>
      </c>
      <c r="F159" s="249">
        <v>38963</v>
      </c>
      <c r="G159" s="249">
        <v>44451</v>
      </c>
      <c r="H159" s="247" t="s">
        <v>26</v>
      </c>
      <c r="I159" s="250" t="s">
        <v>3359</v>
      </c>
    </row>
    <row r="160" spans="1:9">
      <c r="A160" s="246">
        <v>156</v>
      </c>
      <c r="B160" s="247" t="s">
        <v>3362</v>
      </c>
      <c r="C160" s="302" t="str">
        <f>"571"</f>
        <v>571</v>
      </c>
      <c r="D160" s="247" t="s">
        <v>13</v>
      </c>
      <c r="E160" s="248">
        <v>26</v>
      </c>
      <c r="F160" s="249">
        <v>38973</v>
      </c>
      <c r="G160" s="249">
        <v>44451</v>
      </c>
      <c r="H160" s="247" t="s">
        <v>26</v>
      </c>
      <c r="I160" s="250" t="s">
        <v>3359</v>
      </c>
    </row>
    <row r="161" spans="1:9">
      <c r="A161" s="246">
        <v>157</v>
      </c>
      <c r="B161" s="247" t="s">
        <v>15</v>
      </c>
      <c r="C161" s="302" t="str">
        <f>"577"</f>
        <v>577</v>
      </c>
      <c r="D161" s="247" t="s">
        <v>13</v>
      </c>
      <c r="E161" s="248">
        <v>6</v>
      </c>
      <c r="F161" s="249">
        <v>40798</v>
      </c>
      <c r="G161" s="249">
        <v>46276</v>
      </c>
      <c r="H161" s="247" t="s">
        <v>14</v>
      </c>
      <c r="I161" s="250" t="s">
        <v>79</v>
      </c>
    </row>
    <row r="162" spans="1:9">
      <c r="A162" s="246">
        <v>158</v>
      </c>
      <c r="B162" s="247" t="s">
        <v>102</v>
      </c>
      <c r="C162" s="302" t="str">
        <f>"578"</f>
        <v>578</v>
      </c>
      <c r="D162" s="247" t="s">
        <v>13</v>
      </c>
      <c r="E162" s="248">
        <v>8</v>
      </c>
      <c r="F162" s="249">
        <v>44465</v>
      </c>
      <c r="G162" s="249">
        <v>49943</v>
      </c>
      <c r="H162" s="247" t="s">
        <v>14</v>
      </c>
      <c r="I162" s="250" t="s">
        <v>79</v>
      </c>
    </row>
    <row r="163" spans="1:9">
      <c r="A163" s="246">
        <v>159</v>
      </c>
      <c r="B163" s="247" t="s">
        <v>442</v>
      </c>
      <c r="C163" s="302" t="str">
        <f>"591"</f>
        <v>591</v>
      </c>
      <c r="D163" s="247" t="s">
        <v>13</v>
      </c>
      <c r="E163" s="248">
        <v>23</v>
      </c>
      <c r="F163" s="249">
        <v>37175</v>
      </c>
      <c r="G163" s="249">
        <v>44479</v>
      </c>
      <c r="H163" s="247" t="s">
        <v>16</v>
      </c>
      <c r="I163" s="250" t="s">
        <v>3342</v>
      </c>
    </row>
    <row r="164" spans="1:9">
      <c r="A164" s="246">
        <v>160</v>
      </c>
      <c r="B164" s="247" t="s">
        <v>3363</v>
      </c>
      <c r="C164" s="302" t="str">
        <f>"602"</f>
        <v>602</v>
      </c>
      <c r="D164" s="247" t="s">
        <v>30</v>
      </c>
      <c r="E164" s="248">
        <v>24</v>
      </c>
      <c r="F164" s="249">
        <v>37254</v>
      </c>
      <c r="G164" s="249">
        <v>39079</v>
      </c>
      <c r="H164" s="247" t="s">
        <v>73</v>
      </c>
      <c r="I164" s="250" t="s">
        <v>438</v>
      </c>
    </row>
    <row r="165" spans="1:9">
      <c r="A165" s="246">
        <v>161</v>
      </c>
      <c r="B165" s="247" t="s">
        <v>103</v>
      </c>
      <c r="C165" s="302" t="str">
        <f>"606"</f>
        <v>606</v>
      </c>
      <c r="D165" s="247" t="s">
        <v>13</v>
      </c>
      <c r="E165" s="248">
        <v>48</v>
      </c>
      <c r="F165" s="249">
        <v>44592</v>
      </c>
      <c r="G165" s="249">
        <v>50070</v>
      </c>
      <c r="H165" s="247" t="s">
        <v>14</v>
      </c>
      <c r="I165" s="250" t="s">
        <v>79</v>
      </c>
    </row>
    <row r="166" spans="1:9">
      <c r="A166" s="246">
        <v>162</v>
      </c>
      <c r="B166" s="247" t="s">
        <v>3364</v>
      </c>
      <c r="C166" s="302" t="str">
        <f>"607"</f>
        <v>607</v>
      </c>
      <c r="D166" s="247" t="s">
        <v>13</v>
      </c>
      <c r="E166" s="248">
        <v>28</v>
      </c>
      <c r="F166" s="249">
        <v>39122</v>
      </c>
      <c r="G166" s="249">
        <v>44600</v>
      </c>
      <c r="H166" s="247" t="s">
        <v>26</v>
      </c>
      <c r="I166" s="250" t="s">
        <v>3359</v>
      </c>
    </row>
    <row r="167" spans="1:9">
      <c r="A167" s="246">
        <v>163</v>
      </c>
      <c r="B167" s="247" t="s">
        <v>3364</v>
      </c>
      <c r="C167" s="302" t="str">
        <f>"608"</f>
        <v>608</v>
      </c>
      <c r="D167" s="247" t="s">
        <v>13</v>
      </c>
      <c r="E167" s="248">
        <v>30</v>
      </c>
      <c r="F167" s="249">
        <v>39122</v>
      </c>
      <c r="G167" s="249">
        <v>44600</v>
      </c>
      <c r="H167" s="247" t="s">
        <v>26</v>
      </c>
      <c r="I167" s="250" t="s">
        <v>3359</v>
      </c>
    </row>
    <row r="168" spans="1:9">
      <c r="A168" s="246">
        <v>164</v>
      </c>
      <c r="B168" s="247" t="s">
        <v>3364</v>
      </c>
      <c r="C168" s="302" t="str">
        <f>"609"</f>
        <v>609</v>
      </c>
      <c r="D168" s="247" t="s">
        <v>13</v>
      </c>
      <c r="E168" s="248">
        <v>30</v>
      </c>
      <c r="F168" s="249">
        <v>39122</v>
      </c>
      <c r="G168" s="249">
        <v>44600</v>
      </c>
      <c r="H168" s="247" t="s">
        <v>26</v>
      </c>
      <c r="I168" s="250" t="s">
        <v>3359</v>
      </c>
    </row>
    <row r="169" spans="1:9">
      <c r="A169" s="246">
        <v>165</v>
      </c>
      <c r="B169" s="247" t="s">
        <v>3364</v>
      </c>
      <c r="C169" s="302" t="str">
        <f>"610"</f>
        <v>610</v>
      </c>
      <c r="D169" s="247" t="s">
        <v>13</v>
      </c>
      <c r="E169" s="248">
        <v>36</v>
      </c>
      <c r="F169" s="249">
        <v>39122</v>
      </c>
      <c r="G169" s="249">
        <v>44600</v>
      </c>
      <c r="H169" s="247" t="s">
        <v>26</v>
      </c>
      <c r="I169" s="250" t="s">
        <v>3359</v>
      </c>
    </row>
    <row r="170" spans="1:9">
      <c r="A170" s="246">
        <v>166</v>
      </c>
      <c r="B170" s="247" t="s">
        <v>3364</v>
      </c>
      <c r="C170" s="302" t="str">
        <f>"611"</f>
        <v>611</v>
      </c>
      <c r="D170" s="247" t="s">
        <v>13</v>
      </c>
      <c r="E170" s="248">
        <v>36</v>
      </c>
      <c r="F170" s="249">
        <v>39122</v>
      </c>
      <c r="G170" s="249">
        <v>44600</v>
      </c>
      <c r="H170" s="247" t="s">
        <v>26</v>
      </c>
      <c r="I170" s="250" t="s">
        <v>3359</v>
      </c>
    </row>
    <row r="171" spans="1:9">
      <c r="A171" s="246">
        <v>167</v>
      </c>
      <c r="B171" s="247" t="s">
        <v>3364</v>
      </c>
      <c r="C171" s="302" t="str">
        <f>"612"</f>
        <v>612</v>
      </c>
      <c r="D171" s="247" t="s">
        <v>13</v>
      </c>
      <c r="E171" s="248">
        <v>30</v>
      </c>
      <c r="F171" s="249">
        <v>39122</v>
      </c>
      <c r="G171" s="249">
        <v>44600</v>
      </c>
      <c r="H171" s="247" t="s">
        <v>26</v>
      </c>
      <c r="I171" s="250" t="s">
        <v>3359</v>
      </c>
    </row>
    <row r="172" spans="1:9">
      <c r="A172" s="246">
        <v>168</v>
      </c>
      <c r="B172" s="247" t="s">
        <v>3365</v>
      </c>
      <c r="C172" s="302" t="str">
        <f>"624"</f>
        <v>624</v>
      </c>
      <c r="D172" s="247" t="s">
        <v>30</v>
      </c>
      <c r="E172" s="248">
        <v>36</v>
      </c>
      <c r="F172" s="249">
        <v>39177</v>
      </c>
      <c r="G172" s="249">
        <v>42829</v>
      </c>
      <c r="H172" s="247" t="s">
        <v>26</v>
      </c>
      <c r="I172" s="250" t="s">
        <v>3351</v>
      </c>
    </row>
    <row r="173" spans="1:9">
      <c r="A173" s="246">
        <v>169</v>
      </c>
      <c r="B173" s="247" t="s">
        <v>104</v>
      </c>
      <c r="C173" s="302" t="str">
        <f>"625"</f>
        <v>625</v>
      </c>
      <c r="D173" s="247" t="s">
        <v>13</v>
      </c>
      <c r="E173" s="248">
        <v>36</v>
      </c>
      <c r="F173" s="249">
        <v>43796</v>
      </c>
      <c r="G173" s="249">
        <v>52927</v>
      </c>
      <c r="H173" s="247" t="s">
        <v>26</v>
      </c>
      <c r="I173" s="250" t="s">
        <v>79</v>
      </c>
    </row>
    <row r="174" spans="1:9">
      <c r="A174" s="246">
        <v>170</v>
      </c>
      <c r="B174" s="247" t="s">
        <v>3364</v>
      </c>
      <c r="C174" s="302" t="str">
        <f>"629"</f>
        <v>629</v>
      </c>
      <c r="D174" s="247" t="s">
        <v>13</v>
      </c>
      <c r="E174" s="248">
        <v>36</v>
      </c>
      <c r="F174" s="249">
        <v>39185</v>
      </c>
      <c r="G174" s="249">
        <v>44663</v>
      </c>
      <c r="H174" s="247" t="s">
        <v>26</v>
      </c>
      <c r="I174" s="250" t="s">
        <v>3359</v>
      </c>
    </row>
    <row r="175" spans="1:9">
      <c r="A175" s="246">
        <v>171</v>
      </c>
      <c r="B175" s="247" t="s">
        <v>3364</v>
      </c>
      <c r="C175" s="302" t="str">
        <f>"630"</f>
        <v>630</v>
      </c>
      <c r="D175" s="247" t="s">
        <v>13</v>
      </c>
      <c r="E175" s="248">
        <v>30</v>
      </c>
      <c r="F175" s="249">
        <v>39185</v>
      </c>
      <c r="G175" s="249">
        <v>44663</v>
      </c>
      <c r="H175" s="247" t="s">
        <v>26</v>
      </c>
      <c r="I175" s="250" t="s">
        <v>3359</v>
      </c>
    </row>
    <row r="176" spans="1:9">
      <c r="A176" s="246">
        <v>172</v>
      </c>
      <c r="B176" s="247" t="s">
        <v>3364</v>
      </c>
      <c r="C176" s="302" t="str">
        <f>"631"</f>
        <v>631</v>
      </c>
      <c r="D176" s="247" t="s">
        <v>13</v>
      </c>
      <c r="E176" s="248">
        <v>25</v>
      </c>
      <c r="F176" s="249">
        <v>39185</v>
      </c>
      <c r="G176" s="249">
        <v>44663</v>
      </c>
      <c r="H176" s="247" t="s">
        <v>26</v>
      </c>
      <c r="I176" s="250" t="s">
        <v>3359</v>
      </c>
    </row>
    <row r="177" spans="1:9">
      <c r="A177" s="246">
        <v>173</v>
      </c>
      <c r="B177" s="247" t="s">
        <v>3364</v>
      </c>
      <c r="C177" s="302" t="str">
        <f>"632"</f>
        <v>632</v>
      </c>
      <c r="D177" s="247" t="s">
        <v>13</v>
      </c>
      <c r="E177" s="248">
        <v>26</v>
      </c>
      <c r="F177" s="249">
        <v>39185</v>
      </c>
      <c r="G177" s="249">
        <v>44663</v>
      </c>
      <c r="H177" s="247" t="s">
        <v>26</v>
      </c>
      <c r="I177" s="250" t="s">
        <v>3359</v>
      </c>
    </row>
    <row r="178" spans="1:9">
      <c r="A178" s="246">
        <v>174</v>
      </c>
      <c r="B178" s="247" t="s">
        <v>3364</v>
      </c>
      <c r="C178" s="302" t="str">
        <f>"633"</f>
        <v>633</v>
      </c>
      <c r="D178" s="247" t="s">
        <v>13</v>
      </c>
      <c r="E178" s="248">
        <v>30</v>
      </c>
      <c r="F178" s="249">
        <v>39185</v>
      </c>
      <c r="G178" s="249">
        <v>44663</v>
      </c>
      <c r="H178" s="247" t="s">
        <v>26</v>
      </c>
      <c r="I178" s="250" t="s">
        <v>3359</v>
      </c>
    </row>
    <row r="179" spans="1:9">
      <c r="A179" s="246">
        <v>175</v>
      </c>
      <c r="B179" s="247" t="s">
        <v>3364</v>
      </c>
      <c r="C179" s="302" t="str">
        <f>"634"</f>
        <v>634</v>
      </c>
      <c r="D179" s="247" t="s">
        <v>13</v>
      </c>
      <c r="E179" s="248">
        <v>27</v>
      </c>
      <c r="F179" s="249">
        <v>39185</v>
      </c>
      <c r="G179" s="249">
        <v>44663</v>
      </c>
      <c r="H179" s="247" t="s">
        <v>26</v>
      </c>
      <c r="I179" s="250" t="s">
        <v>3359</v>
      </c>
    </row>
    <row r="180" spans="1:9">
      <c r="A180" s="246">
        <v>176</v>
      </c>
      <c r="B180" s="247" t="s">
        <v>3364</v>
      </c>
      <c r="C180" s="302" t="str">
        <f>"635"</f>
        <v>635</v>
      </c>
      <c r="D180" s="247" t="s">
        <v>13</v>
      </c>
      <c r="E180" s="248">
        <v>16</v>
      </c>
      <c r="F180" s="249">
        <v>39185</v>
      </c>
      <c r="G180" s="249">
        <v>44663</v>
      </c>
      <c r="H180" s="247" t="s">
        <v>26</v>
      </c>
      <c r="I180" s="250" t="s">
        <v>3359</v>
      </c>
    </row>
    <row r="181" spans="1:9">
      <c r="A181" s="246">
        <v>177</v>
      </c>
      <c r="B181" s="247" t="s">
        <v>3364</v>
      </c>
      <c r="C181" s="302" t="str">
        <f>"636"</f>
        <v>636</v>
      </c>
      <c r="D181" s="247" t="s">
        <v>13</v>
      </c>
      <c r="E181" s="248">
        <v>16</v>
      </c>
      <c r="F181" s="249">
        <v>39185</v>
      </c>
      <c r="G181" s="249">
        <v>44663</v>
      </c>
      <c r="H181" s="247" t="s">
        <v>26</v>
      </c>
      <c r="I181" s="250" t="s">
        <v>3359</v>
      </c>
    </row>
    <row r="182" spans="1:9">
      <c r="A182" s="246">
        <v>178</v>
      </c>
      <c r="B182" s="247" t="s">
        <v>105</v>
      </c>
      <c r="C182" s="302" t="str">
        <f>"643"</f>
        <v>643</v>
      </c>
      <c r="D182" s="247" t="s">
        <v>13</v>
      </c>
      <c r="E182" s="248">
        <v>207</v>
      </c>
      <c r="F182" s="249">
        <v>44687</v>
      </c>
      <c r="G182" s="249">
        <v>50165</v>
      </c>
      <c r="H182" s="247" t="s">
        <v>16</v>
      </c>
      <c r="I182" s="250" t="s">
        <v>79</v>
      </c>
    </row>
    <row r="183" spans="1:9">
      <c r="A183" s="246">
        <v>179</v>
      </c>
      <c r="B183" s="247" t="s">
        <v>3247</v>
      </c>
      <c r="C183" s="302" t="str">
        <f>"652"</f>
        <v>652</v>
      </c>
      <c r="D183" s="247" t="s">
        <v>44</v>
      </c>
      <c r="E183" s="248">
        <v>79</v>
      </c>
      <c r="F183" s="249">
        <v>37384</v>
      </c>
      <c r="G183" s="249">
        <v>44688</v>
      </c>
      <c r="H183" s="247" t="s">
        <v>16</v>
      </c>
      <c r="I183" s="250" t="s">
        <v>3342</v>
      </c>
    </row>
    <row r="184" spans="1:9">
      <c r="A184" s="246">
        <v>180</v>
      </c>
      <c r="B184" s="247" t="s">
        <v>778</v>
      </c>
      <c r="C184" s="302" t="str">
        <f>"657"</f>
        <v>657</v>
      </c>
      <c r="D184" s="247" t="s">
        <v>13</v>
      </c>
      <c r="E184" s="248">
        <v>8</v>
      </c>
      <c r="F184" s="249">
        <v>37403</v>
      </c>
      <c r="G184" s="249">
        <v>44707</v>
      </c>
      <c r="H184" s="247" t="s">
        <v>16</v>
      </c>
      <c r="I184" s="250" t="s">
        <v>3342</v>
      </c>
    </row>
    <row r="185" spans="1:9">
      <c r="A185" s="246">
        <v>181</v>
      </c>
      <c r="B185" s="247" t="s">
        <v>105</v>
      </c>
      <c r="C185" s="302" t="str">
        <f>"658"</f>
        <v>658</v>
      </c>
      <c r="D185" s="247" t="s">
        <v>13</v>
      </c>
      <c r="E185" s="248">
        <v>2</v>
      </c>
      <c r="F185" s="249">
        <v>44708</v>
      </c>
      <c r="G185" s="249">
        <v>50186</v>
      </c>
      <c r="H185" s="247" t="s">
        <v>16</v>
      </c>
      <c r="I185" s="250" t="s">
        <v>79</v>
      </c>
    </row>
    <row r="186" spans="1:9">
      <c r="A186" s="246">
        <v>182</v>
      </c>
      <c r="B186" s="247" t="s">
        <v>643</v>
      </c>
      <c r="C186" s="302" t="str">
        <f>"660"</f>
        <v>660</v>
      </c>
      <c r="D186" s="247" t="s">
        <v>13</v>
      </c>
      <c r="E186" s="248">
        <v>15</v>
      </c>
      <c r="F186" s="249">
        <v>37403</v>
      </c>
      <c r="G186" s="249">
        <v>44707</v>
      </c>
      <c r="H186" s="247" t="s">
        <v>16</v>
      </c>
      <c r="I186" s="250" t="s">
        <v>3342</v>
      </c>
    </row>
    <row r="187" spans="1:9">
      <c r="A187" s="246">
        <v>183</v>
      </c>
      <c r="B187" s="247" t="s">
        <v>41</v>
      </c>
      <c r="C187" s="302" t="str">
        <f>"661"</f>
        <v>661</v>
      </c>
      <c r="D187" s="247" t="s">
        <v>13</v>
      </c>
      <c r="E187" s="248">
        <v>3</v>
      </c>
      <c r="F187" s="249">
        <v>37403</v>
      </c>
      <c r="G187" s="249">
        <v>50186</v>
      </c>
      <c r="H187" s="247" t="s">
        <v>16</v>
      </c>
      <c r="I187" s="250" t="s">
        <v>79</v>
      </c>
    </row>
    <row r="188" spans="1:9">
      <c r="A188" s="246">
        <v>184</v>
      </c>
      <c r="B188" s="247" t="s">
        <v>105</v>
      </c>
      <c r="C188" s="302" t="str">
        <f>"662"</f>
        <v>662</v>
      </c>
      <c r="D188" s="247" t="s">
        <v>13</v>
      </c>
      <c r="E188" s="248">
        <v>8</v>
      </c>
      <c r="F188" s="249">
        <v>44708</v>
      </c>
      <c r="G188" s="249">
        <v>50186</v>
      </c>
      <c r="H188" s="247" t="s">
        <v>16</v>
      </c>
      <c r="I188" s="250" t="s">
        <v>79</v>
      </c>
    </row>
    <row r="189" spans="1:9">
      <c r="A189" s="246">
        <v>185</v>
      </c>
      <c r="B189" s="247" t="s">
        <v>443</v>
      </c>
      <c r="C189" s="302" t="str">
        <f>"665"</f>
        <v>665</v>
      </c>
      <c r="D189" s="247" t="s">
        <v>30</v>
      </c>
      <c r="E189" s="248">
        <v>8</v>
      </c>
      <c r="F189" s="249">
        <v>39996</v>
      </c>
      <c r="G189" s="249">
        <v>42917</v>
      </c>
      <c r="H189" s="247" t="s">
        <v>26</v>
      </c>
      <c r="I189" s="250" t="s">
        <v>3351</v>
      </c>
    </row>
    <row r="190" spans="1:9">
      <c r="A190" s="246">
        <v>186</v>
      </c>
      <c r="B190" s="247" t="s">
        <v>444</v>
      </c>
      <c r="C190" s="302" t="str">
        <f>"666"</f>
        <v>666</v>
      </c>
      <c r="D190" s="247" t="s">
        <v>30</v>
      </c>
      <c r="E190" s="248">
        <v>16</v>
      </c>
      <c r="F190" s="249">
        <v>40361</v>
      </c>
      <c r="G190" s="249">
        <v>42186</v>
      </c>
      <c r="H190" s="247" t="s">
        <v>26</v>
      </c>
      <c r="I190" s="250" t="s">
        <v>433</v>
      </c>
    </row>
    <row r="191" spans="1:9">
      <c r="A191" s="246">
        <v>187</v>
      </c>
      <c r="B191" s="247" t="s">
        <v>444</v>
      </c>
      <c r="C191" s="302" t="str">
        <f>"667"</f>
        <v>667</v>
      </c>
      <c r="D191" s="247" t="s">
        <v>30</v>
      </c>
      <c r="E191" s="248">
        <v>11</v>
      </c>
      <c r="F191" s="249">
        <v>40361</v>
      </c>
      <c r="G191" s="249">
        <v>42186</v>
      </c>
      <c r="H191" s="247" t="s">
        <v>26</v>
      </c>
      <c r="I191" s="250" t="s">
        <v>433</v>
      </c>
    </row>
    <row r="192" spans="1:9">
      <c r="A192" s="246">
        <v>188</v>
      </c>
      <c r="B192" s="247" t="s">
        <v>3366</v>
      </c>
      <c r="C192" s="302" t="str">
        <f>"668"</f>
        <v>668</v>
      </c>
      <c r="D192" s="247" t="s">
        <v>30</v>
      </c>
      <c r="E192" s="248">
        <v>16</v>
      </c>
      <c r="F192" s="249">
        <v>39267</v>
      </c>
      <c r="G192" s="249">
        <v>41093</v>
      </c>
      <c r="H192" s="247" t="s">
        <v>26</v>
      </c>
      <c r="I192" s="250" t="s">
        <v>438</v>
      </c>
    </row>
    <row r="193" spans="1:9">
      <c r="A193" s="246">
        <v>189</v>
      </c>
      <c r="B193" s="247" t="s">
        <v>3366</v>
      </c>
      <c r="C193" s="302" t="str">
        <f>"669"</f>
        <v>669</v>
      </c>
      <c r="D193" s="247" t="s">
        <v>30</v>
      </c>
      <c r="E193" s="248">
        <v>14</v>
      </c>
      <c r="F193" s="249">
        <v>39267</v>
      </c>
      <c r="G193" s="249">
        <v>41093</v>
      </c>
      <c r="H193" s="247" t="s">
        <v>26</v>
      </c>
      <c r="I193" s="250" t="s">
        <v>3342</v>
      </c>
    </row>
    <row r="194" spans="1:9">
      <c r="A194" s="246">
        <v>190</v>
      </c>
      <c r="B194" s="247" t="s">
        <v>3366</v>
      </c>
      <c r="C194" s="302" t="str">
        <f>"670"</f>
        <v>670</v>
      </c>
      <c r="D194" s="247" t="s">
        <v>30</v>
      </c>
      <c r="E194" s="248">
        <v>18</v>
      </c>
      <c r="F194" s="249">
        <v>39267</v>
      </c>
      <c r="G194" s="249">
        <v>41093</v>
      </c>
      <c r="H194" s="247" t="s">
        <v>26</v>
      </c>
      <c r="I194" s="250" t="s">
        <v>3342</v>
      </c>
    </row>
    <row r="195" spans="1:9">
      <c r="A195" s="246">
        <v>191</v>
      </c>
      <c r="B195" s="247" t="s">
        <v>3366</v>
      </c>
      <c r="C195" s="302" t="str">
        <f>"671"</f>
        <v>671</v>
      </c>
      <c r="D195" s="247" t="s">
        <v>30</v>
      </c>
      <c r="E195" s="248">
        <v>20</v>
      </c>
      <c r="F195" s="249">
        <v>39267</v>
      </c>
      <c r="G195" s="249">
        <v>41093</v>
      </c>
      <c r="H195" s="247" t="s">
        <v>26</v>
      </c>
      <c r="I195" s="250" t="s">
        <v>3342</v>
      </c>
    </row>
    <row r="196" spans="1:9">
      <c r="A196" s="246">
        <v>192</v>
      </c>
      <c r="B196" s="247" t="s">
        <v>3367</v>
      </c>
      <c r="C196" s="302" t="str">
        <f>"674"</f>
        <v>674</v>
      </c>
      <c r="D196" s="247" t="s">
        <v>30</v>
      </c>
      <c r="E196" s="248">
        <v>36</v>
      </c>
      <c r="F196" s="249">
        <v>39394</v>
      </c>
      <c r="G196" s="249">
        <v>43583</v>
      </c>
      <c r="H196" s="247" t="s">
        <v>26</v>
      </c>
      <c r="I196" s="250" t="s">
        <v>433</v>
      </c>
    </row>
    <row r="197" spans="1:9">
      <c r="A197" s="246">
        <v>193</v>
      </c>
      <c r="B197" s="247" t="s">
        <v>3368</v>
      </c>
      <c r="C197" s="302" t="str">
        <f>"676"</f>
        <v>676</v>
      </c>
      <c r="D197" s="247" t="s">
        <v>30</v>
      </c>
      <c r="E197" s="248">
        <v>30</v>
      </c>
      <c r="F197" s="249">
        <v>39373</v>
      </c>
      <c r="G197" s="249">
        <v>46677</v>
      </c>
      <c r="H197" s="247" t="s">
        <v>26</v>
      </c>
      <c r="I197" s="250" t="s">
        <v>438</v>
      </c>
    </row>
    <row r="198" spans="1:9">
      <c r="A198" s="246">
        <v>194</v>
      </c>
      <c r="B198" s="247" t="s">
        <v>445</v>
      </c>
      <c r="C198" s="302" t="str">
        <f>"677"</f>
        <v>677</v>
      </c>
      <c r="D198" s="247" t="s">
        <v>30</v>
      </c>
      <c r="E198" s="248">
        <v>36</v>
      </c>
      <c r="F198" s="249">
        <v>39274</v>
      </c>
      <c r="G198" s="249">
        <v>42926</v>
      </c>
      <c r="H198" s="247" t="s">
        <v>26</v>
      </c>
      <c r="I198" s="250" t="s">
        <v>3351</v>
      </c>
    </row>
    <row r="199" spans="1:9">
      <c r="A199" s="246">
        <v>195</v>
      </c>
      <c r="B199" s="247" t="s">
        <v>106</v>
      </c>
      <c r="C199" s="302" t="str">
        <f>"680"</f>
        <v>680</v>
      </c>
      <c r="D199" s="247" t="s">
        <v>13</v>
      </c>
      <c r="E199" s="248">
        <v>12</v>
      </c>
      <c r="F199" s="249">
        <v>44288</v>
      </c>
      <c r="G199" s="249">
        <v>53418</v>
      </c>
      <c r="H199" s="247" t="s">
        <v>16</v>
      </c>
      <c r="I199" s="250" t="s">
        <v>79</v>
      </c>
    </row>
    <row r="200" spans="1:9">
      <c r="A200" s="246">
        <v>196</v>
      </c>
      <c r="B200" s="247" t="s">
        <v>106</v>
      </c>
      <c r="C200" s="302" t="str">
        <f>"687"</f>
        <v>687</v>
      </c>
      <c r="D200" s="247" t="s">
        <v>13</v>
      </c>
      <c r="E200" s="248">
        <v>29</v>
      </c>
      <c r="F200" s="249">
        <v>44281</v>
      </c>
      <c r="G200" s="249">
        <v>53411</v>
      </c>
      <c r="H200" s="247" t="s">
        <v>16</v>
      </c>
      <c r="I200" s="250" t="s">
        <v>79</v>
      </c>
    </row>
    <row r="201" spans="1:9">
      <c r="A201" s="246">
        <v>197</v>
      </c>
      <c r="B201" s="247" t="s">
        <v>107</v>
      </c>
      <c r="C201" s="302" t="str">
        <f>"688"</f>
        <v>688</v>
      </c>
      <c r="D201" s="247" t="s">
        <v>13</v>
      </c>
      <c r="E201" s="248">
        <v>112</v>
      </c>
      <c r="F201" s="249">
        <v>44104</v>
      </c>
      <c r="G201" s="249">
        <v>53234</v>
      </c>
      <c r="H201" s="247" t="s">
        <v>16</v>
      </c>
      <c r="I201" s="250" t="s">
        <v>79</v>
      </c>
    </row>
    <row r="202" spans="1:9">
      <c r="A202" s="246">
        <v>198</v>
      </c>
      <c r="B202" s="247" t="s">
        <v>107</v>
      </c>
      <c r="C202" s="302" t="str">
        <f>"689"</f>
        <v>689</v>
      </c>
      <c r="D202" s="247" t="s">
        <v>13</v>
      </c>
      <c r="E202" s="248">
        <v>96</v>
      </c>
      <c r="F202" s="249">
        <v>44104</v>
      </c>
      <c r="G202" s="249">
        <v>53234</v>
      </c>
      <c r="H202" s="247" t="s">
        <v>16</v>
      </c>
      <c r="I202" s="250" t="s">
        <v>79</v>
      </c>
    </row>
    <row r="203" spans="1:9">
      <c r="A203" s="246">
        <v>199</v>
      </c>
      <c r="B203" s="247" t="s">
        <v>446</v>
      </c>
      <c r="C203" s="302" t="str">
        <f>"690"</f>
        <v>690</v>
      </c>
      <c r="D203" s="247" t="s">
        <v>18</v>
      </c>
      <c r="E203" s="248">
        <v>38</v>
      </c>
      <c r="F203" s="249">
        <v>44144</v>
      </c>
      <c r="G203" s="249">
        <v>44441</v>
      </c>
      <c r="H203" s="247" t="s">
        <v>16</v>
      </c>
      <c r="I203" s="250" t="s">
        <v>3369</v>
      </c>
    </row>
    <row r="204" spans="1:9">
      <c r="A204" s="246">
        <v>200</v>
      </c>
      <c r="B204" s="247" t="s">
        <v>107</v>
      </c>
      <c r="C204" s="302" t="str">
        <f>"702"</f>
        <v>702</v>
      </c>
      <c r="D204" s="247" t="s">
        <v>13</v>
      </c>
      <c r="E204" s="248">
        <v>86</v>
      </c>
      <c r="F204" s="249">
        <v>44104</v>
      </c>
      <c r="G204" s="249">
        <v>53234</v>
      </c>
      <c r="H204" s="247" t="s">
        <v>16</v>
      </c>
      <c r="I204" s="250" t="s">
        <v>79</v>
      </c>
    </row>
    <row r="205" spans="1:9">
      <c r="A205" s="246">
        <v>201</v>
      </c>
      <c r="B205" s="247" t="s">
        <v>447</v>
      </c>
      <c r="C205" s="302" t="str">
        <f>"704"</f>
        <v>704</v>
      </c>
      <c r="D205" s="247" t="s">
        <v>18</v>
      </c>
      <c r="E205" s="248">
        <v>117</v>
      </c>
      <c r="F205" s="249">
        <v>44144</v>
      </c>
      <c r="G205" s="249">
        <v>44441</v>
      </c>
      <c r="H205" s="247" t="s">
        <v>16</v>
      </c>
      <c r="I205" s="250" t="s">
        <v>448</v>
      </c>
    </row>
    <row r="206" spans="1:9">
      <c r="A206" s="246">
        <v>202</v>
      </c>
      <c r="B206" s="247" t="s">
        <v>447</v>
      </c>
      <c r="C206" s="302" t="str">
        <f>"706"</f>
        <v>706</v>
      </c>
      <c r="D206" s="247" t="s">
        <v>18</v>
      </c>
      <c r="E206" s="248">
        <v>103</v>
      </c>
      <c r="F206" s="249">
        <v>44144</v>
      </c>
      <c r="G206" s="249">
        <v>44441</v>
      </c>
      <c r="H206" s="247" t="s">
        <v>16</v>
      </c>
      <c r="I206" s="250" t="s">
        <v>448</v>
      </c>
    </row>
    <row r="207" spans="1:9">
      <c r="A207" s="246">
        <v>203</v>
      </c>
      <c r="B207" s="247" t="s">
        <v>108</v>
      </c>
      <c r="C207" s="302" t="str">
        <f>"707"</f>
        <v>707</v>
      </c>
      <c r="D207" s="247" t="s">
        <v>13</v>
      </c>
      <c r="E207" s="248">
        <v>117</v>
      </c>
      <c r="F207" s="249">
        <v>43243</v>
      </c>
      <c r="G207" s="249">
        <v>52373</v>
      </c>
      <c r="H207" s="247" t="s">
        <v>16</v>
      </c>
      <c r="I207" s="250" t="s">
        <v>79</v>
      </c>
    </row>
    <row r="208" spans="1:9">
      <c r="A208" s="246">
        <v>204</v>
      </c>
      <c r="B208" s="247" t="s">
        <v>447</v>
      </c>
      <c r="C208" s="302" t="str">
        <f>"708"</f>
        <v>708</v>
      </c>
      <c r="D208" s="247" t="s">
        <v>18</v>
      </c>
      <c r="E208" s="248">
        <v>106</v>
      </c>
      <c r="F208" s="249">
        <v>44144</v>
      </c>
      <c r="G208" s="249">
        <v>44441</v>
      </c>
      <c r="H208" s="247" t="s">
        <v>16</v>
      </c>
      <c r="I208" s="250" t="s">
        <v>448</v>
      </c>
    </row>
    <row r="209" spans="1:9">
      <c r="A209" s="246">
        <v>205</v>
      </c>
      <c r="B209" s="247" t="s">
        <v>3370</v>
      </c>
      <c r="C209" s="302" t="str">
        <f>"711"</f>
        <v>711</v>
      </c>
      <c r="D209" s="247" t="s">
        <v>18</v>
      </c>
      <c r="E209" s="248">
        <v>74</v>
      </c>
      <c r="F209" s="249">
        <v>41589</v>
      </c>
      <c r="G209" s="249">
        <v>43414</v>
      </c>
      <c r="H209" s="247" t="s">
        <v>16</v>
      </c>
      <c r="I209" s="250" t="s">
        <v>448</v>
      </c>
    </row>
    <row r="210" spans="1:9">
      <c r="A210" s="246">
        <v>206</v>
      </c>
      <c r="B210" s="247" t="s">
        <v>3370</v>
      </c>
      <c r="C210" s="302" t="str">
        <f>"712"</f>
        <v>712</v>
      </c>
      <c r="D210" s="247" t="s">
        <v>18</v>
      </c>
      <c r="E210" s="248">
        <v>107</v>
      </c>
      <c r="F210" s="249">
        <v>41589</v>
      </c>
      <c r="G210" s="249">
        <v>43414</v>
      </c>
      <c r="H210" s="247" t="s">
        <v>16</v>
      </c>
      <c r="I210" s="250" t="s">
        <v>448</v>
      </c>
    </row>
    <row r="211" spans="1:9">
      <c r="A211" s="246">
        <v>207</v>
      </c>
      <c r="B211" s="247" t="s">
        <v>3370</v>
      </c>
      <c r="C211" s="302" t="str">
        <f>"713"</f>
        <v>713</v>
      </c>
      <c r="D211" s="247" t="s">
        <v>18</v>
      </c>
      <c r="E211" s="248">
        <v>41</v>
      </c>
      <c r="F211" s="249">
        <v>41589</v>
      </c>
      <c r="G211" s="249">
        <v>43414</v>
      </c>
      <c r="H211" s="247" t="s">
        <v>16</v>
      </c>
      <c r="I211" s="250" t="s">
        <v>448</v>
      </c>
    </row>
    <row r="212" spans="1:9">
      <c r="A212" s="246">
        <v>208</v>
      </c>
      <c r="B212" s="247" t="s">
        <v>447</v>
      </c>
      <c r="C212" s="302" t="str">
        <f>"714"</f>
        <v>714</v>
      </c>
      <c r="D212" s="247" t="s">
        <v>18</v>
      </c>
      <c r="E212" s="248">
        <v>98</v>
      </c>
      <c r="F212" s="249">
        <v>44144</v>
      </c>
      <c r="G212" s="249">
        <v>44441</v>
      </c>
      <c r="H212" s="247" t="s">
        <v>16</v>
      </c>
      <c r="I212" s="250" t="s">
        <v>448</v>
      </c>
    </row>
    <row r="213" spans="1:9">
      <c r="A213" s="246">
        <v>209</v>
      </c>
      <c r="B213" s="247" t="s">
        <v>449</v>
      </c>
      <c r="C213" s="302" t="str">
        <f>"738"</f>
        <v>738</v>
      </c>
      <c r="D213" s="247" t="s">
        <v>18</v>
      </c>
      <c r="E213" s="248">
        <v>12</v>
      </c>
      <c r="F213" s="249">
        <v>43389</v>
      </c>
      <c r="G213" s="249">
        <v>44484</v>
      </c>
      <c r="H213" s="247" t="s">
        <v>14</v>
      </c>
      <c r="I213" s="250" t="s">
        <v>448</v>
      </c>
    </row>
    <row r="214" spans="1:9">
      <c r="A214" s="246">
        <v>210</v>
      </c>
      <c r="B214" s="247" t="s">
        <v>109</v>
      </c>
      <c r="C214" s="302" t="str">
        <f>"739"</f>
        <v>739</v>
      </c>
      <c r="D214" s="247" t="s">
        <v>18</v>
      </c>
      <c r="E214" s="248">
        <v>94</v>
      </c>
      <c r="F214" s="249">
        <v>41563</v>
      </c>
      <c r="G214" s="249">
        <v>43388</v>
      </c>
      <c r="H214" s="247" t="s">
        <v>14</v>
      </c>
      <c r="I214" s="250" t="s">
        <v>448</v>
      </c>
    </row>
    <row r="215" spans="1:9">
      <c r="A215" s="246">
        <v>211</v>
      </c>
      <c r="B215" s="247" t="s">
        <v>109</v>
      </c>
      <c r="C215" s="302" t="str">
        <f>"740"</f>
        <v>740</v>
      </c>
      <c r="D215" s="247" t="s">
        <v>13</v>
      </c>
      <c r="E215" s="248">
        <v>70</v>
      </c>
      <c r="F215" s="249">
        <v>43496</v>
      </c>
      <c r="G215" s="249">
        <v>52626</v>
      </c>
      <c r="H215" s="247" t="s">
        <v>14</v>
      </c>
      <c r="I215" s="250" t="s">
        <v>79</v>
      </c>
    </row>
    <row r="216" spans="1:9">
      <c r="A216" s="246">
        <v>212</v>
      </c>
      <c r="B216" s="247" t="s">
        <v>110</v>
      </c>
      <c r="C216" s="302" t="str">
        <f>"741"</f>
        <v>741</v>
      </c>
      <c r="D216" s="247" t="s">
        <v>13</v>
      </c>
      <c r="E216" s="248">
        <v>89</v>
      </c>
      <c r="F216" s="249">
        <v>43371</v>
      </c>
      <c r="G216" s="249">
        <v>52501</v>
      </c>
      <c r="H216" s="247" t="s">
        <v>14</v>
      </c>
      <c r="I216" s="250" t="s">
        <v>79</v>
      </c>
    </row>
    <row r="217" spans="1:9">
      <c r="A217" s="246">
        <v>213</v>
      </c>
      <c r="B217" s="247" t="s">
        <v>109</v>
      </c>
      <c r="C217" s="302" t="str">
        <f>"745"</f>
        <v>745</v>
      </c>
      <c r="D217" s="247" t="s">
        <v>18</v>
      </c>
      <c r="E217" s="248">
        <v>33</v>
      </c>
      <c r="F217" s="249">
        <v>41563</v>
      </c>
      <c r="G217" s="249">
        <v>43388</v>
      </c>
      <c r="H217" s="247" t="s">
        <v>16</v>
      </c>
      <c r="I217" s="250" t="s">
        <v>448</v>
      </c>
    </row>
    <row r="218" spans="1:9">
      <c r="A218" s="246">
        <v>214</v>
      </c>
      <c r="B218" s="247" t="s">
        <v>109</v>
      </c>
      <c r="C218" s="302" t="str">
        <f>"746"</f>
        <v>746</v>
      </c>
      <c r="D218" s="247" t="s">
        <v>18</v>
      </c>
      <c r="E218" s="248">
        <v>39</v>
      </c>
      <c r="F218" s="249">
        <v>41563</v>
      </c>
      <c r="G218" s="249">
        <v>43388</v>
      </c>
      <c r="H218" s="247" t="s">
        <v>16</v>
      </c>
      <c r="I218" s="250" t="s">
        <v>448</v>
      </c>
    </row>
    <row r="219" spans="1:9">
      <c r="A219" s="246">
        <v>215</v>
      </c>
      <c r="B219" s="247" t="s">
        <v>109</v>
      </c>
      <c r="C219" s="302" t="str">
        <f>"747"</f>
        <v>747</v>
      </c>
      <c r="D219" s="247" t="s">
        <v>18</v>
      </c>
      <c r="E219" s="248">
        <v>58</v>
      </c>
      <c r="F219" s="249">
        <v>41563</v>
      </c>
      <c r="G219" s="249">
        <v>43388</v>
      </c>
      <c r="H219" s="247" t="s">
        <v>16</v>
      </c>
      <c r="I219" s="250" t="s">
        <v>448</v>
      </c>
    </row>
    <row r="220" spans="1:9">
      <c r="A220" s="246">
        <v>216</v>
      </c>
      <c r="B220" s="247" t="s">
        <v>109</v>
      </c>
      <c r="C220" s="302" t="str">
        <f>"748"</f>
        <v>748</v>
      </c>
      <c r="D220" s="247" t="s">
        <v>18</v>
      </c>
      <c r="E220" s="248">
        <v>100</v>
      </c>
      <c r="F220" s="249">
        <v>41936</v>
      </c>
      <c r="G220" s="249">
        <v>43761</v>
      </c>
      <c r="H220" s="247" t="s">
        <v>14</v>
      </c>
      <c r="I220" s="250" t="s">
        <v>448</v>
      </c>
    </row>
    <row r="221" spans="1:9">
      <c r="A221" s="246">
        <v>217</v>
      </c>
      <c r="B221" s="247" t="s">
        <v>363</v>
      </c>
      <c r="C221" s="302" t="str">
        <f>"749"</f>
        <v>749</v>
      </c>
      <c r="D221" s="247" t="s">
        <v>18</v>
      </c>
      <c r="E221" s="248">
        <v>58</v>
      </c>
      <c r="F221" s="249">
        <v>43389</v>
      </c>
      <c r="G221" s="249">
        <v>44484</v>
      </c>
      <c r="H221" s="247" t="s">
        <v>14</v>
      </c>
      <c r="I221" s="250" t="s">
        <v>448</v>
      </c>
    </row>
    <row r="222" spans="1:9">
      <c r="A222" s="246">
        <v>218</v>
      </c>
      <c r="B222" s="247" t="s">
        <v>450</v>
      </c>
      <c r="C222" s="302" t="str">
        <f>"750"</f>
        <v>750</v>
      </c>
      <c r="D222" s="247" t="s">
        <v>18</v>
      </c>
      <c r="E222" s="248">
        <v>100</v>
      </c>
      <c r="F222" s="249">
        <v>43389</v>
      </c>
      <c r="G222" s="249">
        <v>44484</v>
      </c>
      <c r="H222" s="247" t="s">
        <v>14</v>
      </c>
      <c r="I222" s="250" t="s">
        <v>448</v>
      </c>
    </row>
    <row r="223" spans="1:9">
      <c r="A223" s="246">
        <v>219</v>
      </c>
      <c r="B223" s="247" t="s">
        <v>363</v>
      </c>
      <c r="C223" s="302" t="str">
        <f>"751"</f>
        <v>751</v>
      </c>
      <c r="D223" s="247" t="s">
        <v>18</v>
      </c>
      <c r="E223" s="248">
        <v>46</v>
      </c>
      <c r="F223" s="249">
        <v>43389</v>
      </c>
      <c r="G223" s="249">
        <v>44484</v>
      </c>
      <c r="H223" s="247" t="s">
        <v>14</v>
      </c>
      <c r="I223" s="250" t="s">
        <v>448</v>
      </c>
    </row>
    <row r="224" spans="1:9">
      <c r="A224" s="246">
        <v>220</v>
      </c>
      <c r="B224" s="247" t="s">
        <v>450</v>
      </c>
      <c r="C224" s="302" t="str">
        <f>"752"</f>
        <v>752</v>
      </c>
      <c r="D224" s="247" t="s">
        <v>18</v>
      </c>
      <c r="E224" s="248">
        <v>68</v>
      </c>
      <c r="F224" s="249">
        <v>43389</v>
      </c>
      <c r="G224" s="249">
        <v>44484</v>
      </c>
      <c r="H224" s="247" t="s">
        <v>14</v>
      </c>
      <c r="I224" s="250" t="s">
        <v>448</v>
      </c>
    </row>
    <row r="225" spans="1:9">
      <c r="A225" s="246">
        <v>221</v>
      </c>
      <c r="B225" s="247" t="s">
        <v>450</v>
      </c>
      <c r="C225" s="302" t="str">
        <f>"753"</f>
        <v>753</v>
      </c>
      <c r="D225" s="247" t="s">
        <v>18</v>
      </c>
      <c r="E225" s="248">
        <v>114</v>
      </c>
      <c r="F225" s="249">
        <v>43389</v>
      </c>
      <c r="G225" s="249">
        <v>44484</v>
      </c>
      <c r="H225" s="247" t="s">
        <v>14</v>
      </c>
      <c r="I225" s="250" t="s">
        <v>448</v>
      </c>
    </row>
    <row r="226" spans="1:9">
      <c r="A226" s="246">
        <v>222</v>
      </c>
      <c r="B226" s="247" t="s">
        <v>110</v>
      </c>
      <c r="C226" s="302" t="str">
        <f>"754"</f>
        <v>754</v>
      </c>
      <c r="D226" s="247" t="s">
        <v>13</v>
      </c>
      <c r="E226" s="248">
        <v>110</v>
      </c>
      <c r="F226" s="249">
        <v>43371</v>
      </c>
      <c r="G226" s="249">
        <v>52501</v>
      </c>
      <c r="H226" s="247" t="s">
        <v>14</v>
      </c>
      <c r="I226" s="250" t="s">
        <v>79</v>
      </c>
    </row>
    <row r="227" spans="1:9">
      <c r="A227" s="246">
        <v>223</v>
      </c>
      <c r="B227" s="247" t="s">
        <v>110</v>
      </c>
      <c r="C227" s="302" t="str">
        <f>"755"</f>
        <v>755</v>
      </c>
      <c r="D227" s="247" t="s">
        <v>13</v>
      </c>
      <c r="E227" s="248">
        <v>109</v>
      </c>
      <c r="F227" s="249">
        <v>43371</v>
      </c>
      <c r="G227" s="249">
        <v>52501</v>
      </c>
      <c r="H227" s="247" t="s">
        <v>14</v>
      </c>
      <c r="I227" s="250" t="s">
        <v>79</v>
      </c>
    </row>
    <row r="228" spans="1:9">
      <c r="A228" s="246">
        <v>224</v>
      </c>
      <c r="B228" s="247" t="s">
        <v>451</v>
      </c>
      <c r="C228" s="302" t="str">
        <f>"756"</f>
        <v>756</v>
      </c>
      <c r="D228" s="247" t="s">
        <v>18</v>
      </c>
      <c r="E228" s="248">
        <v>96</v>
      </c>
      <c r="F228" s="249">
        <v>43389</v>
      </c>
      <c r="G228" s="249">
        <v>44484</v>
      </c>
      <c r="H228" s="247" t="s">
        <v>14</v>
      </c>
      <c r="I228" s="250" t="s">
        <v>448</v>
      </c>
    </row>
    <row r="229" spans="1:9">
      <c r="A229" s="246">
        <v>225</v>
      </c>
      <c r="B229" s="247" t="s">
        <v>363</v>
      </c>
      <c r="C229" s="302" t="str">
        <f>"757"</f>
        <v>757</v>
      </c>
      <c r="D229" s="247" t="s">
        <v>18</v>
      </c>
      <c r="E229" s="248">
        <v>97</v>
      </c>
      <c r="F229" s="249">
        <v>41563</v>
      </c>
      <c r="G229" s="249">
        <v>43388</v>
      </c>
      <c r="H229" s="247" t="s">
        <v>14</v>
      </c>
      <c r="I229" s="250" t="s">
        <v>448</v>
      </c>
    </row>
    <row r="230" spans="1:9">
      <c r="A230" s="246">
        <v>226</v>
      </c>
      <c r="B230" s="247" t="s">
        <v>363</v>
      </c>
      <c r="C230" s="302" t="str">
        <f>"758"</f>
        <v>758</v>
      </c>
      <c r="D230" s="247" t="s">
        <v>18</v>
      </c>
      <c r="E230" s="248">
        <v>88</v>
      </c>
      <c r="F230" s="249">
        <v>41563</v>
      </c>
      <c r="G230" s="249">
        <v>43388</v>
      </c>
      <c r="H230" s="247" t="s">
        <v>14</v>
      </c>
      <c r="I230" s="250" t="s">
        <v>448</v>
      </c>
    </row>
    <row r="231" spans="1:9">
      <c r="A231" s="246">
        <v>227</v>
      </c>
      <c r="B231" s="247" t="s">
        <v>451</v>
      </c>
      <c r="C231" s="302" t="str">
        <f>"759"</f>
        <v>759</v>
      </c>
      <c r="D231" s="247" t="s">
        <v>18</v>
      </c>
      <c r="E231" s="248">
        <v>75</v>
      </c>
      <c r="F231" s="249">
        <v>43389</v>
      </c>
      <c r="G231" s="249">
        <v>44484</v>
      </c>
      <c r="H231" s="247" t="s">
        <v>14</v>
      </c>
      <c r="I231" s="250" t="s">
        <v>448</v>
      </c>
    </row>
    <row r="232" spans="1:9">
      <c r="A232" s="246">
        <v>228</v>
      </c>
      <c r="B232" s="247" t="s">
        <v>452</v>
      </c>
      <c r="C232" s="302" t="str">
        <f>"760"</f>
        <v>760</v>
      </c>
      <c r="D232" s="247" t="s">
        <v>18</v>
      </c>
      <c r="E232" s="248">
        <v>84</v>
      </c>
      <c r="F232" s="249">
        <v>43389</v>
      </c>
      <c r="G232" s="249">
        <v>44484</v>
      </c>
      <c r="H232" s="247" t="s">
        <v>14</v>
      </c>
      <c r="I232" s="250" t="s">
        <v>448</v>
      </c>
    </row>
    <row r="233" spans="1:9">
      <c r="A233" s="246">
        <v>229</v>
      </c>
      <c r="B233" s="247" t="s">
        <v>453</v>
      </c>
      <c r="C233" s="302" t="str">
        <f>"761"</f>
        <v>761</v>
      </c>
      <c r="D233" s="247" t="s">
        <v>18</v>
      </c>
      <c r="E233" s="248">
        <v>66</v>
      </c>
      <c r="F233" s="249">
        <v>43389</v>
      </c>
      <c r="G233" s="249">
        <v>44484</v>
      </c>
      <c r="H233" s="247" t="s">
        <v>14</v>
      </c>
      <c r="I233" s="250" t="s">
        <v>448</v>
      </c>
    </row>
    <row r="234" spans="1:9">
      <c r="A234" s="246">
        <v>230</v>
      </c>
      <c r="B234" s="247" t="s">
        <v>453</v>
      </c>
      <c r="C234" s="302" t="str">
        <f>"762"</f>
        <v>762</v>
      </c>
      <c r="D234" s="247" t="s">
        <v>18</v>
      </c>
      <c r="E234" s="248">
        <v>60</v>
      </c>
      <c r="F234" s="249">
        <v>43389</v>
      </c>
      <c r="G234" s="249">
        <v>44484</v>
      </c>
      <c r="H234" s="247" t="s">
        <v>14</v>
      </c>
      <c r="I234" s="250" t="s">
        <v>448</v>
      </c>
    </row>
    <row r="235" spans="1:9">
      <c r="A235" s="246">
        <v>231</v>
      </c>
      <c r="B235" s="247" t="s">
        <v>453</v>
      </c>
      <c r="C235" s="302" t="str">
        <f>"763"</f>
        <v>763</v>
      </c>
      <c r="D235" s="247" t="s">
        <v>18</v>
      </c>
      <c r="E235" s="248">
        <v>68</v>
      </c>
      <c r="F235" s="249">
        <v>43389</v>
      </c>
      <c r="G235" s="249">
        <v>44484</v>
      </c>
      <c r="H235" s="247" t="s">
        <v>14</v>
      </c>
      <c r="I235" s="250" t="s">
        <v>448</v>
      </c>
    </row>
    <row r="236" spans="1:9">
      <c r="A236" s="246">
        <v>232</v>
      </c>
      <c r="B236" s="247" t="s">
        <v>363</v>
      </c>
      <c r="C236" s="302" t="str">
        <f>"768"</f>
        <v>768</v>
      </c>
      <c r="D236" s="247" t="s">
        <v>18</v>
      </c>
      <c r="E236" s="248">
        <v>65</v>
      </c>
      <c r="F236" s="249">
        <v>43389</v>
      </c>
      <c r="G236" s="249">
        <v>44484</v>
      </c>
      <c r="H236" s="247" t="s">
        <v>16</v>
      </c>
      <c r="I236" s="250" t="s">
        <v>448</v>
      </c>
    </row>
    <row r="237" spans="1:9">
      <c r="A237" s="246">
        <v>233</v>
      </c>
      <c r="B237" s="247" t="s">
        <v>363</v>
      </c>
      <c r="C237" s="302" t="str">
        <f>"769"</f>
        <v>769</v>
      </c>
      <c r="D237" s="247" t="s">
        <v>18</v>
      </c>
      <c r="E237" s="248">
        <v>67</v>
      </c>
      <c r="F237" s="249">
        <v>43389</v>
      </c>
      <c r="G237" s="249">
        <v>44484</v>
      </c>
      <c r="H237" s="247" t="s">
        <v>14</v>
      </c>
      <c r="I237" s="250" t="s">
        <v>448</v>
      </c>
    </row>
    <row r="238" spans="1:9">
      <c r="A238" s="246">
        <v>234</v>
      </c>
      <c r="B238" s="247" t="s">
        <v>454</v>
      </c>
      <c r="C238" s="302" t="str">
        <f>"774"</f>
        <v>774</v>
      </c>
      <c r="D238" s="247" t="s">
        <v>18</v>
      </c>
      <c r="E238" s="248">
        <v>103</v>
      </c>
      <c r="F238" s="249">
        <v>43389</v>
      </c>
      <c r="G238" s="249">
        <v>44484</v>
      </c>
      <c r="H238" s="247" t="s">
        <v>14</v>
      </c>
      <c r="I238" s="250" t="s">
        <v>448</v>
      </c>
    </row>
    <row r="239" spans="1:9">
      <c r="A239" s="246">
        <v>235</v>
      </c>
      <c r="B239" s="247" t="s">
        <v>454</v>
      </c>
      <c r="C239" s="302" t="str">
        <f>"775"</f>
        <v>775</v>
      </c>
      <c r="D239" s="247" t="s">
        <v>18</v>
      </c>
      <c r="E239" s="248">
        <v>82</v>
      </c>
      <c r="F239" s="249">
        <v>43389</v>
      </c>
      <c r="G239" s="249">
        <v>44484</v>
      </c>
      <c r="H239" s="247" t="s">
        <v>14</v>
      </c>
      <c r="I239" s="250" t="s">
        <v>448</v>
      </c>
    </row>
    <row r="240" spans="1:9">
      <c r="A240" s="246">
        <v>236</v>
      </c>
      <c r="B240" s="247" t="s">
        <v>454</v>
      </c>
      <c r="C240" s="302" t="str">
        <f>"776"</f>
        <v>776</v>
      </c>
      <c r="D240" s="247" t="s">
        <v>18</v>
      </c>
      <c r="E240" s="248">
        <v>98</v>
      </c>
      <c r="F240" s="249">
        <v>43389</v>
      </c>
      <c r="G240" s="249">
        <v>44484</v>
      </c>
      <c r="H240" s="247" t="s">
        <v>14</v>
      </c>
      <c r="I240" s="250" t="s">
        <v>448</v>
      </c>
    </row>
    <row r="241" spans="1:9">
      <c r="A241" s="246">
        <v>237</v>
      </c>
      <c r="B241" s="247" t="s">
        <v>449</v>
      </c>
      <c r="C241" s="302" t="str">
        <f>"777"</f>
        <v>777</v>
      </c>
      <c r="D241" s="247" t="s">
        <v>18</v>
      </c>
      <c r="E241" s="248">
        <v>99</v>
      </c>
      <c r="F241" s="249">
        <v>43389</v>
      </c>
      <c r="G241" s="249">
        <v>44484</v>
      </c>
      <c r="H241" s="247" t="s">
        <v>14</v>
      </c>
      <c r="I241" s="250" t="s">
        <v>448</v>
      </c>
    </row>
    <row r="242" spans="1:9">
      <c r="A242" s="246">
        <v>238</v>
      </c>
      <c r="B242" s="247" t="s">
        <v>453</v>
      </c>
      <c r="C242" s="302" t="str">
        <f>"778"</f>
        <v>778</v>
      </c>
      <c r="D242" s="247" t="s">
        <v>18</v>
      </c>
      <c r="E242" s="248">
        <v>112</v>
      </c>
      <c r="F242" s="249">
        <v>43389</v>
      </c>
      <c r="G242" s="249">
        <v>44484</v>
      </c>
      <c r="H242" s="247" t="s">
        <v>14</v>
      </c>
      <c r="I242" s="250" t="s">
        <v>448</v>
      </c>
    </row>
    <row r="243" spans="1:9">
      <c r="A243" s="246">
        <v>239</v>
      </c>
      <c r="B243" s="247" t="s">
        <v>449</v>
      </c>
      <c r="C243" s="302" t="str">
        <f>"779"</f>
        <v>779</v>
      </c>
      <c r="D243" s="247" t="s">
        <v>18</v>
      </c>
      <c r="E243" s="248">
        <v>106</v>
      </c>
      <c r="F243" s="249">
        <v>43389</v>
      </c>
      <c r="G243" s="249">
        <v>44484</v>
      </c>
      <c r="H243" s="247" t="s">
        <v>14</v>
      </c>
      <c r="I243" s="250" t="s">
        <v>448</v>
      </c>
    </row>
    <row r="244" spans="1:9">
      <c r="A244" s="246">
        <v>240</v>
      </c>
      <c r="B244" s="247" t="s">
        <v>108</v>
      </c>
      <c r="C244" s="302" t="str">
        <f>"803"</f>
        <v>803</v>
      </c>
      <c r="D244" s="247" t="s">
        <v>13</v>
      </c>
      <c r="E244" s="248">
        <v>15</v>
      </c>
      <c r="F244" s="249">
        <v>44281</v>
      </c>
      <c r="G244" s="249">
        <v>53411</v>
      </c>
      <c r="H244" s="247" t="s">
        <v>16</v>
      </c>
      <c r="I244" s="250" t="s">
        <v>79</v>
      </c>
    </row>
    <row r="245" spans="1:9">
      <c r="A245" s="246">
        <v>241</v>
      </c>
      <c r="B245" s="247" t="s">
        <v>108</v>
      </c>
      <c r="C245" s="302" t="str">
        <f>"804"</f>
        <v>804</v>
      </c>
      <c r="D245" s="247" t="s">
        <v>13</v>
      </c>
      <c r="E245" s="248">
        <v>11</v>
      </c>
      <c r="F245" s="249">
        <v>44281</v>
      </c>
      <c r="G245" s="249">
        <v>53411</v>
      </c>
      <c r="H245" s="247" t="s">
        <v>16</v>
      </c>
      <c r="I245" s="250" t="s">
        <v>79</v>
      </c>
    </row>
    <row r="246" spans="1:9">
      <c r="A246" s="246">
        <v>242</v>
      </c>
      <c r="B246" s="247" t="s">
        <v>108</v>
      </c>
      <c r="C246" s="302" t="str">
        <f>"805"</f>
        <v>805</v>
      </c>
      <c r="D246" s="247" t="s">
        <v>13</v>
      </c>
      <c r="E246" s="248">
        <v>16</v>
      </c>
      <c r="F246" s="249">
        <v>44281</v>
      </c>
      <c r="G246" s="249">
        <v>53411</v>
      </c>
      <c r="H246" s="247" t="s">
        <v>14</v>
      </c>
      <c r="I246" s="250" t="s">
        <v>79</v>
      </c>
    </row>
    <row r="247" spans="1:9">
      <c r="A247" s="246">
        <v>243</v>
      </c>
      <c r="B247" s="247" t="s">
        <v>108</v>
      </c>
      <c r="C247" s="302" t="str">
        <f>"806"</f>
        <v>806</v>
      </c>
      <c r="D247" s="247" t="s">
        <v>13</v>
      </c>
      <c r="E247" s="248">
        <v>18</v>
      </c>
      <c r="F247" s="249">
        <v>44281</v>
      </c>
      <c r="G247" s="249">
        <v>53411</v>
      </c>
      <c r="H247" s="247" t="s">
        <v>14</v>
      </c>
      <c r="I247" s="250" t="s">
        <v>79</v>
      </c>
    </row>
    <row r="248" spans="1:9">
      <c r="A248" s="246">
        <v>244</v>
      </c>
      <c r="B248" s="247" t="s">
        <v>3371</v>
      </c>
      <c r="C248" s="302" t="str">
        <f>"808"</f>
        <v>808</v>
      </c>
      <c r="D248" s="247" t="s">
        <v>18</v>
      </c>
      <c r="E248" s="248">
        <v>134</v>
      </c>
      <c r="F248" s="249">
        <v>41589</v>
      </c>
      <c r="G248" s="249">
        <v>43414</v>
      </c>
      <c r="H248" s="247" t="s">
        <v>14</v>
      </c>
      <c r="I248" s="250" t="s">
        <v>438</v>
      </c>
    </row>
    <row r="249" spans="1:9">
      <c r="A249" s="246">
        <v>245</v>
      </c>
      <c r="B249" s="247" t="s">
        <v>106</v>
      </c>
      <c r="C249" s="302" t="str">
        <f>"809"</f>
        <v>809</v>
      </c>
      <c r="D249" s="247" t="s">
        <v>13</v>
      </c>
      <c r="E249" s="248">
        <v>52</v>
      </c>
      <c r="F249" s="249">
        <v>44281</v>
      </c>
      <c r="G249" s="249">
        <v>53411</v>
      </c>
      <c r="H249" s="247" t="s">
        <v>14</v>
      </c>
      <c r="I249" s="250" t="s">
        <v>79</v>
      </c>
    </row>
    <row r="250" spans="1:9">
      <c r="A250" s="246">
        <v>246</v>
      </c>
      <c r="B250" s="247" t="s">
        <v>106</v>
      </c>
      <c r="C250" s="302" t="str">
        <f>"811"</f>
        <v>811</v>
      </c>
      <c r="D250" s="247" t="s">
        <v>13</v>
      </c>
      <c r="E250" s="248">
        <v>44</v>
      </c>
      <c r="F250" s="249">
        <v>44281</v>
      </c>
      <c r="G250" s="249">
        <v>53411</v>
      </c>
      <c r="H250" s="247" t="s">
        <v>14</v>
      </c>
      <c r="I250" s="250" t="s">
        <v>79</v>
      </c>
    </row>
    <row r="251" spans="1:9">
      <c r="A251" s="246">
        <v>247</v>
      </c>
      <c r="B251" s="247" t="s">
        <v>111</v>
      </c>
      <c r="C251" s="302" t="str">
        <f>"815"</f>
        <v>815</v>
      </c>
      <c r="D251" s="247" t="s">
        <v>13</v>
      </c>
      <c r="E251" s="248">
        <v>22</v>
      </c>
      <c r="F251" s="249">
        <v>42809</v>
      </c>
      <c r="G251" s="249">
        <v>53765</v>
      </c>
      <c r="H251" s="247" t="s">
        <v>16</v>
      </c>
      <c r="I251" s="250" t="s">
        <v>79</v>
      </c>
    </row>
    <row r="252" spans="1:9">
      <c r="A252" s="246">
        <v>248</v>
      </c>
      <c r="B252" s="247" t="s">
        <v>201</v>
      </c>
      <c r="C252" s="302" t="str">
        <f>"818"</f>
        <v>818</v>
      </c>
      <c r="D252" s="247" t="s">
        <v>18</v>
      </c>
      <c r="E252" s="248">
        <v>217</v>
      </c>
      <c r="F252" s="249">
        <v>41064</v>
      </c>
      <c r="G252" s="249">
        <v>42889</v>
      </c>
      <c r="H252" s="247" t="s">
        <v>84</v>
      </c>
      <c r="I252" s="250" t="s">
        <v>438</v>
      </c>
    </row>
    <row r="253" spans="1:9">
      <c r="A253" s="246">
        <v>249</v>
      </c>
      <c r="B253" s="247" t="s">
        <v>201</v>
      </c>
      <c r="C253" s="302" t="str">
        <f>"819"</f>
        <v>819</v>
      </c>
      <c r="D253" s="247" t="s">
        <v>18</v>
      </c>
      <c r="E253" s="248">
        <v>234</v>
      </c>
      <c r="F253" s="249">
        <v>41064</v>
      </c>
      <c r="G253" s="249">
        <v>42889</v>
      </c>
      <c r="H253" s="247" t="s">
        <v>84</v>
      </c>
      <c r="I253" s="250" t="s">
        <v>438</v>
      </c>
    </row>
    <row r="254" spans="1:9">
      <c r="A254" s="246">
        <v>250</v>
      </c>
      <c r="B254" s="247" t="s">
        <v>201</v>
      </c>
      <c r="C254" s="302" t="str">
        <f>"820"</f>
        <v>820</v>
      </c>
      <c r="D254" s="247" t="s">
        <v>18</v>
      </c>
      <c r="E254" s="248">
        <v>106</v>
      </c>
      <c r="F254" s="249">
        <v>41064</v>
      </c>
      <c r="G254" s="249">
        <v>42889</v>
      </c>
      <c r="H254" s="247" t="s">
        <v>84</v>
      </c>
      <c r="I254" s="250" t="s">
        <v>438</v>
      </c>
    </row>
    <row r="255" spans="1:9">
      <c r="A255" s="246">
        <v>251</v>
      </c>
      <c r="B255" s="247" t="s">
        <v>201</v>
      </c>
      <c r="C255" s="302" t="str">
        <f>"821"</f>
        <v>821</v>
      </c>
      <c r="D255" s="247" t="s">
        <v>18</v>
      </c>
      <c r="E255" s="248">
        <v>234</v>
      </c>
      <c r="F255" s="249">
        <v>41064</v>
      </c>
      <c r="G255" s="249">
        <v>42889</v>
      </c>
      <c r="H255" s="247" t="s">
        <v>84</v>
      </c>
      <c r="I255" s="250" t="s">
        <v>438</v>
      </c>
    </row>
    <row r="256" spans="1:9">
      <c r="A256" s="246">
        <v>252</v>
      </c>
      <c r="B256" s="247" t="s">
        <v>201</v>
      </c>
      <c r="C256" s="302" t="str">
        <f>"822"</f>
        <v>822</v>
      </c>
      <c r="D256" s="247" t="s">
        <v>18</v>
      </c>
      <c r="E256" s="248">
        <v>99</v>
      </c>
      <c r="F256" s="249">
        <v>41064</v>
      </c>
      <c r="G256" s="249">
        <v>42889</v>
      </c>
      <c r="H256" s="247" t="s">
        <v>84</v>
      </c>
      <c r="I256" s="250" t="s">
        <v>438</v>
      </c>
    </row>
    <row r="257" spans="1:9">
      <c r="A257" s="246">
        <v>253</v>
      </c>
      <c r="B257" s="247" t="s">
        <v>201</v>
      </c>
      <c r="C257" s="302" t="str">
        <f>"826"</f>
        <v>826</v>
      </c>
      <c r="D257" s="247" t="s">
        <v>18</v>
      </c>
      <c r="E257" s="248">
        <v>230</v>
      </c>
      <c r="F257" s="249">
        <v>41064</v>
      </c>
      <c r="G257" s="249">
        <v>42889</v>
      </c>
      <c r="H257" s="247" t="s">
        <v>59</v>
      </c>
      <c r="I257" s="250" t="s">
        <v>438</v>
      </c>
    </row>
    <row r="258" spans="1:9">
      <c r="A258" s="246">
        <v>254</v>
      </c>
      <c r="B258" s="247" t="s">
        <v>201</v>
      </c>
      <c r="C258" s="302" t="str">
        <f>"828"</f>
        <v>828</v>
      </c>
      <c r="D258" s="247" t="s">
        <v>18</v>
      </c>
      <c r="E258" s="248">
        <v>235</v>
      </c>
      <c r="F258" s="249">
        <v>41064</v>
      </c>
      <c r="G258" s="249">
        <v>42889</v>
      </c>
      <c r="H258" s="247" t="s">
        <v>59</v>
      </c>
      <c r="I258" s="250" t="s">
        <v>438</v>
      </c>
    </row>
    <row r="259" spans="1:9">
      <c r="A259" s="246">
        <v>255</v>
      </c>
      <c r="B259" s="247" t="s">
        <v>201</v>
      </c>
      <c r="C259" s="302" t="str">
        <f>"829"</f>
        <v>829</v>
      </c>
      <c r="D259" s="247" t="s">
        <v>18</v>
      </c>
      <c r="E259" s="248">
        <v>71</v>
      </c>
      <c r="F259" s="249">
        <v>41064</v>
      </c>
      <c r="G259" s="249">
        <v>42889</v>
      </c>
      <c r="H259" s="247" t="s">
        <v>59</v>
      </c>
      <c r="I259" s="250" t="s">
        <v>438</v>
      </c>
    </row>
    <row r="260" spans="1:9">
      <c r="A260" s="246">
        <v>256</v>
      </c>
      <c r="B260" s="247" t="s">
        <v>3372</v>
      </c>
      <c r="C260" s="302" t="str">
        <f>"834"</f>
        <v>834</v>
      </c>
      <c r="D260" s="247" t="s">
        <v>18</v>
      </c>
      <c r="E260" s="248">
        <v>117</v>
      </c>
      <c r="F260" s="249">
        <v>41580</v>
      </c>
      <c r="G260" s="249">
        <v>43405</v>
      </c>
      <c r="H260" s="247" t="s">
        <v>14</v>
      </c>
      <c r="I260" s="250" t="s">
        <v>448</v>
      </c>
    </row>
    <row r="261" spans="1:9">
      <c r="A261" s="246">
        <v>257</v>
      </c>
      <c r="B261" s="247" t="s">
        <v>3372</v>
      </c>
      <c r="C261" s="302" t="str">
        <f>"845"</f>
        <v>845</v>
      </c>
      <c r="D261" s="247" t="s">
        <v>18</v>
      </c>
      <c r="E261" s="248">
        <v>115</v>
      </c>
      <c r="F261" s="249">
        <v>41580</v>
      </c>
      <c r="G261" s="249">
        <v>43405</v>
      </c>
      <c r="H261" s="247" t="s">
        <v>14</v>
      </c>
      <c r="I261" s="250" t="s">
        <v>448</v>
      </c>
    </row>
    <row r="262" spans="1:9">
      <c r="A262" s="246">
        <v>258</v>
      </c>
      <c r="B262" s="247" t="s">
        <v>3372</v>
      </c>
      <c r="C262" s="302" t="str">
        <f>"846"</f>
        <v>846</v>
      </c>
      <c r="D262" s="247" t="s">
        <v>18</v>
      </c>
      <c r="E262" s="248">
        <v>113</v>
      </c>
      <c r="F262" s="249">
        <v>41580</v>
      </c>
      <c r="G262" s="249">
        <v>43405</v>
      </c>
      <c r="H262" s="247" t="s">
        <v>14</v>
      </c>
      <c r="I262" s="250" t="s">
        <v>448</v>
      </c>
    </row>
    <row r="263" spans="1:9">
      <c r="A263" s="246">
        <v>259</v>
      </c>
      <c r="B263" s="247" t="s">
        <v>3372</v>
      </c>
      <c r="C263" s="302" t="str">
        <f>"847"</f>
        <v>847</v>
      </c>
      <c r="D263" s="247" t="s">
        <v>18</v>
      </c>
      <c r="E263" s="248">
        <v>117</v>
      </c>
      <c r="F263" s="249">
        <v>41580</v>
      </c>
      <c r="G263" s="249">
        <v>43405</v>
      </c>
      <c r="H263" s="247" t="s">
        <v>14</v>
      </c>
      <c r="I263" s="250" t="s">
        <v>448</v>
      </c>
    </row>
    <row r="264" spans="1:9">
      <c r="A264" s="246">
        <v>260</v>
      </c>
      <c r="B264" s="247" t="s">
        <v>3372</v>
      </c>
      <c r="C264" s="302" t="str">
        <f>"848"</f>
        <v>848</v>
      </c>
      <c r="D264" s="247" t="s">
        <v>18</v>
      </c>
      <c r="E264" s="248">
        <v>110</v>
      </c>
      <c r="F264" s="249">
        <v>41580</v>
      </c>
      <c r="G264" s="249">
        <v>43405</v>
      </c>
      <c r="H264" s="247" t="s">
        <v>14</v>
      </c>
      <c r="I264" s="250" t="s">
        <v>448</v>
      </c>
    </row>
    <row r="265" spans="1:9">
      <c r="A265" s="246">
        <v>261</v>
      </c>
      <c r="B265" s="247" t="s">
        <v>3372</v>
      </c>
      <c r="C265" s="302" t="str">
        <f>"849"</f>
        <v>849</v>
      </c>
      <c r="D265" s="247" t="s">
        <v>18</v>
      </c>
      <c r="E265" s="248">
        <v>114</v>
      </c>
      <c r="F265" s="249">
        <v>41580</v>
      </c>
      <c r="G265" s="249">
        <v>43405</v>
      </c>
      <c r="H265" s="247" t="s">
        <v>14</v>
      </c>
      <c r="I265" s="250" t="s">
        <v>448</v>
      </c>
    </row>
    <row r="266" spans="1:9">
      <c r="A266" s="246">
        <v>262</v>
      </c>
      <c r="B266" s="247" t="s">
        <v>3372</v>
      </c>
      <c r="C266" s="302" t="str">
        <f>"850"</f>
        <v>850</v>
      </c>
      <c r="D266" s="247" t="s">
        <v>18</v>
      </c>
      <c r="E266" s="248">
        <v>86</v>
      </c>
      <c r="F266" s="249">
        <v>41580</v>
      </c>
      <c r="G266" s="249">
        <v>43405</v>
      </c>
      <c r="H266" s="247" t="s">
        <v>14</v>
      </c>
      <c r="I266" s="250" t="s">
        <v>448</v>
      </c>
    </row>
    <row r="267" spans="1:9">
      <c r="A267" s="246">
        <v>263</v>
      </c>
      <c r="B267" s="247" t="s">
        <v>3372</v>
      </c>
      <c r="C267" s="302" t="str">
        <f>"851"</f>
        <v>851</v>
      </c>
      <c r="D267" s="247" t="s">
        <v>18</v>
      </c>
      <c r="E267" s="248">
        <v>71</v>
      </c>
      <c r="F267" s="249">
        <v>41580</v>
      </c>
      <c r="G267" s="249">
        <v>43405</v>
      </c>
      <c r="H267" s="247" t="s">
        <v>14</v>
      </c>
      <c r="I267" s="250" t="s">
        <v>448</v>
      </c>
    </row>
    <row r="268" spans="1:9">
      <c r="A268" s="246">
        <v>264</v>
      </c>
      <c r="B268" s="247" t="s">
        <v>3373</v>
      </c>
      <c r="C268" s="302" t="str">
        <f>"852"</f>
        <v>852</v>
      </c>
      <c r="D268" s="247" t="s">
        <v>18</v>
      </c>
      <c r="E268" s="248">
        <v>12</v>
      </c>
      <c r="F268" s="249">
        <v>37987</v>
      </c>
      <c r="G268" s="249">
        <v>39447</v>
      </c>
      <c r="H268" s="247" t="s">
        <v>26</v>
      </c>
      <c r="I268" s="250" t="s">
        <v>437</v>
      </c>
    </row>
    <row r="269" spans="1:9">
      <c r="A269" s="246">
        <v>265</v>
      </c>
      <c r="B269" s="247" t="s">
        <v>3374</v>
      </c>
      <c r="C269" s="302" t="str">
        <f>"865"</f>
        <v>865</v>
      </c>
      <c r="D269" s="247" t="s">
        <v>18</v>
      </c>
      <c r="E269" s="248">
        <v>238</v>
      </c>
      <c r="F269" s="249">
        <v>39735</v>
      </c>
      <c r="G269" s="249">
        <v>45373</v>
      </c>
      <c r="H269" s="247" t="s">
        <v>22</v>
      </c>
      <c r="I269" s="250" t="s">
        <v>3351</v>
      </c>
    </row>
    <row r="270" spans="1:9">
      <c r="A270" s="246">
        <v>266</v>
      </c>
      <c r="B270" s="247" t="s">
        <v>3375</v>
      </c>
      <c r="C270" s="302" t="str">
        <f>"866"</f>
        <v>866</v>
      </c>
      <c r="D270" s="247" t="s">
        <v>18</v>
      </c>
      <c r="E270" s="248">
        <v>336</v>
      </c>
      <c r="F270" s="249">
        <v>39735</v>
      </c>
      <c r="G270" s="249">
        <v>45012</v>
      </c>
      <c r="H270" s="247" t="s">
        <v>3350</v>
      </c>
      <c r="I270" s="250" t="s">
        <v>3351</v>
      </c>
    </row>
    <row r="271" spans="1:9">
      <c r="A271" s="246">
        <v>267</v>
      </c>
      <c r="B271" s="247" t="s">
        <v>3376</v>
      </c>
      <c r="C271" s="302" t="str">
        <f>"929"</f>
        <v>929</v>
      </c>
      <c r="D271" s="247" t="s">
        <v>18</v>
      </c>
      <c r="E271" s="248">
        <v>415</v>
      </c>
      <c r="F271" s="249">
        <v>39380</v>
      </c>
      <c r="G271" s="249">
        <v>42301</v>
      </c>
      <c r="H271" s="247" t="s">
        <v>94</v>
      </c>
      <c r="I271" s="250" t="s">
        <v>438</v>
      </c>
    </row>
    <row r="272" spans="1:9">
      <c r="A272" s="246">
        <v>268</v>
      </c>
      <c r="B272" s="247" t="s">
        <v>3377</v>
      </c>
      <c r="C272" s="302" t="str">
        <f>"992"</f>
        <v>992</v>
      </c>
      <c r="D272" s="247" t="s">
        <v>30</v>
      </c>
      <c r="E272" s="248">
        <v>36</v>
      </c>
      <c r="F272" s="249">
        <v>40189</v>
      </c>
      <c r="G272" s="249">
        <v>42014</v>
      </c>
      <c r="H272" s="247" t="s">
        <v>26</v>
      </c>
      <c r="I272" s="250" t="s">
        <v>433</v>
      </c>
    </row>
    <row r="273" spans="1:9">
      <c r="A273" s="246">
        <v>269</v>
      </c>
      <c r="B273" s="247" t="s">
        <v>43</v>
      </c>
      <c r="C273" s="302" t="str">
        <f>"1050"</f>
        <v>1050</v>
      </c>
      <c r="D273" s="247" t="s">
        <v>13</v>
      </c>
      <c r="E273" s="248">
        <v>75</v>
      </c>
      <c r="F273" s="249">
        <v>40372</v>
      </c>
      <c r="G273" s="249">
        <v>51329</v>
      </c>
      <c r="H273" s="247" t="s">
        <v>14</v>
      </c>
      <c r="I273" s="250" t="s">
        <v>79</v>
      </c>
    </row>
    <row r="274" spans="1:9">
      <c r="A274" s="246">
        <v>270</v>
      </c>
      <c r="B274" s="247" t="s">
        <v>43</v>
      </c>
      <c r="C274" s="302" t="str">
        <f>"1052"</f>
        <v>1052</v>
      </c>
      <c r="D274" s="247" t="s">
        <v>13</v>
      </c>
      <c r="E274" s="248">
        <v>330</v>
      </c>
      <c r="F274" s="249">
        <v>40368</v>
      </c>
      <c r="G274" s="249">
        <v>51325</v>
      </c>
      <c r="H274" s="247" t="s">
        <v>14</v>
      </c>
      <c r="I274" s="250" t="s">
        <v>79</v>
      </c>
    </row>
    <row r="275" spans="1:9">
      <c r="A275" s="246">
        <v>271</v>
      </c>
      <c r="B275" s="247" t="s">
        <v>43</v>
      </c>
      <c r="C275" s="302" t="str">
        <f>"1054"</f>
        <v>1054</v>
      </c>
      <c r="D275" s="247" t="s">
        <v>13</v>
      </c>
      <c r="E275" s="248">
        <v>132</v>
      </c>
      <c r="F275" s="249">
        <v>42999</v>
      </c>
      <c r="G275" s="249">
        <v>53955</v>
      </c>
      <c r="H275" s="247" t="s">
        <v>14</v>
      </c>
      <c r="I275" s="250" t="s">
        <v>79</v>
      </c>
    </row>
    <row r="276" spans="1:9">
      <c r="A276" s="246">
        <v>272</v>
      </c>
      <c r="B276" s="247" t="s">
        <v>43</v>
      </c>
      <c r="C276" s="302" t="str">
        <f>"1059"</f>
        <v>1059</v>
      </c>
      <c r="D276" s="247" t="s">
        <v>13</v>
      </c>
      <c r="E276" s="248">
        <v>307</v>
      </c>
      <c r="F276" s="249">
        <v>41552</v>
      </c>
      <c r="G276" s="249">
        <v>52508</v>
      </c>
      <c r="H276" s="247" t="s">
        <v>14</v>
      </c>
      <c r="I276" s="250" t="s">
        <v>79</v>
      </c>
    </row>
    <row r="277" spans="1:9">
      <c r="A277" s="246">
        <v>273</v>
      </c>
      <c r="B277" s="247" t="s">
        <v>43</v>
      </c>
      <c r="C277" s="302" t="str">
        <f>"1060"</f>
        <v>1060</v>
      </c>
      <c r="D277" s="247" t="s">
        <v>13</v>
      </c>
      <c r="E277" s="248">
        <v>141</v>
      </c>
      <c r="F277" s="249">
        <v>40368</v>
      </c>
      <c r="G277" s="249">
        <v>51325</v>
      </c>
      <c r="H277" s="247" t="s">
        <v>14</v>
      </c>
      <c r="I277" s="250" t="s">
        <v>79</v>
      </c>
    </row>
    <row r="278" spans="1:9">
      <c r="A278" s="246">
        <v>274</v>
      </c>
      <c r="B278" s="247" t="s">
        <v>43</v>
      </c>
      <c r="C278" s="302" t="str">
        <f>"1063"</f>
        <v>1063</v>
      </c>
      <c r="D278" s="247" t="s">
        <v>13</v>
      </c>
      <c r="E278" s="248">
        <v>251</v>
      </c>
      <c r="F278" s="249">
        <v>41552</v>
      </c>
      <c r="G278" s="249">
        <v>52508</v>
      </c>
      <c r="H278" s="247" t="s">
        <v>14</v>
      </c>
      <c r="I278" s="250" t="s">
        <v>79</v>
      </c>
    </row>
    <row r="279" spans="1:9">
      <c r="A279" s="246">
        <v>275</v>
      </c>
      <c r="B279" s="247" t="s">
        <v>43</v>
      </c>
      <c r="C279" s="302" t="str">
        <f>"1065"</f>
        <v>1065</v>
      </c>
      <c r="D279" s="247" t="s">
        <v>13</v>
      </c>
      <c r="E279" s="248">
        <v>10</v>
      </c>
      <c r="F279" s="249">
        <v>40372</v>
      </c>
      <c r="G279" s="249">
        <v>51329</v>
      </c>
      <c r="H279" s="247" t="s">
        <v>14</v>
      </c>
      <c r="I279" s="250" t="s">
        <v>79</v>
      </c>
    </row>
    <row r="280" spans="1:9">
      <c r="A280" s="246">
        <v>276</v>
      </c>
      <c r="B280" s="247" t="s">
        <v>43</v>
      </c>
      <c r="C280" s="302" t="str">
        <f>"1066"</f>
        <v>1066</v>
      </c>
      <c r="D280" s="247" t="s">
        <v>13</v>
      </c>
      <c r="E280" s="248">
        <v>94</v>
      </c>
      <c r="F280" s="249">
        <v>42999</v>
      </c>
      <c r="G280" s="249">
        <v>53955</v>
      </c>
      <c r="H280" s="247" t="s">
        <v>14</v>
      </c>
      <c r="I280" s="250" t="s">
        <v>79</v>
      </c>
    </row>
    <row r="281" spans="1:9">
      <c r="A281" s="246">
        <v>277</v>
      </c>
      <c r="B281" s="247" t="s">
        <v>43</v>
      </c>
      <c r="C281" s="302" t="str">
        <f>"1072"</f>
        <v>1072</v>
      </c>
      <c r="D281" s="247" t="s">
        <v>13</v>
      </c>
      <c r="E281" s="248">
        <v>69</v>
      </c>
      <c r="F281" s="249">
        <v>40368</v>
      </c>
      <c r="G281" s="249">
        <v>51325</v>
      </c>
      <c r="H281" s="247" t="s">
        <v>14</v>
      </c>
      <c r="I281" s="250" t="s">
        <v>79</v>
      </c>
    </row>
    <row r="282" spans="1:9">
      <c r="A282" s="246">
        <v>278</v>
      </c>
      <c r="B282" s="247" t="s">
        <v>43</v>
      </c>
      <c r="C282" s="302" t="str">
        <f>"1074"</f>
        <v>1074</v>
      </c>
      <c r="D282" s="247" t="s">
        <v>13</v>
      </c>
      <c r="E282" s="248">
        <v>389</v>
      </c>
      <c r="F282" s="249">
        <v>40372</v>
      </c>
      <c r="G282" s="249">
        <v>51329</v>
      </c>
      <c r="H282" s="247" t="s">
        <v>16</v>
      </c>
      <c r="I282" s="250" t="s">
        <v>79</v>
      </c>
    </row>
    <row r="283" spans="1:9">
      <c r="A283" s="246">
        <v>279</v>
      </c>
      <c r="B283" s="247" t="s">
        <v>43</v>
      </c>
      <c r="C283" s="302" t="str">
        <f>"1075"</f>
        <v>1075</v>
      </c>
      <c r="D283" s="247" t="s">
        <v>13</v>
      </c>
      <c r="E283" s="248">
        <v>371</v>
      </c>
      <c r="F283" s="249">
        <v>40520</v>
      </c>
      <c r="G283" s="249">
        <v>51477</v>
      </c>
      <c r="H283" s="247" t="s">
        <v>16</v>
      </c>
      <c r="I283" s="250" t="s">
        <v>79</v>
      </c>
    </row>
    <row r="284" spans="1:9">
      <c r="A284" s="246">
        <v>280</v>
      </c>
      <c r="B284" s="247" t="s">
        <v>43</v>
      </c>
      <c r="C284" s="302" t="str">
        <f>"1076"</f>
        <v>1076</v>
      </c>
      <c r="D284" s="247" t="s">
        <v>13</v>
      </c>
      <c r="E284" s="248">
        <v>339</v>
      </c>
      <c r="F284" s="249">
        <v>40372</v>
      </c>
      <c r="G284" s="249">
        <v>51329</v>
      </c>
      <c r="H284" s="247" t="s">
        <v>16</v>
      </c>
      <c r="I284" s="250" t="s">
        <v>79</v>
      </c>
    </row>
    <row r="285" spans="1:9">
      <c r="A285" s="246">
        <v>281</v>
      </c>
      <c r="B285" s="247" t="s">
        <v>43</v>
      </c>
      <c r="C285" s="302" t="str">
        <f>"1077"</f>
        <v>1077</v>
      </c>
      <c r="D285" s="247" t="s">
        <v>13</v>
      </c>
      <c r="E285" s="248">
        <v>4</v>
      </c>
      <c r="F285" s="249">
        <v>40368</v>
      </c>
      <c r="G285" s="249">
        <v>51325</v>
      </c>
      <c r="H285" s="247" t="s">
        <v>14</v>
      </c>
      <c r="I285" s="250" t="s">
        <v>3378</v>
      </c>
    </row>
    <row r="286" spans="1:9">
      <c r="A286" s="246">
        <v>282</v>
      </c>
      <c r="B286" s="247" t="s">
        <v>43</v>
      </c>
      <c r="C286" s="302" t="str">
        <f>"1078"</f>
        <v>1078</v>
      </c>
      <c r="D286" s="247" t="s">
        <v>13</v>
      </c>
      <c r="E286" s="248">
        <v>370</v>
      </c>
      <c r="F286" s="249">
        <v>41552</v>
      </c>
      <c r="G286" s="249">
        <v>52508</v>
      </c>
      <c r="H286" s="247" t="s">
        <v>14</v>
      </c>
      <c r="I286" s="250" t="s">
        <v>79</v>
      </c>
    </row>
    <row r="287" spans="1:9">
      <c r="A287" s="246">
        <v>283</v>
      </c>
      <c r="B287" s="247" t="s">
        <v>43</v>
      </c>
      <c r="C287" s="302" t="str">
        <f>"1079"</f>
        <v>1079</v>
      </c>
      <c r="D287" s="247" t="s">
        <v>13</v>
      </c>
      <c r="E287" s="248">
        <v>374</v>
      </c>
      <c r="F287" s="249">
        <v>40368</v>
      </c>
      <c r="G287" s="249">
        <v>51325</v>
      </c>
      <c r="H287" s="247" t="s">
        <v>16</v>
      </c>
      <c r="I287" s="250" t="s">
        <v>79</v>
      </c>
    </row>
    <row r="288" spans="1:9">
      <c r="A288" s="246">
        <v>284</v>
      </c>
      <c r="B288" s="247" t="s">
        <v>43</v>
      </c>
      <c r="C288" s="302" t="str">
        <f>"1084"</f>
        <v>1084</v>
      </c>
      <c r="D288" s="247" t="s">
        <v>13</v>
      </c>
      <c r="E288" s="248">
        <v>284</v>
      </c>
      <c r="F288" s="249">
        <v>41891</v>
      </c>
      <c r="G288" s="249">
        <v>52848</v>
      </c>
      <c r="H288" s="247" t="s">
        <v>70</v>
      </c>
      <c r="I288" s="250" t="s">
        <v>79</v>
      </c>
    </row>
    <row r="289" spans="1:9">
      <c r="A289" s="246">
        <v>285</v>
      </c>
      <c r="B289" s="247" t="s">
        <v>43</v>
      </c>
      <c r="C289" s="302" t="str">
        <f>"1086"</f>
        <v>1086</v>
      </c>
      <c r="D289" s="247" t="s">
        <v>13</v>
      </c>
      <c r="E289" s="248">
        <v>332</v>
      </c>
      <c r="F289" s="249">
        <v>41891</v>
      </c>
      <c r="G289" s="249">
        <v>52848</v>
      </c>
      <c r="H289" s="247" t="s">
        <v>16</v>
      </c>
      <c r="I289" s="250" t="s">
        <v>79</v>
      </c>
    </row>
    <row r="290" spans="1:9">
      <c r="A290" s="246">
        <v>286</v>
      </c>
      <c r="B290" s="247" t="s">
        <v>43</v>
      </c>
      <c r="C290" s="302" t="str">
        <f>"1088"</f>
        <v>1088</v>
      </c>
      <c r="D290" s="247" t="s">
        <v>13</v>
      </c>
      <c r="E290" s="248">
        <v>381</v>
      </c>
      <c r="F290" s="249">
        <v>41891</v>
      </c>
      <c r="G290" s="249">
        <v>52848</v>
      </c>
      <c r="H290" s="247" t="s">
        <v>70</v>
      </c>
      <c r="I290" s="250" t="s">
        <v>79</v>
      </c>
    </row>
    <row r="291" spans="1:9">
      <c r="A291" s="246">
        <v>287</v>
      </c>
      <c r="B291" s="247" t="s">
        <v>43</v>
      </c>
      <c r="C291" s="302" t="str">
        <f>"1089"</f>
        <v>1089</v>
      </c>
      <c r="D291" s="247" t="s">
        <v>13</v>
      </c>
      <c r="E291" s="248">
        <v>20</v>
      </c>
      <c r="F291" s="249">
        <v>40393</v>
      </c>
      <c r="G291" s="249">
        <v>51350</v>
      </c>
      <c r="H291" s="247" t="s">
        <v>70</v>
      </c>
      <c r="I291" s="250" t="s">
        <v>79</v>
      </c>
    </row>
    <row r="292" spans="1:9">
      <c r="A292" s="246">
        <v>288</v>
      </c>
      <c r="B292" s="247" t="s">
        <v>43</v>
      </c>
      <c r="C292" s="302" t="str">
        <f>"1090"</f>
        <v>1090</v>
      </c>
      <c r="D292" s="247" t="s">
        <v>13</v>
      </c>
      <c r="E292" s="248">
        <v>12</v>
      </c>
      <c r="F292" s="249">
        <v>40368</v>
      </c>
      <c r="G292" s="249">
        <v>51325</v>
      </c>
      <c r="H292" s="247" t="s">
        <v>70</v>
      </c>
      <c r="I292" s="250" t="s">
        <v>79</v>
      </c>
    </row>
    <row r="293" spans="1:9">
      <c r="A293" s="246">
        <v>289</v>
      </c>
      <c r="B293" s="247" t="s">
        <v>3374</v>
      </c>
      <c r="C293" s="302" t="str">
        <f>"1141"</f>
        <v>1141</v>
      </c>
      <c r="D293" s="247" t="s">
        <v>18</v>
      </c>
      <c r="E293" s="248">
        <v>245</v>
      </c>
      <c r="F293" s="249">
        <v>39735</v>
      </c>
      <c r="G293" s="249">
        <v>45373</v>
      </c>
      <c r="H293" s="247" t="s">
        <v>22</v>
      </c>
      <c r="I293" s="250" t="s">
        <v>3351</v>
      </c>
    </row>
    <row r="294" spans="1:9">
      <c r="A294" s="246">
        <v>290</v>
      </c>
      <c r="B294" s="247" t="s">
        <v>3374</v>
      </c>
      <c r="C294" s="302" t="str">
        <f>"1142"</f>
        <v>1142</v>
      </c>
      <c r="D294" s="247" t="s">
        <v>18</v>
      </c>
      <c r="E294" s="248">
        <v>231</v>
      </c>
      <c r="F294" s="249">
        <v>37908</v>
      </c>
      <c r="G294" s="249">
        <v>45373</v>
      </c>
      <c r="H294" s="247" t="s">
        <v>3350</v>
      </c>
      <c r="I294" s="250" t="s">
        <v>3351</v>
      </c>
    </row>
    <row r="295" spans="1:9">
      <c r="A295" s="246">
        <v>291</v>
      </c>
      <c r="B295" s="247" t="s">
        <v>3374</v>
      </c>
      <c r="C295" s="302" t="str">
        <f>"1143"</f>
        <v>1143</v>
      </c>
      <c r="D295" s="247" t="s">
        <v>18</v>
      </c>
      <c r="E295" s="248">
        <v>231</v>
      </c>
      <c r="F295" s="249">
        <v>39735</v>
      </c>
      <c r="G295" s="249">
        <v>45373</v>
      </c>
      <c r="H295" s="247" t="s">
        <v>3350</v>
      </c>
      <c r="I295" s="250" t="s">
        <v>3351</v>
      </c>
    </row>
    <row r="296" spans="1:9">
      <c r="A296" s="246">
        <v>292</v>
      </c>
      <c r="B296" s="247" t="s">
        <v>3374</v>
      </c>
      <c r="C296" s="302" t="str">
        <f>"1144"</f>
        <v>1144</v>
      </c>
      <c r="D296" s="247" t="s">
        <v>18</v>
      </c>
      <c r="E296" s="248">
        <v>296</v>
      </c>
      <c r="F296" s="249">
        <v>39735</v>
      </c>
      <c r="G296" s="249">
        <v>45373</v>
      </c>
      <c r="H296" s="247" t="s">
        <v>3350</v>
      </c>
      <c r="I296" s="250" t="s">
        <v>3351</v>
      </c>
    </row>
    <row r="297" spans="1:9">
      <c r="A297" s="246">
        <v>293</v>
      </c>
      <c r="B297" s="247" t="s">
        <v>3374</v>
      </c>
      <c r="C297" s="302" t="str">
        <f>"1145"</f>
        <v>1145</v>
      </c>
      <c r="D297" s="247" t="s">
        <v>18</v>
      </c>
      <c r="E297" s="248">
        <v>263</v>
      </c>
      <c r="F297" s="249">
        <v>39735</v>
      </c>
      <c r="G297" s="249">
        <v>45007</v>
      </c>
      <c r="H297" s="247" t="s">
        <v>3350</v>
      </c>
      <c r="I297" s="250" t="s">
        <v>3351</v>
      </c>
    </row>
    <row r="298" spans="1:9">
      <c r="A298" s="246">
        <v>294</v>
      </c>
      <c r="B298" s="247" t="s">
        <v>3374</v>
      </c>
      <c r="C298" s="302" t="str">
        <f>"1146"</f>
        <v>1146</v>
      </c>
      <c r="D298" s="247" t="s">
        <v>18</v>
      </c>
      <c r="E298" s="248">
        <v>262</v>
      </c>
      <c r="F298" s="249">
        <v>37908</v>
      </c>
      <c r="G298" s="249">
        <v>45373</v>
      </c>
      <c r="H298" s="247" t="s">
        <v>3350</v>
      </c>
      <c r="I298" s="250" t="s">
        <v>3351</v>
      </c>
    </row>
    <row r="299" spans="1:9">
      <c r="A299" s="246">
        <v>295</v>
      </c>
      <c r="B299" s="247" t="s">
        <v>3374</v>
      </c>
      <c r="C299" s="302" t="str">
        <f>"1147"</f>
        <v>1147</v>
      </c>
      <c r="D299" s="247" t="s">
        <v>18</v>
      </c>
      <c r="E299" s="248">
        <v>239</v>
      </c>
      <c r="F299" s="249">
        <v>39735</v>
      </c>
      <c r="G299" s="249">
        <v>45007</v>
      </c>
      <c r="H299" s="247" t="s">
        <v>3350</v>
      </c>
      <c r="I299" s="250" t="s">
        <v>3351</v>
      </c>
    </row>
    <row r="300" spans="1:9">
      <c r="A300" s="246">
        <v>296</v>
      </c>
      <c r="B300" s="247" t="s">
        <v>3374</v>
      </c>
      <c r="C300" s="302" t="str">
        <f>"1148"</f>
        <v>1148</v>
      </c>
      <c r="D300" s="247" t="s">
        <v>18</v>
      </c>
      <c r="E300" s="248">
        <v>205</v>
      </c>
      <c r="F300" s="249">
        <v>37908</v>
      </c>
      <c r="G300" s="249">
        <v>45007</v>
      </c>
      <c r="H300" s="247" t="s">
        <v>3350</v>
      </c>
      <c r="I300" s="250" t="s">
        <v>3351</v>
      </c>
    </row>
    <row r="301" spans="1:9">
      <c r="A301" s="246">
        <v>297</v>
      </c>
      <c r="B301" s="247" t="s">
        <v>3374</v>
      </c>
      <c r="C301" s="302" t="str">
        <f>"1149"</f>
        <v>1149</v>
      </c>
      <c r="D301" s="247" t="s">
        <v>18</v>
      </c>
      <c r="E301" s="248">
        <v>182</v>
      </c>
      <c r="F301" s="249">
        <v>37908</v>
      </c>
      <c r="G301" s="249">
        <v>45007</v>
      </c>
      <c r="H301" s="247" t="s">
        <v>3350</v>
      </c>
      <c r="I301" s="250" t="s">
        <v>3351</v>
      </c>
    </row>
    <row r="302" spans="1:9">
      <c r="A302" s="246">
        <v>298</v>
      </c>
      <c r="B302" s="247" t="s">
        <v>3374</v>
      </c>
      <c r="C302" s="302" t="str">
        <f>"1150"</f>
        <v>1150</v>
      </c>
      <c r="D302" s="247" t="s">
        <v>18</v>
      </c>
      <c r="E302" s="248">
        <v>198</v>
      </c>
      <c r="F302" s="249">
        <v>37908</v>
      </c>
      <c r="G302" s="249">
        <v>45007</v>
      </c>
      <c r="H302" s="247" t="s">
        <v>3350</v>
      </c>
      <c r="I302" s="250" t="s">
        <v>3351</v>
      </c>
    </row>
    <row r="303" spans="1:9">
      <c r="A303" s="246">
        <v>299</v>
      </c>
      <c r="B303" s="247" t="s">
        <v>3374</v>
      </c>
      <c r="C303" s="302" t="str">
        <f>"1151"</f>
        <v>1151</v>
      </c>
      <c r="D303" s="247" t="s">
        <v>18</v>
      </c>
      <c r="E303" s="248">
        <v>201</v>
      </c>
      <c r="F303" s="249">
        <v>37908</v>
      </c>
      <c r="G303" s="249">
        <v>45007</v>
      </c>
      <c r="H303" s="247" t="s">
        <v>3350</v>
      </c>
      <c r="I303" s="250" t="s">
        <v>3351</v>
      </c>
    </row>
    <row r="304" spans="1:9">
      <c r="A304" s="246">
        <v>300</v>
      </c>
      <c r="B304" s="247" t="s">
        <v>3374</v>
      </c>
      <c r="C304" s="302" t="str">
        <f>"1152"</f>
        <v>1152</v>
      </c>
      <c r="D304" s="247" t="s">
        <v>18</v>
      </c>
      <c r="E304" s="248">
        <v>197</v>
      </c>
      <c r="F304" s="249">
        <v>37908</v>
      </c>
      <c r="G304" s="249">
        <v>45007</v>
      </c>
      <c r="H304" s="247" t="s">
        <v>3350</v>
      </c>
      <c r="I304" s="250" t="s">
        <v>3351</v>
      </c>
    </row>
    <row r="305" spans="1:9">
      <c r="A305" s="246">
        <v>301</v>
      </c>
      <c r="B305" s="247" t="s">
        <v>3374</v>
      </c>
      <c r="C305" s="302" t="str">
        <f>"1153"</f>
        <v>1153</v>
      </c>
      <c r="D305" s="247" t="s">
        <v>18</v>
      </c>
      <c r="E305" s="248">
        <v>183</v>
      </c>
      <c r="F305" s="249">
        <v>37908</v>
      </c>
      <c r="G305" s="249">
        <v>45007</v>
      </c>
      <c r="H305" s="247" t="s">
        <v>3350</v>
      </c>
      <c r="I305" s="250" t="s">
        <v>3351</v>
      </c>
    </row>
    <row r="306" spans="1:9">
      <c r="A306" s="246">
        <v>302</v>
      </c>
      <c r="B306" s="247" t="s">
        <v>3374</v>
      </c>
      <c r="C306" s="302" t="str">
        <f>"1154"</f>
        <v>1154</v>
      </c>
      <c r="D306" s="247" t="s">
        <v>18</v>
      </c>
      <c r="E306" s="248">
        <v>147</v>
      </c>
      <c r="F306" s="249">
        <v>37908</v>
      </c>
      <c r="G306" s="249">
        <v>45007</v>
      </c>
      <c r="H306" s="247" t="s">
        <v>3350</v>
      </c>
      <c r="I306" s="250" t="s">
        <v>3351</v>
      </c>
    </row>
    <row r="307" spans="1:9">
      <c r="A307" s="246">
        <v>303</v>
      </c>
      <c r="B307" s="247" t="s">
        <v>3374</v>
      </c>
      <c r="C307" s="302" t="str">
        <f>"1155"</f>
        <v>1155</v>
      </c>
      <c r="D307" s="247" t="s">
        <v>18</v>
      </c>
      <c r="E307" s="248">
        <v>98</v>
      </c>
      <c r="F307" s="249">
        <v>37908</v>
      </c>
      <c r="G307" s="249">
        <v>45007</v>
      </c>
      <c r="H307" s="247" t="s">
        <v>3350</v>
      </c>
      <c r="I307" s="250" t="s">
        <v>3351</v>
      </c>
    </row>
    <row r="308" spans="1:9">
      <c r="A308" s="246">
        <v>304</v>
      </c>
      <c r="B308" s="247" t="s">
        <v>3374</v>
      </c>
      <c r="C308" s="302" t="str">
        <f>"1156"</f>
        <v>1156</v>
      </c>
      <c r="D308" s="247" t="s">
        <v>18</v>
      </c>
      <c r="E308" s="248">
        <v>326</v>
      </c>
      <c r="F308" s="249">
        <v>37908</v>
      </c>
      <c r="G308" s="249">
        <v>45007</v>
      </c>
      <c r="H308" s="247" t="s">
        <v>3350</v>
      </c>
      <c r="I308" s="250" t="s">
        <v>3351</v>
      </c>
    </row>
    <row r="309" spans="1:9">
      <c r="A309" s="246">
        <v>305</v>
      </c>
      <c r="B309" s="247" t="s">
        <v>3374</v>
      </c>
      <c r="C309" s="302" t="str">
        <f>"1158"</f>
        <v>1158</v>
      </c>
      <c r="D309" s="247" t="s">
        <v>18</v>
      </c>
      <c r="E309" s="248">
        <v>51</v>
      </c>
      <c r="F309" s="249">
        <v>37908</v>
      </c>
      <c r="G309" s="249">
        <v>45007</v>
      </c>
      <c r="H309" s="247" t="s">
        <v>3350</v>
      </c>
      <c r="I309" s="250" t="s">
        <v>3351</v>
      </c>
    </row>
    <row r="310" spans="1:9">
      <c r="A310" s="246">
        <v>306</v>
      </c>
      <c r="B310" s="247" t="s">
        <v>3374</v>
      </c>
      <c r="C310" s="302" t="str">
        <f>"1159"</f>
        <v>1159</v>
      </c>
      <c r="D310" s="247" t="s">
        <v>18</v>
      </c>
      <c r="E310" s="248">
        <v>137</v>
      </c>
      <c r="F310" s="249">
        <v>37908</v>
      </c>
      <c r="G310" s="249">
        <v>45007</v>
      </c>
      <c r="H310" s="247" t="s">
        <v>3350</v>
      </c>
      <c r="I310" s="250" t="s">
        <v>3351</v>
      </c>
    </row>
    <row r="311" spans="1:9">
      <c r="A311" s="246">
        <v>307</v>
      </c>
      <c r="B311" s="247" t="s">
        <v>3374</v>
      </c>
      <c r="C311" s="302" t="str">
        <f>"1160"</f>
        <v>1160</v>
      </c>
      <c r="D311" s="247" t="s">
        <v>18</v>
      </c>
      <c r="E311" s="248">
        <v>231</v>
      </c>
      <c r="F311" s="249">
        <v>39735</v>
      </c>
      <c r="G311" s="249">
        <v>45007</v>
      </c>
      <c r="H311" s="247" t="s">
        <v>3350</v>
      </c>
      <c r="I311" s="250" t="s">
        <v>3351</v>
      </c>
    </row>
    <row r="312" spans="1:9">
      <c r="A312" s="246">
        <v>308</v>
      </c>
      <c r="B312" s="247" t="s">
        <v>3374</v>
      </c>
      <c r="C312" s="302" t="str">
        <f>"1161"</f>
        <v>1161</v>
      </c>
      <c r="D312" s="247" t="s">
        <v>18</v>
      </c>
      <c r="E312" s="248">
        <v>231</v>
      </c>
      <c r="F312" s="249">
        <v>37908</v>
      </c>
      <c r="G312" s="249">
        <v>45007</v>
      </c>
      <c r="H312" s="247" t="s">
        <v>3350</v>
      </c>
      <c r="I312" s="250" t="s">
        <v>3351</v>
      </c>
    </row>
    <row r="313" spans="1:9">
      <c r="A313" s="246">
        <v>309</v>
      </c>
      <c r="B313" s="247" t="s">
        <v>3374</v>
      </c>
      <c r="C313" s="302" t="str">
        <f>"1162"</f>
        <v>1162</v>
      </c>
      <c r="D313" s="247" t="s">
        <v>18</v>
      </c>
      <c r="E313" s="248">
        <v>231</v>
      </c>
      <c r="F313" s="249">
        <v>37908</v>
      </c>
      <c r="G313" s="249">
        <v>45007</v>
      </c>
      <c r="H313" s="247" t="s">
        <v>3350</v>
      </c>
      <c r="I313" s="250" t="s">
        <v>3351</v>
      </c>
    </row>
    <row r="314" spans="1:9">
      <c r="A314" s="246">
        <v>310</v>
      </c>
      <c r="B314" s="247" t="s">
        <v>3374</v>
      </c>
      <c r="C314" s="302" t="str">
        <f>"1163"</f>
        <v>1163</v>
      </c>
      <c r="D314" s="247" t="s">
        <v>18</v>
      </c>
      <c r="E314" s="248">
        <v>192</v>
      </c>
      <c r="F314" s="249">
        <v>37908</v>
      </c>
      <c r="G314" s="249">
        <v>45007</v>
      </c>
      <c r="H314" s="247" t="s">
        <v>3350</v>
      </c>
      <c r="I314" s="250" t="s">
        <v>3351</v>
      </c>
    </row>
    <row r="315" spans="1:9">
      <c r="A315" s="246">
        <v>311</v>
      </c>
      <c r="B315" s="247" t="s">
        <v>3374</v>
      </c>
      <c r="C315" s="302" t="str">
        <f>"1164"</f>
        <v>1164</v>
      </c>
      <c r="D315" s="247" t="s">
        <v>18</v>
      </c>
      <c r="E315" s="248">
        <v>204</v>
      </c>
      <c r="F315" s="249">
        <v>37908</v>
      </c>
      <c r="G315" s="249">
        <v>45007</v>
      </c>
      <c r="H315" s="247" t="s">
        <v>3350</v>
      </c>
      <c r="I315" s="250" t="s">
        <v>3351</v>
      </c>
    </row>
    <row r="316" spans="1:9">
      <c r="A316" s="246">
        <v>312</v>
      </c>
      <c r="B316" s="247" t="s">
        <v>3374</v>
      </c>
      <c r="C316" s="302" t="str">
        <f>"1165"</f>
        <v>1165</v>
      </c>
      <c r="D316" s="247" t="s">
        <v>18</v>
      </c>
      <c r="E316" s="248">
        <v>228</v>
      </c>
      <c r="F316" s="249">
        <v>37908</v>
      </c>
      <c r="G316" s="249">
        <v>45007</v>
      </c>
      <c r="H316" s="247" t="s">
        <v>3350</v>
      </c>
      <c r="I316" s="250" t="s">
        <v>3351</v>
      </c>
    </row>
    <row r="317" spans="1:9">
      <c r="A317" s="246">
        <v>313</v>
      </c>
      <c r="B317" s="247" t="s">
        <v>3374</v>
      </c>
      <c r="C317" s="302" t="str">
        <f>"1166"</f>
        <v>1166</v>
      </c>
      <c r="D317" s="247" t="s">
        <v>18</v>
      </c>
      <c r="E317" s="248">
        <v>228</v>
      </c>
      <c r="F317" s="249">
        <v>37908</v>
      </c>
      <c r="G317" s="249">
        <v>45007</v>
      </c>
      <c r="H317" s="247" t="s">
        <v>3350</v>
      </c>
      <c r="I317" s="250" t="s">
        <v>3351</v>
      </c>
    </row>
    <row r="318" spans="1:9">
      <c r="A318" s="246">
        <v>314</v>
      </c>
      <c r="B318" s="247" t="s">
        <v>3374</v>
      </c>
      <c r="C318" s="302" t="str">
        <f>"1167"</f>
        <v>1167</v>
      </c>
      <c r="D318" s="247" t="s">
        <v>18</v>
      </c>
      <c r="E318" s="248">
        <v>156</v>
      </c>
      <c r="F318" s="249">
        <v>37908</v>
      </c>
      <c r="G318" s="249">
        <v>45007</v>
      </c>
      <c r="H318" s="247" t="s">
        <v>3350</v>
      </c>
      <c r="I318" s="250" t="s">
        <v>3351</v>
      </c>
    </row>
    <row r="319" spans="1:9">
      <c r="A319" s="246">
        <v>315</v>
      </c>
      <c r="B319" s="247" t="s">
        <v>3374</v>
      </c>
      <c r="C319" s="302" t="str">
        <f>"1168"</f>
        <v>1168</v>
      </c>
      <c r="D319" s="247" t="s">
        <v>18</v>
      </c>
      <c r="E319" s="248">
        <v>220</v>
      </c>
      <c r="F319" s="249">
        <v>37908</v>
      </c>
      <c r="G319" s="249">
        <v>45007</v>
      </c>
      <c r="H319" s="247" t="s">
        <v>3350</v>
      </c>
      <c r="I319" s="250" t="s">
        <v>3351</v>
      </c>
    </row>
    <row r="320" spans="1:9">
      <c r="A320" s="246">
        <v>316</v>
      </c>
      <c r="B320" s="247" t="s">
        <v>3374</v>
      </c>
      <c r="C320" s="302" t="str">
        <f>"1169"</f>
        <v>1169</v>
      </c>
      <c r="D320" s="247" t="s">
        <v>18</v>
      </c>
      <c r="E320" s="248">
        <v>240</v>
      </c>
      <c r="F320" s="249">
        <v>37908</v>
      </c>
      <c r="G320" s="249">
        <v>45007</v>
      </c>
      <c r="H320" s="247" t="s">
        <v>3350</v>
      </c>
      <c r="I320" s="250" t="s">
        <v>3351</v>
      </c>
    </row>
    <row r="321" spans="1:9">
      <c r="A321" s="246">
        <v>317</v>
      </c>
      <c r="B321" s="247" t="s">
        <v>3374</v>
      </c>
      <c r="C321" s="302" t="str">
        <f>"1170"</f>
        <v>1170</v>
      </c>
      <c r="D321" s="247" t="s">
        <v>18</v>
      </c>
      <c r="E321" s="248">
        <v>231</v>
      </c>
      <c r="F321" s="249">
        <v>37908</v>
      </c>
      <c r="G321" s="249">
        <v>45007</v>
      </c>
      <c r="H321" s="247" t="s">
        <v>3350</v>
      </c>
      <c r="I321" s="250" t="s">
        <v>3351</v>
      </c>
    </row>
    <row r="322" spans="1:9">
      <c r="A322" s="246">
        <v>318</v>
      </c>
      <c r="B322" s="247" t="s">
        <v>3374</v>
      </c>
      <c r="C322" s="302" t="str">
        <f>"1171"</f>
        <v>1171</v>
      </c>
      <c r="D322" s="247" t="s">
        <v>18</v>
      </c>
      <c r="E322" s="248">
        <v>253</v>
      </c>
      <c r="F322" s="249">
        <v>37908</v>
      </c>
      <c r="G322" s="249">
        <v>45007</v>
      </c>
      <c r="H322" s="247" t="s">
        <v>3350</v>
      </c>
      <c r="I322" s="250" t="s">
        <v>3351</v>
      </c>
    </row>
    <row r="323" spans="1:9">
      <c r="A323" s="246">
        <v>319</v>
      </c>
      <c r="B323" s="247" t="s">
        <v>3374</v>
      </c>
      <c r="C323" s="302" t="str">
        <f>"1172"</f>
        <v>1172</v>
      </c>
      <c r="D323" s="247" t="s">
        <v>18</v>
      </c>
      <c r="E323" s="248">
        <v>198</v>
      </c>
      <c r="F323" s="249">
        <v>37908</v>
      </c>
      <c r="G323" s="249">
        <v>45007</v>
      </c>
      <c r="H323" s="247" t="s">
        <v>3350</v>
      </c>
      <c r="I323" s="250" t="s">
        <v>3351</v>
      </c>
    </row>
    <row r="324" spans="1:9">
      <c r="A324" s="246">
        <v>320</v>
      </c>
      <c r="B324" s="247" t="s">
        <v>3374</v>
      </c>
      <c r="C324" s="302" t="str">
        <f>"1173"</f>
        <v>1173</v>
      </c>
      <c r="D324" s="247" t="s">
        <v>18</v>
      </c>
      <c r="E324" s="248">
        <v>242</v>
      </c>
      <c r="F324" s="249">
        <v>37908</v>
      </c>
      <c r="G324" s="249">
        <v>45007</v>
      </c>
      <c r="H324" s="247" t="s">
        <v>3350</v>
      </c>
      <c r="I324" s="250" t="s">
        <v>3351</v>
      </c>
    </row>
    <row r="325" spans="1:9">
      <c r="A325" s="246">
        <v>321</v>
      </c>
      <c r="B325" s="247" t="s">
        <v>3374</v>
      </c>
      <c r="C325" s="302" t="str">
        <f>"1174"</f>
        <v>1174</v>
      </c>
      <c r="D325" s="247" t="s">
        <v>18</v>
      </c>
      <c r="E325" s="248">
        <v>150</v>
      </c>
      <c r="F325" s="249">
        <v>37908</v>
      </c>
      <c r="G325" s="249">
        <v>45007</v>
      </c>
      <c r="H325" s="247" t="s">
        <v>3350</v>
      </c>
      <c r="I325" s="250" t="s">
        <v>3351</v>
      </c>
    </row>
    <row r="326" spans="1:9">
      <c r="A326" s="246">
        <v>322</v>
      </c>
      <c r="B326" s="247" t="s">
        <v>3374</v>
      </c>
      <c r="C326" s="302" t="str">
        <f>"1175"</f>
        <v>1175</v>
      </c>
      <c r="D326" s="247" t="s">
        <v>18</v>
      </c>
      <c r="E326" s="248">
        <v>219</v>
      </c>
      <c r="F326" s="249">
        <v>37908</v>
      </c>
      <c r="G326" s="249">
        <v>45007</v>
      </c>
      <c r="H326" s="247" t="s">
        <v>26</v>
      </c>
      <c r="I326" s="250" t="s">
        <v>3351</v>
      </c>
    </row>
    <row r="327" spans="1:9">
      <c r="A327" s="246">
        <v>323</v>
      </c>
      <c r="B327" s="247" t="s">
        <v>3374</v>
      </c>
      <c r="C327" s="302" t="str">
        <f>"1176"</f>
        <v>1176</v>
      </c>
      <c r="D327" s="247" t="s">
        <v>18</v>
      </c>
      <c r="E327" s="248">
        <v>230</v>
      </c>
      <c r="F327" s="249">
        <v>37908</v>
      </c>
      <c r="G327" s="249">
        <v>45007</v>
      </c>
      <c r="H327" s="247" t="s">
        <v>26</v>
      </c>
      <c r="I327" s="250" t="s">
        <v>3351</v>
      </c>
    </row>
    <row r="328" spans="1:9">
      <c r="A328" s="246">
        <v>324</v>
      </c>
      <c r="B328" s="247" t="s">
        <v>3374</v>
      </c>
      <c r="C328" s="302" t="str">
        <f>"1177"</f>
        <v>1177</v>
      </c>
      <c r="D328" s="247" t="s">
        <v>18</v>
      </c>
      <c r="E328" s="248">
        <v>213</v>
      </c>
      <c r="F328" s="249">
        <v>37908</v>
      </c>
      <c r="G328" s="249">
        <v>45007</v>
      </c>
      <c r="H328" s="247" t="s">
        <v>26</v>
      </c>
      <c r="I328" s="250" t="s">
        <v>3351</v>
      </c>
    </row>
    <row r="329" spans="1:9">
      <c r="A329" s="246">
        <v>325</v>
      </c>
      <c r="B329" s="247" t="s">
        <v>3374</v>
      </c>
      <c r="C329" s="302" t="str">
        <f>"1178"</f>
        <v>1178</v>
      </c>
      <c r="D329" s="247" t="s">
        <v>18</v>
      </c>
      <c r="E329" s="248">
        <v>46</v>
      </c>
      <c r="F329" s="249">
        <v>37908</v>
      </c>
      <c r="G329" s="249">
        <v>45007</v>
      </c>
      <c r="H329" s="247" t="s">
        <v>26</v>
      </c>
      <c r="I329" s="250" t="s">
        <v>3351</v>
      </c>
    </row>
    <row r="330" spans="1:9">
      <c r="A330" s="246">
        <v>326</v>
      </c>
      <c r="B330" s="247" t="s">
        <v>3374</v>
      </c>
      <c r="C330" s="302" t="str">
        <f>"1180"</f>
        <v>1180</v>
      </c>
      <c r="D330" s="247" t="s">
        <v>18</v>
      </c>
      <c r="E330" s="248">
        <v>165</v>
      </c>
      <c r="F330" s="249">
        <v>37908</v>
      </c>
      <c r="G330" s="249">
        <v>45007</v>
      </c>
      <c r="H330" s="247" t="s">
        <v>26</v>
      </c>
      <c r="I330" s="250" t="s">
        <v>3351</v>
      </c>
    </row>
    <row r="331" spans="1:9">
      <c r="A331" s="246">
        <v>327</v>
      </c>
      <c r="B331" s="247" t="s">
        <v>3374</v>
      </c>
      <c r="C331" s="302" t="str">
        <f>"1182"</f>
        <v>1182</v>
      </c>
      <c r="D331" s="247" t="s">
        <v>18</v>
      </c>
      <c r="E331" s="248">
        <v>189</v>
      </c>
      <c r="F331" s="249">
        <v>37908</v>
      </c>
      <c r="G331" s="249">
        <v>45007</v>
      </c>
      <c r="H331" s="247" t="s">
        <v>26</v>
      </c>
      <c r="I331" s="250" t="s">
        <v>3351</v>
      </c>
    </row>
    <row r="332" spans="1:9">
      <c r="A332" s="246">
        <v>328</v>
      </c>
      <c r="B332" s="247" t="s">
        <v>3374</v>
      </c>
      <c r="C332" s="302" t="str">
        <f>"1187"</f>
        <v>1187</v>
      </c>
      <c r="D332" s="247" t="s">
        <v>18</v>
      </c>
      <c r="E332" s="248">
        <v>168</v>
      </c>
      <c r="F332" s="249">
        <v>37908</v>
      </c>
      <c r="G332" s="249">
        <v>45007</v>
      </c>
      <c r="H332" s="247" t="s">
        <v>26</v>
      </c>
      <c r="I332" s="250" t="s">
        <v>3351</v>
      </c>
    </row>
    <row r="333" spans="1:9">
      <c r="A333" s="246">
        <v>329</v>
      </c>
      <c r="B333" s="247" t="s">
        <v>3374</v>
      </c>
      <c r="C333" s="302" t="str">
        <f>"1188"</f>
        <v>1188</v>
      </c>
      <c r="D333" s="247" t="s">
        <v>18</v>
      </c>
      <c r="E333" s="248">
        <v>234</v>
      </c>
      <c r="F333" s="249">
        <v>37908</v>
      </c>
      <c r="G333" s="249">
        <v>45007</v>
      </c>
      <c r="H333" s="247" t="s">
        <v>26</v>
      </c>
      <c r="I333" s="250" t="s">
        <v>3351</v>
      </c>
    </row>
    <row r="334" spans="1:9">
      <c r="A334" s="246">
        <v>330</v>
      </c>
      <c r="B334" s="247" t="s">
        <v>3374</v>
      </c>
      <c r="C334" s="302" t="str">
        <f>"1189"</f>
        <v>1189</v>
      </c>
      <c r="D334" s="247" t="s">
        <v>18</v>
      </c>
      <c r="E334" s="248">
        <v>192</v>
      </c>
      <c r="F334" s="249">
        <v>37908</v>
      </c>
      <c r="G334" s="249">
        <v>39734</v>
      </c>
      <c r="H334" s="247" t="s">
        <v>26</v>
      </c>
      <c r="I334" s="250" t="s">
        <v>3351</v>
      </c>
    </row>
    <row r="335" spans="1:9">
      <c r="A335" s="246">
        <v>331</v>
      </c>
      <c r="B335" s="247" t="s">
        <v>3375</v>
      </c>
      <c r="C335" s="302" t="str">
        <f>"1190"</f>
        <v>1190</v>
      </c>
      <c r="D335" s="247" t="s">
        <v>18</v>
      </c>
      <c r="E335" s="248">
        <v>126</v>
      </c>
      <c r="F335" s="249">
        <v>37908</v>
      </c>
      <c r="G335" s="249">
        <v>44647</v>
      </c>
      <c r="H335" s="247" t="s">
        <v>3350</v>
      </c>
      <c r="I335" s="250" t="s">
        <v>3351</v>
      </c>
    </row>
    <row r="336" spans="1:9">
      <c r="A336" s="246">
        <v>332</v>
      </c>
      <c r="B336" s="247" t="s">
        <v>3375</v>
      </c>
      <c r="C336" s="302" t="str">
        <f>"1191"</f>
        <v>1191</v>
      </c>
      <c r="D336" s="247" t="s">
        <v>18</v>
      </c>
      <c r="E336" s="248">
        <v>140</v>
      </c>
      <c r="F336" s="249">
        <v>37908</v>
      </c>
      <c r="G336" s="249">
        <v>45013</v>
      </c>
      <c r="H336" s="247" t="s">
        <v>89</v>
      </c>
      <c r="I336" s="250" t="s">
        <v>3351</v>
      </c>
    </row>
    <row r="337" spans="1:9">
      <c r="A337" s="246">
        <v>333</v>
      </c>
      <c r="B337" s="247" t="s">
        <v>3375</v>
      </c>
      <c r="C337" s="302" t="str">
        <f>"1192"</f>
        <v>1192</v>
      </c>
      <c r="D337" s="247" t="s">
        <v>18</v>
      </c>
      <c r="E337" s="248">
        <v>141</v>
      </c>
      <c r="F337" s="249">
        <v>37908</v>
      </c>
      <c r="G337" s="249">
        <v>45013</v>
      </c>
      <c r="H337" s="247" t="s">
        <v>499</v>
      </c>
      <c r="I337" s="250" t="s">
        <v>3351</v>
      </c>
    </row>
    <row r="338" spans="1:9">
      <c r="A338" s="246">
        <v>334</v>
      </c>
      <c r="B338" s="247" t="s">
        <v>3375</v>
      </c>
      <c r="C338" s="302" t="str">
        <f>"1193"</f>
        <v>1193</v>
      </c>
      <c r="D338" s="247" t="s">
        <v>18</v>
      </c>
      <c r="E338" s="248">
        <v>373</v>
      </c>
      <c r="F338" s="249">
        <v>37908</v>
      </c>
      <c r="G338" s="249">
        <v>45013</v>
      </c>
      <c r="H338" s="247" t="s">
        <v>499</v>
      </c>
      <c r="I338" s="250" t="s">
        <v>3351</v>
      </c>
    </row>
    <row r="339" spans="1:9">
      <c r="A339" s="246">
        <v>335</v>
      </c>
      <c r="B339" s="247" t="s">
        <v>3375</v>
      </c>
      <c r="C339" s="302" t="str">
        <f>"1194"</f>
        <v>1194</v>
      </c>
      <c r="D339" s="247" t="s">
        <v>18</v>
      </c>
      <c r="E339" s="248">
        <v>104</v>
      </c>
      <c r="F339" s="249">
        <v>37908</v>
      </c>
      <c r="G339" s="249">
        <v>45013</v>
      </c>
      <c r="H339" s="247" t="s">
        <v>3379</v>
      </c>
      <c r="I339" s="250" t="s">
        <v>3351</v>
      </c>
    </row>
    <row r="340" spans="1:9">
      <c r="A340" s="246">
        <v>336</v>
      </c>
      <c r="B340" s="247" t="s">
        <v>3375</v>
      </c>
      <c r="C340" s="302" t="str">
        <f>"1195"</f>
        <v>1195</v>
      </c>
      <c r="D340" s="247" t="s">
        <v>18</v>
      </c>
      <c r="E340" s="248">
        <v>55</v>
      </c>
      <c r="F340" s="249">
        <v>37908</v>
      </c>
      <c r="G340" s="249">
        <v>45013</v>
      </c>
      <c r="H340" s="247" t="s">
        <v>499</v>
      </c>
      <c r="I340" s="250" t="s">
        <v>3351</v>
      </c>
    </row>
    <row r="341" spans="1:9">
      <c r="A341" s="246">
        <v>337</v>
      </c>
      <c r="B341" s="247" t="s">
        <v>3375</v>
      </c>
      <c r="C341" s="302" t="str">
        <f>"1196"</f>
        <v>1196</v>
      </c>
      <c r="D341" s="247" t="s">
        <v>18</v>
      </c>
      <c r="E341" s="248">
        <v>151</v>
      </c>
      <c r="F341" s="249">
        <v>37908</v>
      </c>
      <c r="G341" s="249">
        <v>45013</v>
      </c>
      <c r="H341" s="247" t="s">
        <v>3379</v>
      </c>
      <c r="I341" s="250" t="s">
        <v>3351</v>
      </c>
    </row>
    <row r="342" spans="1:9">
      <c r="A342" s="246">
        <v>338</v>
      </c>
      <c r="B342" s="247" t="s">
        <v>3375</v>
      </c>
      <c r="C342" s="302" t="str">
        <f>"1197"</f>
        <v>1197</v>
      </c>
      <c r="D342" s="247" t="s">
        <v>18</v>
      </c>
      <c r="E342" s="248">
        <v>138</v>
      </c>
      <c r="F342" s="249">
        <v>37908</v>
      </c>
      <c r="G342" s="249">
        <v>45013</v>
      </c>
      <c r="H342" s="247" t="s">
        <v>499</v>
      </c>
      <c r="I342" s="250" t="s">
        <v>3351</v>
      </c>
    </row>
    <row r="343" spans="1:9">
      <c r="A343" s="246">
        <v>339</v>
      </c>
      <c r="B343" s="247" t="s">
        <v>3375</v>
      </c>
      <c r="C343" s="302" t="str">
        <f>"1198"</f>
        <v>1198</v>
      </c>
      <c r="D343" s="247" t="s">
        <v>18</v>
      </c>
      <c r="E343" s="248">
        <v>70</v>
      </c>
      <c r="F343" s="249">
        <v>37908</v>
      </c>
      <c r="G343" s="249">
        <v>45013</v>
      </c>
      <c r="H343" s="247" t="s">
        <v>499</v>
      </c>
      <c r="I343" s="250" t="s">
        <v>3351</v>
      </c>
    </row>
    <row r="344" spans="1:9">
      <c r="A344" s="246">
        <v>340</v>
      </c>
      <c r="B344" s="247" t="s">
        <v>3375</v>
      </c>
      <c r="C344" s="302" t="str">
        <f>"1199"</f>
        <v>1199</v>
      </c>
      <c r="D344" s="247" t="s">
        <v>18</v>
      </c>
      <c r="E344" s="248">
        <v>45</v>
      </c>
      <c r="F344" s="249">
        <v>37908</v>
      </c>
      <c r="G344" s="249">
        <v>45013</v>
      </c>
      <c r="H344" s="247" t="s">
        <v>499</v>
      </c>
      <c r="I344" s="250" t="s">
        <v>3351</v>
      </c>
    </row>
    <row r="345" spans="1:9">
      <c r="A345" s="246">
        <v>341</v>
      </c>
      <c r="B345" s="247" t="s">
        <v>3375</v>
      </c>
      <c r="C345" s="302" t="str">
        <f>"1200"</f>
        <v>1200</v>
      </c>
      <c r="D345" s="247" t="s">
        <v>18</v>
      </c>
      <c r="E345" s="248">
        <v>38</v>
      </c>
      <c r="F345" s="249">
        <v>37908</v>
      </c>
      <c r="G345" s="249">
        <v>45378</v>
      </c>
      <c r="H345" s="247" t="s">
        <v>3350</v>
      </c>
      <c r="I345" s="250" t="s">
        <v>3351</v>
      </c>
    </row>
    <row r="346" spans="1:9">
      <c r="A346" s="246">
        <v>342</v>
      </c>
      <c r="B346" s="247" t="s">
        <v>3375</v>
      </c>
      <c r="C346" s="302" t="str">
        <f>"1201"</f>
        <v>1201</v>
      </c>
      <c r="D346" s="247" t="s">
        <v>18</v>
      </c>
      <c r="E346" s="248">
        <v>52</v>
      </c>
      <c r="F346" s="249">
        <v>37908</v>
      </c>
      <c r="G346" s="249">
        <v>45378</v>
      </c>
      <c r="H346" s="247" t="s">
        <v>3350</v>
      </c>
      <c r="I346" s="250" t="s">
        <v>3351</v>
      </c>
    </row>
    <row r="347" spans="1:9">
      <c r="A347" s="246">
        <v>343</v>
      </c>
      <c r="B347" s="247" t="s">
        <v>3375</v>
      </c>
      <c r="C347" s="302" t="str">
        <f>"1202"</f>
        <v>1202</v>
      </c>
      <c r="D347" s="247" t="s">
        <v>18</v>
      </c>
      <c r="E347" s="248">
        <v>50</v>
      </c>
      <c r="F347" s="249">
        <v>37908</v>
      </c>
      <c r="G347" s="249">
        <v>45378</v>
      </c>
      <c r="H347" s="247" t="s">
        <v>3350</v>
      </c>
      <c r="I347" s="250" t="s">
        <v>3351</v>
      </c>
    </row>
    <row r="348" spans="1:9">
      <c r="A348" s="246">
        <v>344</v>
      </c>
      <c r="B348" s="247" t="s">
        <v>3375</v>
      </c>
      <c r="C348" s="302" t="str">
        <f>"1203"</f>
        <v>1203</v>
      </c>
      <c r="D348" s="247" t="s">
        <v>18</v>
      </c>
      <c r="E348" s="248">
        <v>38</v>
      </c>
      <c r="F348" s="249">
        <v>37908</v>
      </c>
      <c r="G348" s="249">
        <v>45378</v>
      </c>
      <c r="H348" s="247" t="s">
        <v>3350</v>
      </c>
      <c r="I348" s="250" t="s">
        <v>3351</v>
      </c>
    </row>
    <row r="349" spans="1:9">
      <c r="A349" s="246">
        <v>345</v>
      </c>
      <c r="B349" s="247" t="s">
        <v>3375</v>
      </c>
      <c r="C349" s="302" t="str">
        <f>"1204"</f>
        <v>1204</v>
      </c>
      <c r="D349" s="247" t="s">
        <v>18</v>
      </c>
      <c r="E349" s="248">
        <v>52</v>
      </c>
      <c r="F349" s="249">
        <v>37908</v>
      </c>
      <c r="G349" s="249">
        <v>45378</v>
      </c>
      <c r="H349" s="247" t="s">
        <v>3350</v>
      </c>
      <c r="I349" s="250" t="s">
        <v>3351</v>
      </c>
    </row>
    <row r="350" spans="1:9">
      <c r="A350" s="246">
        <v>346</v>
      </c>
      <c r="B350" s="247" t="s">
        <v>3375</v>
      </c>
      <c r="C350" s="302" t="str">
        <f>"1205"</f>
        <v>1205</v>
      </c>
      <c r="D350" s="247" t="s">
        <v>18</v>
      </c>
      <c r="E350" s="248">
        <v>95</v>
      </c>
      <c r="F350" s="249">
        <v>37908</v>
      </c>
      <c r="G350" s="249">
        <v>45378</v>
      </c>
      <c r="H350" s="247" t="s">
        <v>3350</v>
      </c>
      <c r="I350" s="250" t="s">
        <v>3351</v>
      </c>
    </row>
    <row r="351" spans="1:9">
      <c r="A351" s="246">
        <v>347</v>
      </c>
      <c r="B351" s="247" t="s">
        <v>3375</v>
      </c>
      <c r="C351" s="302" t="str">
        <f>"1206"</f>
        <v>1206</v>
      </c>
      <c r="D351" s="247" t="s">
        <v>18</v>
      </c>
      <c r="E351" s="248">
        <v>64</v>
      </c>
      <c r="F351" s="249">
        <v>37908</v>
      </c>
      <c r="G351" s="249">
        <v>45378</v>
      </c>
      <c r="H351" s="247" t="s">
        <v>3350</v>
      </c>
      <c r="I351" s="250" t="s">
        <v>3351</v>
      </c>
    </row>
    <row r="352" spans="1:9">
      <c r="A352" s="246">
        <v>348</v>
      </c>
      <c r="B352" s="247" t="s">
        <v>3375</v>
      </c>
      <c r="C352" s="302" t="str">
        <f>"1207"</f>
        <v>1207</v>
      </c>
      <c r="D352" s="247" t="s">
        <v>18</v>
      </c>
      <c r="E352" s="248">
        <v>51</v>
      </c>
      <c r="F352" s="249">
        <v>37908</v>
      </c>
      <c r="G352" s="249">
        <v>45378</v>
      </c>
      <c r="H352" s="247" t="s">
        <v>3350</v>
      </c>
      <c r="I352" s="250" t="s">
        <v>3351</v>
      </c>
    </row>
    <row r="353" spans="1:9">
      <c r="A353" s="246">
        <v>349</v>
      </c>
      <c r="B353" s="247" t="s">
        <v>3375</v>
      </c>
      <c r="C353" s="302" t="str">
        <f>"1208"</f>
        <v>1208</v>
      </c>
      <c r="D353" s="247" t="s">
        <v>18</v>
      </c>
      <c r="E353" s="248">
        <v>39</v>
      </c>
      <c r="F353" s="249">
        <v>37908</v>
      </c>
      <c r="G353" s="249">
        <v>45378</v>
      </c>
      <c r="H353" s="247" t="s">
        <v>3350</v>
      </c>
      <c r="I353" s="250" t="s">
        <v>3351</v>
      </c>
    </row>
    <row r="354" spans="1:9">
      <c r="A354" s="246">
        <v>350</v>
      </c>
      <c r="B354" s="247" t="s">
        <v>3375</v>
      </c>
      <c r="C354" s="302" t="str">
        <f>"1209"</f>
        <v>1209</v>
      </c>
      <c r="D354" s="247" t="s">
        <v>18</v>
      </c>
      <c r="E354" s="248">
        <v>34</v>
      </c>
      <c r="F354" s="249">
        <v>37908</v>
      </c>
      <c r="G354" s="249">
        <v>45378</v>
      </c>
      <c r="H354" s="247" t="s">
        <v>3350</v>
      </c>
      <c r="I354" s="250" t="s">
        <v>3351</v>
      </c>
    </row>
    <row r="355" spans="1:9">
      <c r="A355" s="246">
        <v>351</v>
      </c>
      <c r="B355" s="247" t="s">
        <v>3375</v>
      </c>
      <c r="C355" s="302" t="str">
        <f>"1210"</f>
        <v>1210</v>
      </c>
      <c r="D355" s="247" t="s">
        <v>18</v>
      </c>
      <c r="E355" s="248">
        <v>49</v>
      </c>
      <c r="F355" s="249">
        <v>37908</v>
      </c>
      <c r="G355" s="249">
        <v>45378</v>
      </c>
      <c r="H355" s="247" t="s">
        <v>3350</v>
      </c>
      <c r="I355" s="250" t="s">
        <v>3351</v>
      </c>
    </row>
    <row r="356" spans="1:9">
      <c r="A356" s="246">
        <v>352</v>
      </c>
      <c r="B356" s="247" t="s">
        <v>3375</v>
      </c>
      <c r="C356" s="302" t="str">
        <f>"1211"</f>
        <v>1211</v>
      </c>
      <c r="D356" s="247" t="s">
        <v>18</v>
      </c>
      <c r="E356" s="248">
        <v>231</v>
      </c>
      <c r="F356" s="249">
        <v>37908</v>
      </c>
      <c r="G356" s="249">
        <v>45012</v>
      </c>
      <c r="H356" s="247" t="s">
        <v>3350</v>
      </c>
      <c r="I356" s="250" t="s">
        <v>3351</v>
      </c>
    </row>
    <row r="357" spans="1:9">
      <c r="A357" s="246">
        <v>353</v>
      </c>
      <c r="B357" s="247" t="s">
        <v>3375</v>
      </c>
      <c r="C357" s="302" t="str">
        <f>"1212"</f>
        <v>1212</v>
      </c>
      <c r="D357" s="247" t="s">
        <v>18</v>
      </c>
      <c r="E357" s="248">
        <v>231</v>
      </c>
      <c r="F357" s="249">
        <v>37908</v>
      </c>
      <c r="G357" s="249">
        <v>45012</v>
      </c>
      <c r="H357" s="247" t="s">
        <v>3350</v>
      </c>
      <c r="I357" s="250" t="s">
        <v>3351</v>
      </c>
    </row>
    <row r="358" spans="1:9">
      <c r="A358" s="246">
        <v>354</v>
      </c>
      <c r="B358" s="247" t="s">
        <v>3375</v>
      </c>
      <c r="C358" s="302" t="str">
        <f>"1213"</f>
        <v>1213</v>
      </c>
      <c r="D358" s="247" t="s">
        <v>18</v>
      </c>
      <c r="E358" s="248">
        <v>27</v>
      </c>
      <c r="F358" s="249">
        <v>37908</v>
      </c>
      <c r="G358" s="249">
        <v>45012</v>
      </c>
      <c r="H358" s="247" t="s">
        <v>3350</v>
      </c>
      <c r="I358" s="250" t="s">
        <v>3351</v>
      </c>
    </row>
    <row r="359" spans="1:9">
      <c r="A359" s="246">
        <v>355</v>
      </c>
      <c r="B359" s="247" t="s">
        <v>3375</v>
      </c>
      <c r="C359" s="302" t="str">
        <f>"1214"</f>
        <v>1214</v>
      </c>
      <c r="D359" s="247" t="s">
        <v>18</v>
      </c>
      <c r="E359" s="248">
        <v>44</v>
      </c>
      <c r="F359" s="249">
        <v>37908</v>
      </c>
      <c r="G359" s="249">
        <v>45012</v>
      </c>
      <c r="H359" s="247" t="s">
        <v>3350</v>
      </c>
      <c r="I359" s="250" t="s">
        <v>3351</v>
      </c>
    </row>
    <row r="360" spans="1:9">
      <c r="A360" s="246">
        <v>356</v>
      </c>
      <c r="B360" s="247" t="s">
        <v>3375</v>
      </c>
      <c r="C360" s="302" t="str">
        <f>"1215"</f>
        <v>1215</v>
      </c>
      <c r="D360" s="247" t="s">
        <v>18</v>
      </c>
      <c r="E360" s="248">
        <v>71</v>
      </c>
      <c r="F360" s="249">
        <v>37908</v>
      </c>
      <c r="G360" s="249">
        <v>45012</v>
      </c>
      <c r="H360" s="247" t="s">
        <v>3350</v>
      </c>
      <c r="I360" s="250" t="s">
        <v>3351</v>
      </c>
    </row>
    <row r="361" spans="1:9">
      <c r="A361" s="246">
        <v>357</v>
      </c>
      <c r="B361" s="247" t="s">
        <v>3375</v>
      </c>
      <c r="C361" s="302" t="str">
        <f>"1216"</f>
        <v>1216</v>
      </c>
      <c r="D361" s="247" t="s">
        <v>18</v>
      </c>
      <c r="E361" s="248">
        <v>163</v>
      </c>
      <c r="F361" s="249">
        <v>37908</v>
      </c>
      <c r="G361" s="249">
        <v>45012</v>
      </c>
      <c r="H361" s="247" t="s">
        <v>3350</v>
      </c>
      <c r="I361" s="250" t="s">
        <v>3351</v>
      </c>
    </row>
    <row r="362" spans="1:9">
      <c r="A362" s="246">
        <v>358</v>
      </c>
      <c r="B362" s="247" t="s">
        <v>3375</v>
      </c>
      <c r="C362" s="302" t="str">
        <f>"1217"</f>
        <v>1217</v>
      </c>
      <c r="D362" s="247" t="s">
        <v>18</v>
      </c>
      <c r="E362" s="248">
        <v>55</v>
      </c>
      <c r="F362" s="249">
        <v>37908</v>
      </c>
      <c r="G362" s="249">
        <v>45012</v>
      </c>
      <c r="H362" s="247" t="s">
        <v>3350</v>
      </c>
      <c r="I362" s="250" t="s">
        <v>3351</v>
      </c>
    </row>
    <row r="363" spans="1:9">
      <c r="A363" s="246">
        <v>359</v>
      </c>
      <c r="B363" s="247" t="s">
        <v>3375</v>
      </c>
      <c r="C363" s="302" t="str">
        <f>"1218"</f>
        <v>1218</v>
      </c>
      <c r="D363" s="247" t="s">
        <v>18</v>
      </c>
      <c r="E363" s="248">
        <v>149</v>
      </c>
      <c r="F363" s="249">
        <v>37908</v>
      </c>
      <c r="G363" s="249">
        <v>45012</v>
      </c>
      <c r="H363" s="247" t="s">
        <v>3350</v>
      </c>
      <c r="I363" s="250" t="s">
        <v>3351</v>
      </c>
    </row>
    <row r="364" spans="1:9">
      <c r="A364" s="246">
        <v>360</v>
      </c>
      <c r="B364" s="247" t="s">
        <v>3375</v>
      </c>
      <c r="C364" s="302" t="str">
        <f>"1219"</f>
        <v>1219</v>
      </c>
      <c r="D364" s="247" t="s">
        <v>18</v>
      </c>
      <c r="E364" s="248">
        <v>104</v>
      </c>
      <c r="F364" s="249">
        <v>37908</v>
      </c>
      <c r="G364" s="249">
        <v>45012</v>
      </c>
      <c r="H364" s="247" t="s">
        <v>3350</v>
      </c>
      <c r="I364" s="250" t="s">
        <v>3351</v>
      </c>
    </row>
    <row r="365" spans="1:9">
      <c r="A365" s="246">
        <v>361</v>
      </c>
      <c r="B365" s="247" t="s">
        <v>3375</v>
      </c>
      <c r="C365" s="302" t="str">
        <f>"1220"</f>
        <v>1220</v>
      </c>
      <c r="D365" s="247" t="s">
        <v>18</v>
      </c>
      <c r="E365" s="248">
        <v>228</v>
      </c>
      <c r="F365" s="249">
        <v>37908</v>
      </c>
      <c r="G365" s="249">
        <v>45012</v>
      </c>
      <c r="H365" s="247" t="s">
        <v>3350</v>
      </c>
      <c r="I365" s="250" t="s">
        <v>3351</v>
      </c>
    </row>
    <row r="366" spans="1:9">
      <c r="A366" s="246">
        <v>362</v>
      </c>
      <c r="B366" s="247" t="s">
        <v>3375</v>
      </c>
      <c r="C366" s="302" t="str">
        <f>"1221"</f>
        <v>1221</v>
      </c>
      <c r="D366" s="247" t="s">
        <v>18</v>
      </c>
      <c r="E366" s="248">
        <v>232</v>
      </c>
      <c r="F366" s="249">
        <v>37908</v>
      </c>
      <c r="G366" s="249">
        <v>45012</v>
      </c>
      <c r="H366" s="247" t="s">
        <v>26</v>
      </c>
      <c r="I366" s="250" t="s">
        <v>3351</v>
      </c>
    </row>
    <row r="367" spans="1:9">
      <c r="A367" s="246">
        <v>363</v>
      </c>
      <c r="B367" s="247" t="s">
        <v>3375</v>
      </c>
      <c r="C367" s="302" t="str">
        <f>"1222"</f>
        <v>1222</v>
      </c>
      <c r="D367" s="247" t="s">
        <v>18</v>
      </c>
      <c r="E367" s="248">
        <v>267</v>
      </c>
      <c r="F367" s="249">
        <v>37908</v>
      </c>
      <c r="G367" s="249">
        <v>45012</v>
      </c>
      <c r="H367" s="247" t="s">
        <v>3350</v>
      </c>
      <c r="I367" s="250" t="s">
        <v>3351</v>
      </c>
    </row>
    <row r="368" spans="1:9">
      <c r="A368" s="246">
        <v>364</v>
      </c>
      <c r="B368" s="247" t="s">
        <v>3375</v>
      </c>
      <c r="C368" s="302" t="str">
        <f>"1223"</f>
        <v>1223</v>
      </c>
      <c r="D368" s="247" t="s">
        <v>18</v>
      </c>
      <c r="E368" s="248">
        <v>168</v>
      </c>
      <c r="F368" s="249">
        <v>37908</v>
      </c>
      <c r="G368" s="249">
        <v>45012</v>
      </c>
      <c r="H368" s="247" t="s">
        <v>3350</v>
      </c>
      <c r="I368" s="250" t="s">
        <v>3351</v>
      </c>
    </row>
    <row r="369" spans="1:9">
      <c r="A369" s="246">
        <v>365</v>
      </c>
      <c r="B369" s="247" t="s">
        <v>114</v>
      </c>
      <c r="C369" s="302" t="str">
        <f>"1229"</f>
        <v>1229</v>
      </c>
      <c r="D369" s="247" t="s">
        <v>18</v>
      </c>
      <c r="E369" s="248">
        <v>82</v>
      </c>
      <c r="F369" s="249">
        <v>39746</v>
      </c>
      <c r="G369" s="249">
        <v>41571</v>
      </c>
      <c r="H369" s="247" t="s">
        <v>14</v>
      </c>
      <c r="I369" s="250" t="s">
        <v>437</v>
      </c>
    </row>
    <row r="370" spans="1:9">
      <c r="A370" s="246">
        <v>366</v>
      </c>
      <c r="B370" s="247" t="s">
        <v>114</v>
      </c>
      <c r="C370" s="302" t="str">
        <f>"1230"</f>
        <v>1230</v>
      </c>
      <c r="D370" s="247" t="s">
        <v>30</v>
      </c>
      <c r="E370" s="248">
        <v>172</v>
      </c>
      <c r="F370" s="249">
        <v>42251</v>
      </c>
      <c r="G370" s="249">
        <v>44077</v>
      </c>
      <c r="H370" s="247" t="s">
        <v>70</v>
      </c>
      <c r="I370" s="250" t="s">
        <v>437</v>
      </c>
    </row>
    <row r="371" spans="1:9">
      <c r="A371" s="246">
        <v>367</v>
      </c>
      <c r="B371" s="247" t="s">
        <v>3380</v>
      </c>
      <c r="C371" s="302" t="str">
        <f>"1232"</f>
        <v>1232</v>
      </c>
      <c r="D371" s="247" t="s">
        <v>18</v>
      </c>
      <c r="E371" s="248">
        <v>224</v>
      </c>
      <c r="F371" s="249">
        <v>39593</v>
      </c>
      <c r="G371" s="249">
        <v>40322</v>
      </c>
      <c r="H371" s="247" t="s">
        <v>26</v>
      </c>
      <c r="I371" s="250" t="s">
        <v>437</v>
      </c>
    </row>
    <row r="372" spans="1:9">
      <c r="A372" s="246">
        <v>368</v>
      </c>
      <c r="B372" s="247" t="s">
        <v>3380</v>
      </c>
      <c r="C372" s="302" t="str">
        <f>"1236"</f>
        <v>1236</v>
      </c>
      <c r="D372" s="247" t="s">
        <v>18</v>
      </c>
      <c r="E372" s="248">
        <v>234</v>
      </c>
      <c r="F372" s="249">
        <v>38132</v>
      </c>
      <c r="G372" s="249">
        <v>39592</v>
      </c>
      <c r="H372" s="247" t="s">
        <v>26</v>
      </c>
      <c r="I372" s="250" t="s">
        <v>437</v>
      </c>
    </row>
    <row r="373" spans="1:9">
      <c r="A373" s="246">
        <v>369</v>
      </c>
      <c r="B373" s="247" t="s">
        <v>3381</v>
      </c>
      <c r="C373" s="302" t="str">
        <f>"1260"</f>
        <v>1260</v>
      </c>
      <c r="D373" s="247" t="s">
        <v>18</v>
      </c>
      <c r="E373" s="248">
        <v>399</v>
      </c>
      <c r="F373" s="249">
        <v>38138</v>
      </c>
      <c r="G373" s="249">
        <v>39598</v>
      </c>
      <c r="H373" s="247" t="s">
        <v>26</v>
      </c>
      <c r="I373" s="250" t="s">
        <v>438</v>
      </c>
    </row>
    <row r="374" spans="1:9">
      <c r="A374" s="246">
        <v>370</v>
      </c>
      <c r="B374" s="247" t="s">
        <v>3382</v>
      </c>
      <c r="C374" s="302" t="str">
        <f>"1263"</f>
        <v>1263</v>
      </c>
      <c r="D374" s="247" t="s">
        <v>18</v>
      </c>
      <c r="E374" s="248">
        <v>224</v>
      </c>
      <c r="F374" s="249">
        <v>38132</v>
      </c>
      <c r="G374" s="249">
        <v>39592</v>
      </c>
      <c r="H374" s="247" t="s">
        <v>73</v>
      </c>
      <c r="I374" s="250" t="s">
        <v>438</v>
      </c>
    </row>
    <row r="375" spans="1:9">
      <c r="A375" s="246">
        <v>371</v>
      </c>
      <c r="B375" s="247" t="s">
        <v>3383</v>
      </c>
      <c r="C375" s="302" t="str">
        <f>"1274"</f>
        <v>1274</v>
      </c>
      <c r="D375" s="247" t="s">
        <v>30</v>
      </c>
      <c r="E375" s="248">
        <v>25</v>
      </c>
      <c r="F375" s="249">
        <v>42073</v>
      </c>
      <c r="G375" s="249">
        <v>44945</v>
      </c>
      <c r="H375" s="247" t="s">
        <v>26</v>
      </c>
      <c r="I375" s="250" t="s">
        <v>3351</v>
      </c>
    </row>
    <row r="376" spans="1:9">
      <c r="A376" s="246">
        <v>372</v>
      </c>
      <c r="B376" s="247" t="s">
        <v>112</v>
      </c>
      <c r="C376" s="302" t="str">
        <f>"1283"</f>
        <v>1283</v>
      </c>
      <c r="D376" s="247" t="s">
        <v>13</v>
      </c>
      <c r="E376" s="248">
        <v>19</v>
      </c>
      <c r="F376" s="249">
        <v>43080</v>
      </c>
      <c r="G376" s="249">
        <v>54036</v>
      </c>
      <c r="H376" s="247" t="s">
        <v>16</v>
      </c>
      <c r="I376" s="250" t="s">
        <v>79</v>
      </c>
    </row>
    <row r="377" spans="1:9">
      <c r="A377" s="246">
        <v>373</v>
      </c>
      <c r="B377" s="247" t="s">
        <v>51</v>
      </c>
      <c r="C377" s="302" t="str">
        <f>"1297"</f>
        <v>1297</v>
      </c>
      <c r="D377" s="247" t="s">
        <v>13</v>
      </c>
      <c r="E377" s="248">
        <v>64</v>
      </c>
      <c r="F377" s="249">
        <v>44813</v>
      </c>
      <c r="G377" s="249">
        <v>53943</v>
      </c>
      <c r="H377" s="247" t="s">
        <v>22</v>
      </c>
      <c r="I377" s="250" t="s">
        <v>79</v>
      </c>
    </row>
    <row r="378" spans="1:9">
      <c r="A378" s="246">
        <v>374</v>
      </c>
      <c r="B378" s="247" t="s">
        <v>51</v>
      </c>
      <c r="C378" s="302" t="str">
        <f>"1298"</f>
        <v>1298</v>
      </c>
      <c r="D378" s="247" t="s">
        <v>18</v>
      </c>
      <c r="E378" s="248">
        <v>38</v>
      </c>
      <c r="F378" s="249">
        <v>41612</v>
      </c>
      <c r="G378" s="249">
        <v>44552</v>
      </c>
      <c r="H378" s="247" t="s">
        <v>22</v>
      </c>
      <c r="I378" s="250" t="s">
        <v>455</v>
      </c>
    </row>
    <row r="379" spans="1:9">
      <c r="A379" s="246">
        <v>375</v>
      </c>
      <c r="B379" s="247" t="s">
        <v>51</v>
      </c>
      <c r="C379" s="302" t="str">
        <f>"1299"</f>
        <v>1299</v>
      </c>
      <c r="D379" s="247" t="s">
        <v>18</v>
      </c>
      <c r="E379" s="248">
        <v>62</v>
      </c>
      <c r="F379" s="249">
        <v>41612</v>
      </c>
      <c r="G379" s="249">
        <v>44552</v>
      </c>
      <c r="H379" s="247" t="s">
        <v>22</v>
      </c>
      <c r="I379" s="250" t="s">
        <v>3342</v>
      </c>
    </row>
    <row r="380" spans="1:9">
      <c r="A380" s="246">
        <v>376</v>
      </c>
      <c r="B380" s="247" t="s">
        <v>51</v>
      </c>
      <c r="C380" s="302" t="str">
        <f>"1300"</f>
        <v>1300</v>
      </c>
      <c r="D380" s="247" t="s">
        <v>18</v>
      </c>
      <c r="E380" s="248">
        <v>26</v>
      </c>
      <c r="F380" s="249">
        <v>41612</v>
      </c>
      <c r="G380" s="249">
        <v>44552</v>
      </c>
      <c r="H380" s="247" t="s">
        <v>22</v>
      </c>
      <c r="I380" s="250" t="s">
        <v>3342</v>
      </c>
    </row>
    <row r="381" spans="1:9">
      <c r="A381" s="246">
        <v>377</v>
      </c>
      <c r="B381" s="247" t="s">
        <v>51</v>
      </c>
      <c r="C381" s="302" t="str">
        <f>"1301"</f>
        <v>1301</v>
      </c>
      <c r="D381" s="247" t="s">
        <v>18</v>
      </c>
      <c r="E381" s="248">
        <v>37</v>
      </c>
      <c r="F381" s="249">
        <v>41612</v>
      </c>
      <c r="G381" s="249">
        <v>44552</v>
      </c>
      <c r="H381" s="247" t="s">
        <v>22</v>
      </c>
      <c r="I381" s="250" t="s">
        <v>455</v>
      </c>
    </row>
    <row r="382" spans="1:9">
      <c r="A382" s="246">
        <v>378</v>
      </c>
      <c r="B382" s="247" t="s">
        <v>51</v>
      </c>
      <c r="C382" s="302" t="str">
        <f>"1302"</f>
        <v>1302</v>
      </c>
      <c r="D382" s="247" t="s">
        <v>18</v>
      </c>
      <c r="E382" s="248">
        <v>106</v>
      </c>
      <c r="F382" s="249">
        <v>41612</v>
      </c>
      <c r="G382" s="249">
        <v>44552</v>
      </c>
      <c r="H382" s="247" t="s">
        <v>22</v>
      </c>
      <c r="I382" s="250" t="s">
        <v>455</v>
      </c>
    </row>
    <row r="383" spans="1:9">
      <c r="A383" s="246">
        <v>379</v>
      </c>
      <c r="B383" s="247" t="s">
        <v>3375</v>
      </c>
      <c r="C383" s="302" t="str">
        <f>"1303"</f>
        <v>1303</v>
      </c>
      <c r="D383" s="247" t="s">
        <v>18</v>
      </c>
      <c r="E383" s="248">
        <v>235</v>
      </c>
      <c r="F383" s="249">
        <v>37959</v>
      </c>
      <c r="G383" s="249">
        <v>45063</v>
      </c>
      <c r="H383" s="247" t="s">
        <v>22</v>
      </c>
      <c r="I383" s="250" t="s">
        <v>3351</v>
      </c>
    </row>
    <row r="384" spans="1:9">
      <c r="A384" s="246">
        <v>380</v>
      </c>
      <c r="B384" s="247" t="s">
        <v>3375</v>
      </c>
      <c r="C384" s="302" t="str">
        <f>"1304"</f>
        <v>1304</v>
      </c>
      <c r="D384" s="247" t="s">
        <v>18</v>
      </c>
      <c r="E384" s="248">
        <v>120</v>
      </c>
      <c r="F384" s="249">
        <v>37959</v>
      </c>
      <c r="G384" s="249">
        <v>45063</v>
      </c>
      <c r="H384" s="247" t="s">
        <v>22</v>
      </c>
      <c r="I384" s="250" t="s">
        <v>3351</v>
      </c>
    </row>
    <row r="385" spans="1:9">
      <c r="A385" s="246">
        <v>381</v>
      </c>
      <c r="B385" s="247" t="s">
        <v>3375</v>
      </c>
      <c r="C385" s="302" t="str">
        <f>"1305"</f>
        <v>1305</v>
      </c>
      <c r="D385" s="247" t="s">
        <v>18</v>
      </c>
      <c r="E385" s="248">
        <v>26</v>
      </c>
      <c r="F385" s="249">
        <v>37959</v>
      </c>
      <c r="G385" s="249">
        <v>45063</v>
      </c>
      <c r="H385" s="247" t="s">
        <v>22</v>
      </c>
      <c r="I385" s="250" t="s">
        <v>3351</v>
      </c>
    </row>
    <row r="386" spans="1:9">
      <c r="A386" s="246">
        <v>382</v>
      </c>
      <c r="B386" s="247" t="s">
        <v>3375</v>
      </c>
      <c r="C386" s="302" t="str">
        <f>"1306"</f>
        <v>1306</v>
      </c>
      <c r="D386" s="247" t="s">
        <v>18</v>
      </c>
      <c r="E386" s="248">
        <v>45</v>
      </c>
      <c r="F386" s="249">
        <v>37959</v>
      </c>
      <c r="G386" s="249">
        <v>45063</v>
      </c>
      <c r="H386" s="247" t="s">
        <v>22</v>
      </c>
      <c r="I386" s="250" t="s">
        <v>3351</v>
      </c>
    </row>
    <row r="387" spans="1:9">
      <c r="A387" s="246">
        <v>383</v>
      </c>
      <c r="B387" s="247" t="s">
        <v>3375</v>
      </c>
      <c r="C387" s="302" t="str">
        <f>"1307"</f>
        <v>1307</v>
      </c>
      <c r="D387" s="247" t="s">
        <v>18</v>
      </c>
      <c r="E387" s="248">
        <v>354</v>
      </c>
      <c r="F387" s="249">
        <v>37959</v>
      </c>
      <c r="G387" s="249">
        <v>45063</v>
      </c>
      <c r="H387" s="247" t="s">
        <v>22</v>
      </c>
      <c r="I387" s="250" t="s">
        <v>3351</v>
      </c>
    </row>
    <row r="388" spans="1:9">
      <c r="A388" s="246">
        <v>384</v>
      </c>
      <c r="B388" s="247" t="s">
        <v>3375</v>
      </c>
      <c r="C388" s="302" t="str">
        <f>"1308"</f>
        <v>1308</v>
      </c>
      <c r="D388" s="247" t="s">
        <v>18</v>
      </c>
      <c r="E388" s="248">
        <v>96</v>
      </c>
      <c r="F388" s="249">
        <v>37959</v>
      </c>
      <c r="G388" s="249">
        <v>45063</v>
      </c>
      <c r="H388" s="247" t="s">
        <v>22</v>
      </c>
      <c r="I388" s="250" t="s">
        <v>3351</v>
      </c>
    </row>
    <row r="389" spans="1:9">
      <c r="A389" s="246">
        <v>385</v>
      </c>
      <c r="B389" s="247" t="s">
        <v>3375</v>
      </c>
      <c r="C389" s="302" t="str">
        <f>"1309"</f>
        <v>1309</v>
      </c>
      <c r="D389" s="247" t="s">
        <v>18</v>
      </c>
      <c r="E389" s="248">
        <v>137</v>
      </c>
      <c r="F389" s="249">
        <v>37959</v>
      </c>
      <c r="G389" s="249">
        <v>45063</v>
      </c>
      <c r="H389" s="247" t="s">
        <v>22</v>
      </c>
      <c r="I389" s="250" t="s">
        <v>3351</v>
      </c>
    </row>
    <row r="390" spans="1:9">
      <c r="A390" s="246">
        <v>386</v>
      </c>
      <c r="B390" s="247" t="s">
        <v>3375</v>
      </c>
      <c r="C390" s="302" t="str">
        <f>"1310"</f>
        <v>1310</v>
      </c>
      <c r="D390" s="247" t="s">
        <v>18</v>
      </c>
      <c r="E390" s="248">
        <v>135</v>
      </c>
      <c r="F390" s="249">
        <v>37959</v>
      </c>
      <c r="G390" s="249">
        <v>45063</v>
      </c>
      <c r="H390" s="247" t="s">
        <v>22</v>
      </c>
      <c r="I390" s="250" t="s">
        <v>3351</v>
      </c>
    </row>
    <row r="391" spans="1:9">
      <c r="A391" s="246">
        <v>387</v>
      </c>
      <c r="B391" s="247" t="s">
        <v>3375</v>
      </c>
      <c r="C391" s="302" t="str">
        <f>"1311"</f>
        <v>1311</v>
      </c>
      <c r="D391" s="247" t="s">
        <v>18</v>
      </c>
      <c r="E391" s="248">
        <v>271</v>
      </c>
      <c r="F391" s="249">
        <v>37959</v>
      </c>
      <c r="G391" s="249">
        <v>45063</v>
      </c>
      <c r="H391" s="247" t="s">
        <v>22</v>
      </c>
      <c r="I391" s="250" t="s">
        <v>3351</v>
      </c>
    </row>
    <row r="392" spans="1:9">
      <c r="A392" s="246">
        <v>388</v>
      </c>
      <c r="B392" s="247" t="s">
        <v>3375</v>
      </c>
      <c r="C392" s="302" t="str">
        <f>"1312"</f>
        <v>1312</v>
      </c>
      <c r="D392" s="247" t="s">
        <v>18</v>
      </c>
      <c r="E392" s="248">
        <v>386</v>
      </c>
      <c r="F392" s="249">
        <v>37959</v>
      </c>
      <c r="G392" s="249">
        <v>45063</v>
      </c>
      <c r="H392" s="247" t="s">
        <v>22</v>
      </c>
      <c r="I392" s="250" t="s">
        <v>3351</v>
      </c>
    </row>
    <row r="393" spans="1:9">
      <c r="A393" s="246">
        <v>389</v>
      </c>
      <c r="B393" s="247" t="s">
        <v>3375</v>
      </c>
      <c r="C393" s="302" t="str">
        <f>"1313"</f>
        <v>1313</v>
      </c>
      <c r="D393" s="247" t="s">
        <v>18</v>
      </c>
      <c r="E393" s="248">
        <v>141</v>
      </c>
      <c r="F393" s="249">
        <v>37959</v>
      </c>
      <c r="G393" s="249">
        <v>45063</v>
      </c>
      <c r="H393" s="247" t="s">
        <v>22</v>
      </c>
      <c r="I393" s="250" t="s">
        <v>3351</v>
      </c>
    </row>
    <row r="394" spans="1:9">
      <c r="A394" s="246">
        <v>390</v>
      </c>
      <c r="B394" s="247" t="s">
        <v>3375</v>
      </c>
      <c r="C394" s="302" t="str">
        <f>"1314"</f>
        <v>1314</v>
      </c>
      <c r="D394" s="247" t="s">
        <v>18</v>
      </c>
      <c r="E394" s="248">
        <v>61</v>
      </c>
      <c r="F394" s="249">
        <v>37959</v>
      </c>
      <c r="G394" s="249">
        <v>45063</v>
      </c>
      <c r="H394" s="247" t="s">
        <v>22</v>
      </c>
      <c r="I394" s="250" t="s">
        <v>3351</v>
      </c>
    </row>
    <row r="395" spans="1:9">
      <c r="A395" s="246">
        <v>391</v>
      </c>
      <c r="B395" s="247" t="s">
        <v>3384</v>
      </c>
      <c r="C395" s="302" t="str">
        <f>"1318"</f>
        <v>1318</v>
      </c>
      <c r="D395" s="247" t="s">
        <v>30</v>
      </c>
      <c r="E395" s="248">
        <v>3</v>
      </c>
      <c r="F395" s="249">
        <v>40634</v>
      </c>
      <c r="G395" s="249">
        <v>44286</v>
      </c>
      <c r="H395" s="247" t="s">
        <v>26</v>
      </c>
      <c r="I395" s="250" t="s">
        <v>438</v>
      </c>
    </row>
    <row r="396" spans="1:9">
      <c r="A396" s="246">
        <v>392</v>
      </c>
      <c r="B396" s="247" t="s">
        <v>456</v>
      </c>
      <c r="C396" s="302" t="str">
        <f>"1374"</f>
        <v>1374</v>
      </c>
      <c r="D396" s="247" t="s">
        <v>18</v>
      </c>
      <c r="E396" s="248">
        <v>360</v>
      </c>
      <c r="F396" s="249">
        <v>40414</v>
      </c>
      <c r="G396" s="249">
        <v>41192</v>
      </c>
      <c r="H396" s="247" t="s">
        <v>19</v>
      </c>
      <c r="I396" s="250" t="s">
        <v>3351</v>
      </c>
    </row>
    <row r="397" spans="1:9">
      <c r="A397" s="246">
        <v>393</v>
      </c>
      <c r="B397" s="247" t="s">
        <v>456</v>
      </c>
      <c r="C397" s="302" t="str">
        <f>"1375"</f>
        <v>1375</v>
      </c>
      <c r="D397" s="247" t="s">
        <v>18</v>
      </c>
      <c r="E397" s="248">
        <v>460</v>
      </c>
      <c r="F397" s="249">
        <v>39745</v>
      </c>
      <c r="G397" s="249">
        <v>41192</v>
      </c>
      <c r="H397" s="247" t="s">
        <v>19</v>
      </c>
      <c r="I397" s="250" t="s">
        <v>3351</v>
      </c>
    </row>
    <row r="398" spans="1:9">
      <c r="A398" s="246">
        <v>394</v>
      </c>
      <c r="B398" s="247" t="s">
        <v>456</v>
      </c>
      <c r="C398" s="302" t="str">
        <f>"1376"</f>
        <v>1376</v>
      </c>
      <c r="D398" s="247" t="s">
        <v>18</v>
      </c>
      <c r="E398" s="248">
        <v>114</v>
      </c>
      <c r="F398" s="249">
        <v>39684</v>
      </c>
      <c r="G398" s="249">
        <v>44479</v>
      </c>
      <c r="H398" s="247" t="s">
        <v>19</v>
      </c>
      <c r="I398" s="250" t="s">
        <v>3351</v>
      </c>
    </row>
    <row r="399" spans="1:9">
      <c r="A399" s="246">
        <v>395</v>
      </c>
      <c r="B399" s="247" t="s">
        <v>456</v>
      </c>
      <c r="C399" s="302" t="str">
        <f>"1377"</f>
        <v>1377</v>
      </c>
      <c r="D399" s="247" t="s">
        <v>18</v>
      </c>
      <c r="E399" s="248">
        <v>274</v>
      </c>
      <c r="F399" s="249">
        <v>39735</v>
      </c>
      <c r="G399" s="249">
        <v>41192</v>
      </c>
      <c r="H399" s="247" t="s">
        <v>19</v>
      </c>
      <c r="I399" s="250" t="s">
        <v>3351</v>
      </c>
    </row>
    <row r="400" spans="1:9">
      <c r="A400" s="246">
        <v>396</v>
      </c>
      <c r="B400" s="247" t="s">
        <v>456</v>
      </c>
      <c r="C400" s="302" t="str">
        <f>"1378"</f>
        <v>1378</v>
      </c>
      <c r="D400" s="247" t="s">
        <v>18</v>
      </c>
      <c r="E400" s="248">
        <v>460</v>
      </c>
      <c r="F400" s="249">
        <v>39684</v>
      </c>
      <c r="G400" s="249">
        <v>41192</v>
      </c>
      <c r="H400" s="247" t="s">
        <v>19</v>
      </c>
      <c r="I400" s="250" t="s">
        <v>3351</v>
      </c>
    </row>
    <row r="401" spans="1:9">
      <c r="A401" s="246">
        <v>397</v>
      </c>
      <c r="B401" s="247" t="s">
        <v>456</v>
      </c>
      <c r="C401" s="302" t="str">
        <f>"1379"</f>
        <v>1379</v>
      </c>
      <c r="D401" s="247" t="s">
        <v>18</v>
      </c>
      <c r="E401" s="248">
        <v>202</v>
      </c>
      <c r="F401" s="249">
        <v>39745</v>
      </c>
      <c r="G401" s="249">
        <v>41192</v>
      </c>
      <c r="H401" s="247" t="s">
        <v>19</v>
      </c>
      <c r="I401" s="250" t="s">
        <v>3351</v>
      </c>
    </row>
    <row r="402" spans="1:9">
      <c r="A402" s="246">
        <v>398</v>
      </c>
      <c r="B402" s="247" t="s">
        <v>456</v>
      </c>
      <c r="C402" s="302" t="str">
        <f>"1380"</f>
        <v>1380</v>
      </c>
      <c r="D402" s="247" t="s">
        <v>18</v>
      </c>
      <c r="E402" s="248">
        <v>160</v>
      </c>
      <c r="F402" s="249">
        <v>39745</v>
      </c>
      <c r="G402" s="249">
        <v>41192</v>
      </c>
      <c r="H402" s="247" t="s">
        <v>19</v>
      </c>
      <c r="I402" s="250" t="s">
        <v>3351</v>
      </c>
    </row>
    <row r="403" spans="1:9">
      <c r="A403" s="246">
        <v>399</v>
      </c>
      <c r="B403" s="247" t="s">
        <v>456</v>
      </c>
      <c r="C403" s="302" t="str">
        <f>"1381"</f>
        <v>1381</v>
      </c>
      <c r="D403" s="247" t="s">
        <v>18</v>
      </c>
      <c r="E403" s="248">
        <v>211</v>
      </c>
      <c r="F403" s="249">
        <v>39745</v>
      </c>
      <c r="G403" s="249">
        <v>41192</v>
      </c>
      <c r="H403" s="247" t="s">
        <v>19</v>
      </c>
      <c r="I403" s="250" t="s">
        <v>3351</v>
      </c>
    </row>
    <row r="404" spans="1:9">
      <c r="A404" s="246">
        <v>400</v>
      </c>
      <c r="B404" s="247" t="s">
        <v>456</v>
      </c>
      <c r="C404" s="302" t="str">
        <f>"1382"</f>
        <v>1382</v>
      </c>
      <c r="D404" s="247" t="s">
        <v>18</v>
      </c>
      <c r="E404" s="248">
        <v>318</v>
      </c>
      <c r="F404" s="249">
        <v>39745</v>
      </c>
      <c r="G404" s="249">
        <v>41192</v>
      </c>
      <c r="H404" s="247" t="s">
        <v>19</v>
      </c>
      <c r="I404" s="250" t="s">
        <v>3351</v>
      </c>
    </row>
    <row r="405" spans="1:9">
      <c r="A405" s="246">
        <v>401</v>
      </c>
      <c r="B405" s="247" t="s">
        <v>456</v>
      </c>
      <c r="C405" s="302" t="str">
        <f>"1383"</f>
        <v>1383</v>
      </c>
      <c r="D405" s="247" t="s">
        <v>18</v>
      </c>
      <c r="E405" s="248">
        <v>460</v>
      </c>
      <c r="F405" s="249">
        <v>39745</v>
      </c>
      <c r="G405" s="249">
        <v>41192</v>
      </c>
      <c r="H405" s="247" t="s">
        <v>19</v>
      </c>
      <c r="I405" s="250" t="s">
        <v>3351</v>
      </c>
    </row>
    <row r="406" spans="1:9">
      <c r="A406" s="246">
        <v>402</v>
      </c>
      <c r="B406" s="247" t="s">
        <v>456</v>
      </c>
      <c r="C406" s="302" t="str">
        <f>"1384"</f>
        <v>1384</v>
      </c>
      <c r="D406" s="247" t="s">
        <v>18</v>
      </c>
      <c r="E406" s="248">
        <v>460</v>
      </c>
      <c r="F406" s="249">
        <v>39745</v>
      </c>
      <c r="G406" s="249">
        <v>41192</v>
      </c>
      <c r="H406" s="247" t="s">
        <v>19</v>
      </c>
      <c r="I406" s="250" t="s">
        <v>3351</v>
      </c>
    </row>
    <row r="407" spans="1:9">
      <c r="A407" s="246">
        <v>403</v>
      </c>
      <c r="B407" s="247" t="s">
        <v>456</v>
      </c>
      <c r="C407" s="302" t="str">
        <f>"1385"</f>
        <v>1385</v>
      </c>
      <c r="D407" s="247" t="s">
        <v>18</v>
      </c>
      <c r="E407" s="248">
        <v>220</v>
      </c>
      <c r="F407" s="249">
        <v>39745</v>
      </c>
      <c r="G407" s="249">
        <v>41192</v>
      </c>
      <c r="H407" s="247" t="s">
        <v>19</v>
      </c>
      <c r="I407" s="250" t="s">
        <v>3351</v>
      </c>
    </row>
    <row r="408" spans="1:9">
      <c r="A408" s="246">
        <v>404</v>
      </c>
      <c r="B408" s="247" t="s">
        <v>456</v>
      </c>
      <c r="C408" s="302" t="str">
        <f>"1386"</f>
        <v>1386</v>
      </c>
      <c r="D408" s="247" t="s">
        <v>18</v>
      </c>
      <c r="E408" s="248">
        <v>460</v>
      </c>
      <c r="F408" s="249">
        <v>39745</v>
      </c>
      <c r="G408" s="249">
        <v>41192</v>
      </c>
      <c r="H408" s="247" t="s">
        <v>19</v>
      </c>
      <c r="I408" s="250" t="s">
        <v>3351</v>
      </c>
    </row>
    <row r="409" spans="1:9">
      <c r="A409" s="246">
        <v>405</v>
      </c>
      <c r="B409" s="247" t="s">
        <v>456</v>
      </c>
      <c r="C409" s="302" t="str">
        <f>"1387"</f>
        <v>1387</v>
      </c>
      <c r="D409" s="247" t="s">
        <v>18</v>
      </c>
      <c r="E409" s="248">
        <v>160</v>
      </c>
      <c r="F409" s="249">
        <v>39745</v>
      </c>
      <c r="G409" s="249">
        <v>41192</v>
      </c>
      <c r="H409" s="247" t="s">
        <v>19</v>
      </c>
      <c r="I409" s="250" t="s">
        <v>3351</v>
      </c>
    </row>
    <row r="410" spans="1:9">
      <c r="A410" s="246">
        <v>406</v>
      </c>
      <c r="B410" s="247" t="s">
        <v>456</v>
      </c>
      <c r="C410" s="302" t="str">
        <f>"1388"</f>
        <v>1388</v>
      </c>
      <c r="D410" s="247" t="s">
        <v>18</v>
      </c>
      <c r="E410" s="248">
        <v>416</v>
      </c>
      <c r="F410" s="249">
        <v>39745</v>
      </c>
      <c r="G410" s="249">
        <v>41192</v>
      </c>
      <c r="H410" s="247" t="s">
        <v>19</v>
      </c>
      <c r="I410" s="250" t="s">
        <v>3351</v>
      </c>
    </row>
    <row r="411" spans="1:9">
      <c r="A411" s="246">
        <v>407</v>
      </c>
      <c r="B411" s="247" t="s">
        <v>456</v>
      </c>
      <c r="C411" s="302" t="str">
        <f>"1389"</f>
        <v>1389</v>
      </c>
      <c r="D411" s="247" t="s">
        <v>18</v>
      </c>
      <c r="E411" s="248">
        <v>230</v>
      </c>
      <c r="F411" s="249">
        <v>39745</v>
      </c>
      <c r="G411" s="249">
        <v>41192</v>
      </c>
      <c r="H411" s="247" t="s">
        <v>19</v>
      </c>
      <c r="I411" s="250" t="s">
        <v>3351</v>
      </c>
    </row>
    <row r="412" spans="1:9">
      <c r="A412" s="246">
        <v>408</v>
      </c>
      <c r="B412" s="247" t="s">
        <v>456</v>
      </c>
      <c r="C412" s="302" t="str">
        <f>"1390"</f>
        <v>1390</v>
      </c>
      <c r="D412" s="247" t="s">
        <v>18</v>
      </c>
      <c r="E412" s="248">
        <v>225</v>
      </c>
      <c r="F412" s="249">
        <v>39745</v>
      </c>
      <c r="G412" s="249">
        <v>41192</v>
      </c>
      <c r="H412" s="247" t="s">
        <v>19</v>
      </c>
      <c r="I412" s="250" t="s">
        <v>3351</v>
      </c>
    </row>
    <row r="413" spans="1:9">
      <c r="A413" s="246">
        <v>409</v>
      </c>
      <c r="B413" s="247" t="s">
        <v>456</v>
      </c>
      <c r="C413" s="302" t="str">
        <f>"1391"</f>
        <v>1391</v>
      </c>
      <c r="D413" s="247" t="s">
        <v>18</v>
      </c>
      <c r="E413" s="248">
        <v>189</v>
      </c>
      <c r="F413" s="249">
        <v>39745</v>
      </c>
      <c r="G413" s="249">
        <v>41192</v>
      </c>
      <c r="H413" s="247" t="s">
        <v>19</v>
      </c>
      <c r="I413" s="250" t="s">
        <v>3351</v>
      </c>
    </row>
    <row r="414" spans="1:9">
      <c r="A414" s="246">
        <v>410</v>
      </c>
      <c r="B414" s="247" t="s">
        <v>456</v>
      </c>
      <c r="C414" s="302" t="str">
        <f>"1392"</f>
        <v>1392</v>
      </c>
      <c r="D414" s="247" t="s">
        <v>18</v>
      </c>
      <c r="E414" s="248">
        <v>139</v>
      </c>
      <c r="F414" s="249">
        <v>39745</v>
      </c>
      <c r="G414" s="249">
        <v>41192</v>
      </c>
      <c r="H414" s="247" t="s">
        <v>19</v>
      </c>
      <c r="I414" s="250" t="s">
        <v>3351</v>
      </c>
    </row>
    <row r="415" spans="1:9">
      <c r="A415" s="246">
        <v>411</v>
      </c>
      <c r="B415" s="247" t="s">
        <v>456</v>
      </c>
      <c r="C415" s="302" t="str">
        <f>"1393"</f>
        <v>1393</v>
      </c>
      <c r="D415" s="247" t="s">
        <v>18</v>
      </c>
      <c r="E415" s="248">
        <v>460</v>
      </c>
      <c r="F415" s="249">
        <v>39745</v>
      </c>
      <c r="G415" s="249">
        <v>41192</v>
      </c>
      <c r="H415" s="247" t="s">
        <v>19</v>
      </c>
      <c r="I415" s="250" t="s">
        <v>3351</v>
      </c>
    </row>
    <row r="416" spans="1:9">
      <c r="A416" s="246">
        <v>412</v>
      </c>
      <c r="B416" s="247" t="s">
        <v>456</v>
      </c>
      <c r="C416" s="302" t="str">
        <f>"1394"</f>
        <v>1394</v>
      </c>
      <c r="D416" s="247" t="s">
        <v>18</v>
      </c>
      <c r="E416" s="248">
        <v>460</v>
      </c>
      <c r="F416" s="249">
        <v>39745</v>
      </c>
      <c r="G416" s="249">
        <v>41192</v>
      </c>
      <c r="H416" s="247" t="s">
        <v>19</v>
      </c>
      <c r="I416" s="250" t="s">
        <v>3351</v>
      </c>
    </row>
    <row r="417" spans="1:9">
      <c r="A417" s="246">
        <v>413</v>
      </c>
      <c r="B417" s="247" t="s">
        <v>456</v>
      </c>
      <c r="C417" s="302" t="str">
        <f>"1395"</f>
        <v>1395</v>
      </c>
      <c r="D417" s="247" t="s">
        <v>18</v>
      </c>
      <c r="E417" s="248">
        <v>227</v>
      </c>
      <c r="F417" s="249">
        <v>39745</v>
      </c>
      <c r="G417" s="249">
        <v>41192</v>
      </c>
      <c r="H417" s="247" t="s">
        <v>19</v>
      </c>
      <c r="I417" s="250" t="s">
        <v>3351</v>
      </c>
    </row>
    <row r="418" spans="1:9">
      <c r="A418" s="246">
        <v>414</v>
      </c>
      <c r="B418" s="247" t="s">
        <v>456</v>
      </c>
      <c r="C418" s="302" t="str">
        <f>"1396"</f>
        <v>1396</v>
      </c>
      <c r="D418" s="247" t="s">
        <v>18</v>
      </c>
      <c r="E418" s="248">
        <v>209</v>
      </c>
      <c r="F418" s="249">
        <v>39745</v>
      </c>
      <c r="G418" s="249">
        <v>41192</v>
      </c>
      <c r="H418" s="247" t="s">
        <v>19</v>
      </c>
      <c r="I418" s="250" t="s">
        <v>3351</v>
      </c>
    </row>
    <row r="419" spans="1:9">
      <c r="A419" s="246">
        <v>415</v>
      </c>
      <c r="B419" s="247" t="s">
        <v>456</v>
      </c>
      <c r="C419" s="302" t="str">
        <f>"1397"</f>
        <v>1397</v>
      </c>
      <c r="D419" s="247" t="s">
        <v>18</v>
      </c>
      <c r="E419" s="248">
        <v>165</v>
      </c>
      <c r="F419" s="249">
        <v>39745</v>
      </c>
      <c r="G419" s="249">
        <v>41192</v>
      </c>
      <c r="H419" s="247" t="s">
        <v>19</v>
      </c>
      <c r="I419" s="250" t="s">
        <v>3351</v>
      </c>
    </row>
    <row r="420" spans="1:9">
      <c r="A420" s="246">
        <v>416</v>
      </c>
      <c r="B420" s="247" t="s">
        <v>456</v>
      </c>
      <c r="C420" s="302" t="str">
        <f>"1398"</f>
        <v>1398</v>
      </c>
      <c r="D420" s="247" t="s">
        <v>18</v>
      </c>
      <c r="E420" s="248">
        <v>331</v>
      </c>
      <c r="F420" s="249">
        <v>39745</v>
      </c>
      <c r="G420" s="249">
        <v>41192</v>
      </c>
      <c r="H420" s="247" t="s">
        <v>19</v>
      </c>
      <c r="I420" s="250" t="s">
        <v>3351</v>
      </c>
    </row>
    <row r="421" spans="1:9">
      <c r="A421" s="246">
        <v>417</v>
      </c>
      <c r="B421" s="247" t="s">
        <v>456</v>
      </c>
      <c r="C421" s="302" t="str">
        <f>"1399"</f>
        <v>1399</v>
      </c>
      <c r="D421" s="247" t="s">
        <v>18</v>
      </c>
      <c r="E421" s="248">
        <v>460</v>
      </c>
      <c r="F421" s="249">
        <v>39745</v>
      </c>
      <c r="G421" s="249">
        <v>41192</v>
      </c>
      <c r="H421" s="247" t="s">
        <v>19</v>
      </c>
      <c r="I421" s="250" t="s">
        <v>3351</v>
      </c>
    </row>
    <row r="422" spans="1:9">
      <c r="A422" s="246">
        <v>418</v>
      </c>
      <c r="B422" s="247" t="s">
        <v>456</v>
      </c>
      <c r="C422" s="302" t="str">
        <f>"1400"</f>
        <v>1400</v>
      </c>
      <c r="D422" s="247" t="s">
        <v>18</v>
      </c>
      <c r="E422" s="248">
        <v>460</v>
      </c>
      <c r="F422" s="249">
        <v>39745</v>
      </c>
      <c r="G422" s="249">
        <v>41192</v>
      </c>
      <c r="H422" s="247" t="s">
        <v>19</v>
      </c>
      <c r="I422" s="250" t="s">
        <v>3351</v>
      </c>
    </row>
    <row r="423" spans="1:9">
      <c r="A423" s="246">
        <v>419</v>
      </c>
      <c r="B423" s="247" t="s">
        <v>456</v>
      </c>
      <c r="C423" s="302" t="str">
        <f>"1401"</f>
        <v>1401</v>
      </c>
      <c r="D423" s="247" t="s">
        <v>18</v>
      </c>
      <c r="E423" s="248">
        <v>460</v>
      </c>
      <c r="F423" s="249">
        <v>39745</v>
      </c>
      <c r="G423" s="249">
        <v>41192</v>
      </c>
      <c r="H423" s="247" t="s">
        <v>19</v>
      </c>
      <c r="I423" s="250" t="s">
        <v>3351</v>
      </c>
    </row>
    <row r="424" spans="1:9">
      <c r="A424" s="246">
        <v>420</v>
      </c>
      <c r="B424" s="247" t="s">
        <v>456</v>
      </c>
      <c r="C424" s="302" t="str">
        <f>"1402"</f>
        <v>1402</v>
      </c>
      <c r="D424" s="247" t="s">
        <v>18</v>
      </c>
      <c r="E424" s="248">
        <v>181</v>
      </c>
      <c r="F424" s="249">
        <v>39745</v>
      </c>
      <c r="G424" s="249">
        <v>41192</v>
      </c>
      <c r="H424" s="247" t="s">
        <v>19</v>
      </c>
      <c r="I424" s="250" t="s">
        <v>3351</v>
      </c>
    </row>
    <row r="425" spans="1:9">
      <c r="A425" s="246">
        <v>421</v>
      </c>
      <c r="B425" s="247" t="s">
        <v>456</v>
      </c>
      <c r="C425" s="302" t="str">
        <f>"1403"</f>
        <v>1403</v>
      </c>
      <c r="D425" s="247" t="s">
        <v>18</v>
      </c>
      <c r="E425" s="248">
        <v>460</v>
      </c>
      <c r="F425" s="249">
        <v>39745</v>
      </c>
      <c r="G425" s="249">
        <v>41192</v>
      </c>
      <c r="H425" s="247" t="s">
        <v>19</v>
      </c>
      <c r="I425" s="250" t="s">
        <v>3351</v>
      </c>
    </row>
    <row r="426" spans="1:9">
      <c r="A426" s="246">
        <v>422</v>
      </c>
      <c r="B426" s="247" t="s">
        <v>456</v>
      </c>
      <c r="C426" s="302" t="str">
        <f>"1404"</f>
        <v>1404</v>
      </c>
      <c r="D426" s="247" t="s">
        <v>18</v>
      </c>
      <c r="E426" s="248">
        <v>460</v>
      </c>
      <c r="F426" s="249">
        <v>39745</v>
      </c>
      <c r="G426" s="249">
        <v>41192</v>
      </c>
      <c r="H426" s="247" t="s">
        <v>19</v>
      </c>
      <c r="I426" s="250" t="s">
        <v>3351</v>
      </c>
    </row>
    <row r="427" spans="1:9">
      <c r="A427" s="246">
        <v>423</v>
      </c>
      <c r="B427" s="247" t="s">
        <v>456</v>
      </c>
      <c r="C427" s="302" t="str">
        <f>"1405"</f>
        <v>1405</v>
      </c>
      <c r="D427" s="247" t="s">
        <v>18</v>
      </c>
      <c r="E427" s="248">
        <v>385</v>
      </c>
      <c r="F427" s="249">
        <v>39745</v>
      </c>
      <c r="G427" s="249">
        <v>41192</v>
      </c>
      <c r="H427" s="247" t="s">
        <v>19</v>
      </c>
      <c r="I427" s="250" t="s">
        <v>3351</v>
      </c>
    </row>
    <row r="428" spans="1:9">
      <c r="A428" s="246">
        <v>424</v>
      </c>
      <c r="B428" s="247" t="s">
        <v>456</v>
      </c>
      <c r="C428" s="302" t="str">
        <f>"1406"</f>
        <v>1406</v>
      </c>
      <c r="D428" s="247" t="s">
        <v>18</v>
      </c>
      <c r="E428" s="248">
        <v>122</v>
      </c>
      <c r="F428" s="249">
        <v>39745</v>
      </c>
      <c r="G428" s="249">
        <v>41192</v>
      </c>
      <c r="H428" s="247" t="s">
        <v>19</v>
      </c>
      <c r="I428" s="250" t="s">
        <v>3351</v>
      </c>
    </row>
    <row r="429" spans="1:9">
      <c r="A429" s="246">
        <v>425</v>
      </c>
      <c r="B429" s="247" t="s">
        <v>3376</v>
      </c>
      <c r="C429" s="302" t="str">
        <f>"1409"</f>
        <v>1409</v>
      </c>
      <c r="D429" s="247" t="s">
        <v>18</v>
      </c>
      <c r="E429" s="248">
        <v>192</v>
      </c>
      <c r="F429" s="249">
        <v>39380</v>
      </c>
      <c r="G429" s="249">
        <v>42301</v>
      </c>
      <c r="H429" s="247" t="s">
        <v>94</v>
      </c>
      <c r="I429" s="250" t="s">
        <v>438</v>
      </c>
    </row>
    <row r="430" spans="1:9">
      <c r="A430" s="246">
        <v>426</v>
      </c>
      <c r="B430" s="247" t="s">
        <v>15</v>
      </c>
      <c r="C430" s="302" t="str">
        <f>"1411"</f>
        <v>1411</v>
      </c>
      <c r="D430" s="247" t="s">
        <v>13</v>
      </c>
      <c r="E430" s="248">
        <v>63</v>
      </c>
      <c r="F430" s="249">
        <v>39982</v>
      </c>
      <c r="G430" s="249">
        <v>50938</v>
      </c>
      <c r="H430" s="247" t="s">
        <v>14</v>
      </c>
      <c r="I430" s="250" t="s">
        <v>79</v>
      </c>
    </row>
    <row r="431" spans="1:9">
      <c r="A431" s="246">
        <v>427</v>
      </c>
      <c r="B431" s="247" t="s">
        <v>15</v>
      </c>
      <c r="C431" s="302" t="str">
        <f>"1427"</f>
        <v>1427</v>
      </c>
      <c r="D431" s="247" t="s">
        <v>13</v>
      </c>
      <c r="E431" s="248">
        <v>94</v>
      </c>
      <c r="F431" s="249">
        <v>42949</v>
      </c>
      <c r="G431" s="249">
        <v>53905</v>
      </c>
      <c r="H431" s="247" t="s">
        <v>16</v>
      </c>
      <c r="I431" s="250" t="s">
        <v>3385</v>
      </c>
    </row>
    <row r="432" spans="1:9">
      <c r="A432" s="246">
        <v>428</v>
      </c>
      <c r="B432" s="247" t="s">
        <v>15</v>
      </c>
      <c r="C432" s="302" t="str">
        <f>"1429"</f>
        <v>1429</v>
      </c>
      <c r="D432" s="247" t="s">
        <v>18</v>
      </c>
      <c r="E432" s="248">
        <v>117</v>
      </c>
      <c r="F432" s="249">
        <v>41561</v>
      </c>
      <c r="G432" s="249">
        <v>43386</v>
      </c>
      <c r="H432" s="247" t="s">
        <v>16</v>
      </c>
      <c r="I432" s="250" t="s">
        <v>3386</v>
      </c>
    </row>
    <row r="433" spans="1:9">
      <c r="A433" s="246">
        <v>429</v>
      </c>
      <c r="B433" s="247" t="s">
        <v>15</v>
      </c>
      <c r="C433" s="302" t="str">
        <f>"1430"</f>
        <v>1430</v>
      </c>
      <c r="D433" s="247" t="s">
        <v>13</v>
      </c>
      <c r="E433" s="248">
        <v>17</v>
      </c>
      <c r="F433" s="249">
        <v>40059</v>
      </c>
      <c r="G433" s="249">
        <v>51015</v>
      </c>
      <c r="H433" s="247" t="s">
        <v>16</v>
      </c>
      <c r="I433" s="250" t="s">
        <v>79</v>
      </c>
    </row>
    <row r="434" spans="1:9">
      <c r="A434" s="246">
        <v>430</v>
      </c>
      <c r="B434" s="247" t="s">
        <v>15</v>
      </c>
      <c r="C434" s="302" t="str">
        <f>"1431"</f>
        <v>1431</v>
      </c>
      <c r="D434" s="247" t="s">
        <v>13</v>
      </c>
      <c r="E434" s="248">
        <v>12</v>
      </c>
      <c r="F434" s="249">
        <v>40801</v>
      </c>
      <c r="G434" s="249">
        <v>51758</v>
      </c>
      <c r="H434" s="247" t="s">
        <v>16</v>
      </c>
      <c r="I434" s="250" t="s">
        <v>79</v>
      </c>
    </row>
    <row r="435" spans="1:9">
      <c r="A435" s="246">
        <v>431</v>
      </c>
      <c r="B435" s="247" t="s">
        <v>15</v>
      </c>
      <c r="C435" s="302" t="str">
        <f>"1432"</f>
        <v>1432</v>
      </c>
      <c r="D435" s="247" t="s">
        <v>13</v>
      </c>
      <c r="E435" s="248">
        <v>15</v>
      </c>
      <c r="F435" s="249">
        <v>41999</v>
      </c>
      <c r="G435" s="249">
        <v>52956</v>
      </c>
      <c r="H435" s="247" t="s">
        <v>16</v>
      </c>
      <c r="I435" s="250" t="s">
        <v>79</v>
      </c>
    </row>
    <row r="436" spans="1:9">
      <c r="A436" s="246">
        <v>432</v>
      </c>
      <c r="B436" s="247" t="s">
        <v>15</v>
      </c>
      <c r="C436" s="302" t="str">
        <f>"1434"</f>
        <v>1434</v>
      </c>
      <c r="D436" s="247" t="s">
        <v>13</v>
      </c>
      <c r="E436" s="248">
        <v>5</v>
      </c>
      <c r="F436" s="249">
        <v>40801</v>
      </c>
      <c r="G436" s="249">
        <v>51758</v>
      </c>
      <c r="H436" s="247" t="s">
        <v>16</v>
      </c>
      <c r="I436" s="250" t="s">
        <v>79</v>
      </c>
    </row>
    <row r="437" spans="1:9">
      <c r="A437" s="246">
        <v>433</v>
      </c>
      <c r="B437" s="247" t="s">
        <v>15</v>
      </c>
      <c r="C437" s="302" t="str">
        <f>"1435"</f>
        <v>1435</v>
      </c>
      <c r="D437" s="247" t="s">
        <v>13</v>
      </c>
      <c r="E437" s="248">
        <v>135</v>
      </c>
      <c r="F437" s="249">
        <v>39405</v>
      </c>
      <c r="G437" s="249">
        <v>50362</v>
      </c>
      <c r="H437" s="247" t="s">
        <v>16</v>
      </c>
      <c r="I437" s="250" t="s">
        <v>79</v>
      </c>
    </row>
    <row r="438" spans="1:9">
      <c r="A438" s="246">
        <v>434</v>
      </c>
      <c r="B438" s="247" t="s">
        <v>15</v>
      </c>
      <c r="C438" s="302" t="str">
        <f>"1438"</f>
        <v>1438</v>
      </c>
      <c r="D438" s="247" t="s">
        <v>18</v>
      </c>
      <c r="E438" s="248">
        <v>40</v>
      </c>
      <c r="F438" s="249">
        <v>41570</v>
      </c>
      <c r="G438" s="249">
        <v>43395</v>
      </c>
      <c r="H438" s="247" t="s">
        <v>14</v>
      </c>
      <c r="I438" s="250" t="s">
        <v>448</v>
      </c>
    </row>
    <row r="439" spans="1:9">
      <c r="A439" s="246">
        <v>435</v>
      </c>
      <c r="B439" s="247" t="s">
        <v>15</v>
      </c>
      <c r="C439" s="302" t="str">
        <f>"1440"</f>
        <v>1440</v>
      </c>
      <c r="D439" s="247" t="s">
        <v>18</v>
      </c>
      <c r="E439" s="248">
        <v>10</v>
      </c>
      <c r="F439" s="249">
        <v>41561</v>
      </c>
      <c r="G439" s="249">
        <v>43386</v>
      </c>
      <c r="H439" s="247" t="s">
        <v>14</v>
      </c>
      <c r="I439" s="250" t="s">
        <v>448</v>
      </c>
    </row>
    <row r="440" spans="1:9">
      <c r="A440" s="246">
        <v>436</v>
      </c>
      <c r="B440" s="247" t="s">
        <v>15</v>
      </c>
      <c r="C440" s="302" t="str">
        <f>"1444"</f>
        <v>1444</v>
      </c>
      <c r="D440" s="247" t="s">
        <v>18</v>
      </c>
      <c r="E440" s="248">
        <v>32</v>
      </c>
      <c r="F440" s="249">
        <v>41561</v>
      </c>
      <c r="G440" s="249">
        <v>43386</v>
      </c>
      <c r="H440" s="247" t="s">
        <v>14</v>
      </c>
      <c r="I440" s="250" t="s">
        <v>448</v>
      </c>
    </row>
    <row r="441" spans="1:9">
      <c r="A441" s="246">
        <v>437</v>
      </c>
      <c r="B441" s="247" t="s">
        <v>396</v>
      </c>
      <c r="C441" s="302" t="str">
        <f>"1446"</f>
        <v>1446</v>
      </c>
      <c r="D441" s="247" t="s">
        <v>18</v>
      </c>
      <c r="E441" s="248">
        <v>7</v>
      </c>
      <c r="F441" s="249">
        <v>38106</v>
      </c>
      <c r="G441" s="249">
        <v>39566</v>
      </c>
      <c r="H441" s="247" t="s">
        <v>26</v>
      </c>
      <c r="I441" s="250" t="s">
        <v>448</v>
      </c>
    </row>
    <row r="442" spans="1:9">
      <c r="A442" s="246">
        <v>438</v>
      </c>
      <c r="B442" s="247" t="s">
        <v>113</v>
      </c>
      <c r="C442" s="302" t="str">
        <f>"1447"</f>
        <v>1447</v>
      </c>
      <c r="D442" s="247" t="s">
        <v>13</v>
      </c>
      <c r="E442" s="248">
        <v>32</v>
      </c>
      <c r="F442" s="249">
        <v>40124</v>
      </c>
      <c r="G442" s="249">
        <v>51080</v>
      </c>
      <c r="H442" s="247" t="s">
        <v>16</v>
      </c>
      <c r="I442" s="250" t="s">
        <v>79</v>
      </c>
    </row>
    <row r="443" spans="1:9">
      <c r="A443" s="246">
        <v>439</v>
      </c>
      <c r="B443" s="247" t="s">
        <v>93</v>
      </c>
      <c r="C443" s="302" t="str">
        <f>"1484"</f>
        <v>1484</v>
      </c>
      <c r="D443" s="247" t="s">
        <v>30</v>
      </c>
      <c r="E443" s="248">
        <v>4</v>
      </c>
      <c r="F443" s="249">
        <v>40256</v>
      </c>
      <c r="G443" s="249">
        <v>44637</v>
      </c>
      <c r="H443" s="247" t="s">
        <v>26</v>
      </c>
      <c r="I443" s="250" t="s">
        <v>3342</v>
      </c>
    </row>
    <row r="444" spans="1:9">
      <c r="A444" s="246">
        <v>440</v>
      </c>
      <c r="B444" s="247" t="s">
        <v>93</v>
      </c>
      <c r="C444" s="302" t="str">
        <f>"1496"</f>
        <v>1496</v>
      </c>
      <c r="D444" s="247" t="s">
        <v>13</v>
      </c>
      <c r="E444" s="248">
        <v>1</v>
      </c>
      <c r="F444" s="249">
        <v>42411</v>
      </c>
      <c r="G444" s="249">
        <v>54097</v>
      </c>
      <c r="H444" s="247" t="s">
        <v>26</v>
      </c>
      <c r="I444" s="250" t="s">
        <v>79</v>
      </c>
    </row>
    <row r="445" spans="1:9">
      <c r="A445" s="246">
        <v>441</v>
      </c>
      <c r="B445" s="247" t="s">
        <v>457</v>
      </c>
      <c r="C445" s="302" t="str">
        <f>"1497"</f>
        <v>1497</v>
      </c>
      <c r="D445" s="247" t="s">
        <v>30</v>
      </c>
      <c r="E445" s="248">
        <v>9</v>
      </c>
      <c r="F445" s="249">
        <v>40086</v>
      </c>
      <c r="G445" s="249">
        <v>41911</v>
      </c>
      <c r="H445" s="247" t="s">
        <v>26</v>
      </c>
      <c r="I445" s="250" t="s">
        <v>438</v>
      </c>
    </row>
    <row r="446" spans="1:9">
      <c r="A446" s="246">
        <v>442</v>
      </c>
      <c r="B446" s="247" t="s">
        <v>93</v>
      </c>
      <c r="C446" s="302" t="str">
        <f>"1499"</f>
        <v>1499</v>
      </c>
      <c r="D446" s="247" t="s">
        <v>30</v>
      </c>
      <c r="E446" s="248">
        <v>1</v>
      </c>
      <c r="F446" s="249">
        <v>40256</v>
      </c>
      <c r="G446" s="249">
        <v>44627</v>
      </c>
      <c r="H446" s="247" t="s">
        <v>26</v>
      </c>
      <c r="I446" s="250" t="s">
        <v>3342</v>
      </c>
    </row>
    <row r="447" spans="1:9">
      <c r="A447" s="246">
        <v>443</v>
      </c>
      <c r="B447" s="247" t="s">
        <v>457</v>
      </c>
      <c r="C447" s="302" t="str">
        <f>"1500"</f>
        <v>1500</v>
      </c>
      <c r="D447" s="247" t="s">
        <v>30</v>
      </c>
      <c r="E447" s="248">
        <v>7</v>
      </c>
      <c r="F447" s="249">
        <v>40256</v>
      </c>
      <c r="G447" s="249">
        <v>43908</v>
      </c>
      <c r="H447" s="247" t="s">
        <v>26</v>
      </c>
      <c r="I447" s="250" t="s">
        <v>438</v>
      </c>
    </row>
    <row r="448" spans="1:9">
      <c r="A448" s="246">
        <v>444</v>
      </c>
      <c r="B448" s="247" t="s">
        <v>15</v>
      </c>
      <c r="C448" s="302" t="str">
        <f>"1524"</f>
        <v>1524</v>
      </c>
      <c r="D448" s="247" t="s">
        <v>13</v>
      </c>
      <c r="E448" s="248">
        <v>38</v>
      </c>
      <c r="F448" s="249">
        <v>41999</v>
      </c>
      <c r="G448" s="249">
        <v>52956</v>
      </c>
      <c r="H448" s="247" t="s">
        <v>16</v>
      </c>
      <c r="I448" s="250" t="s">
        <v>79</v>
      </c>
    </row>
    <row r="449" spans="1:9">
      <c r="A449" s="246">
        <v>445</v>
      </c>
      <c r="B449" s="247" t="s">
        <v>15</v>
      </c>
      <c r="C449" s="302" t="str">
        <f>"1526"</f>
        <v>1526</v>
      </c>
      <c r="D449" s="247" t="s">
        <v>13</v>
      </c>
      <c r="E449" s="248">
        <v>12</v>
      </c>
      <c r="F449" s="249">
        <v>38969</v>
      </c>
      <c r="G449" s="249">
        <v>49926</v>
      </c>
      <c r="H449" s="247" t="s">
        <v>16</v>
      </c>
      <c r="I449" s="250" t="s">
        <v>79</v>
      </c>
    </row>
    <row r="450" spans="1:9">
      <c r="A450" s="246">
        <v>446</v>
      </c>
      <c r="B450" s="247" t="s">
        <v>15</v>
      </c>
      <c r="C450" s="302" t="str">
        <f>"1538"</f>
        <v>1538</v>
      </c>
      <c r="D450" s="247" t="s">
        <v>13</v>
      </c>
      <c r="E450" s="248">
        <v>17</v>
      </c>
      <c r="F450" s="249">
        <v>39839</v>
      </c>
      <c r="G450" s="249">
        <v>50795</v>
      </c>
      <c r="H450" s="247" t="s">
        <v>14</v>
      </c>
      <c r="I450" s="250" t="s">
        <v>79</v>
      </c>
    </row>
    <row r="451" spans="1:9">
      <c r="A451" s="246">
        <v>447</v>
      </c>
      <c r="B451" s="247" t="s">
        <v>3387</v>
      </c>
      <c r="C451" s="302" t="str">
        <f>"1551"</f>
        <v>1551</v>
      </c>
      <c r="D451" s="247" t="s">
        <v>18</v>
      </c>
      <c r="E451" s="248">
        <v>39</v>
      </c>
      <c r="F451" s="249">
        <v>39118</v>
      </c>
      <c r="G451" s="249">
        <v>44231</v>
      </c>
      <c r="H451" s="247" t="s">
        <v>84</v>
      </c>
      <c r="I451" s="250" t="s">
        <v>3351</v>
      </c>
    </row>
    <row r="452" spans="1:9">
      <c r="A452" s="246">
        <v>448</v>
      </c>
      <c r="B452" s="247" t="s">
        <v>3387</v>
      </c>
      <c r="C452" s="302" t="str">
        <f>"1557"</f>
        <v>1557</v>
      </c>
      <c r="D452" s="247" t="s">
        <v>18</v>
      </c>
      <c r="E452" s="248">
        <v>241</v>
      </c>
      <c r="F452" s="249">
        <v>39118</v>
      </c>
      <c r="G452" s="249">
        <v>44231</v>
      </c>
      <c r="H452" s="247" t="s">
        <v>84</v>
      </c>
      <c r="I452" s="250" t="s">
        <v>3351</v>
      </c>
    </row>
    <row r="453" spans="1:9">
      <c r="A453" s="246">
        <v>449</v>
      </c>
      <c r="B453" s="247" t="s">
        <v>3387</v>
      </c>
      <c r="C453" s="302" t="str">
        <f>"1570"</f>
        <v>1570</v>
      </c>
      <c r="D453" s="247" t="s">
        <v>18</v>
      </c>
      <c r="E453" s="248">
        <v>65</v>
      </c>
      <c r="F453" s="249">
        <v>39118</v>
      </c>
      <c r="G453" s="249">
        <v>44231</v>
      </c>
      <c r="H453" s="247" t="s">
        <v>84</v>
      </c>
      <c r="I453" s="250" t="s">
        <v>3351</v>
      </c>
    </row>
    <row r="454" spans="1:9">
      <c r="A454" s="246">
        <v>450</v>
      </c>
      <c r="B454" s="247" t="s">
        <v>3387</v>
      </c>
      <c r="C454" s="302" t="str">
        <f>"1571"</f>
        <v>1571</v>
      </c>
      <c r="D454" s="247" t="s">
        <v>18</v>
      </c>
      <c r="E454" s="248">
        <v>44</v>
      </c>
      <c r="F454" s="249">
        <v>39118</v>
      </c>
      <c r="G454" s="249">
        <v>44231</v>
      </c>
      <c r="H454" s="247" t="s">
        <v>84</v>
      </c>
      <c r="I454" s="250" t="s">
        <v>3351</v>
      </c>
    </row>
    <row r="455" spans="1:9">
      <c r="A455" s="246">
        <v>451</v>
      </c>
      <c r="B455" s="247" t="s">
        <v>3387</v>
      </c>
      <c r="C455" s="302" t="str">
        <f>"1575"</f>
        <v>1575</v>
      </c>
      <c r="D455" s="247" t="s">
        <v>18</v>
      </c>
      <c r="E455" s="248">
        <v>343</v>
      </c>
      <c r="F455" s="249">
        <v>39118</v>
      </c>
      <c r="G455" s="249">
        <v>43866</v>
      </c>
      <c r="H455" s="247" t="s">
        <v>84</v>
      </c>
      <c r="I455" s="250" t="s">
        <v>3351</v>
      </c>
    </row>
    <row r="456" spans="1:9">
      <c r="A456" s="246">
        <v>452</v>
      </c>
      <c r="B456" s="247" t="s">
        <v>3387</v>
      </c>
      <c r="C456" s="302" t="str">
        <f>"1576"</f>
        <v>1576</v>
      </c>
      <c r="D456" s="247" t="s">
        <v>18</v>
      </c>
      <c r="E456" s="248">
        <v>247</v>
      </c>
      <c r="F456" s="249">
        <v>39118</v>
      </c>
      <c r="G456" s="249">
        <v>44231</v>
      </c>
      <c r="H456" s="247" t="s">
        <v>84</v>
      </c>
      <c r="I456" s="250" t="s">
        <v>3351</v>
      </c>
    </row>
    <row r="457" spans="1:9">
      <c r="A457" s="246">
        <v>453</v>
      </c>
      <c r="B457" s="247" t="s">
        <v>12</v>
      </c>
      <c r="C457" s="302" t="str">
        <f>"1684"</f>
        <v>1684</v>
      </c>
      <c r="D457" s="247" t="s">
        <v>13</v>
      </c>
      <c r="E457" s="248">
        <v>162</v>
      </c>
      <c r="F457" s="249">
        <v>43334</v>
      </c>
      <c r="G457" s="249">
        <v>52464</v>
      </c>
      <c r="H457" s="247" t="s">
        <v>14</v>
      </c>
      <c r="I457" s="250" t="s">
        <v>433</v>
      </c>
    </row>
    <row r="458" spans="1:9">
      <c r="A458" s="246">
        <v>454</v>
      </c>
      <c r="B458" s="247" t="s">
        <v>12</v>
      </c>
      <c r="C458" s="302" t="str">
        <f>"1686"</f>
        <v>1686</v>
      </c>
      <c r="D458" s="247" t="s">
        <v>13</v>
      </c>
      <c r="E458" s="248">
        <v>235</v>
      </c>
      <c r="F458" s="249">
        <v>43334</v>
      </c>
      <c r="G458" s="249">
        <v>52464</v>
      </c>
      <c r="H458" s="247" t="s">
        <v>14</v>
      </c>
      <c r="I458" s="250" t="s">
        <v>3385</v>
      </c>
    </row>
    <row r="459" spans="1:9">
      <c r="A459" s="246">
        <v>455</v>
      </c>
      <c r="B459" s="247" t="s">
        <v>12</v>
      </c>
      <c r="C459" s="302" t="str">
        <f>"1688"</f>
        <v>1688</v>
      </c>
      <c r="D459" s="247" t="s">
        <v>13</v>
      </c>
      <c r="E459" s="248">
        <v>130</v>
      </c>
      <c r="F459" s="249">
        <v>43334</v>
      </c>
      <c r="G459" s="249">
        <v>52464</v>
      </c>
      <c r="H459" s="247" t="s">
        <v>14</v>
      </c>
      <c r="I459" s="250" t="s">
        <v>3385</v>
      </c>
    </row>
    <row r="460" spans="1:9">
      <c r="A460" s="246">
        <v>456</v>
      </c>
      <c r="B460" s="247" t="s">
        <v>12</v>
      </c>
      <c r="C460" s="302" t="str">
        <f>"1689"</f>
        <v>1689</v>
      </c>
      <c r="D460" s="247" t="s">
        <v>13</v>
      </c>
      <c r="E460" s="248">
        <v>471</v>
      </c>
      <c r="F460" s="249">
        <v>43334</v>
      </c>
      <c r="G460" s="249">
        <v>52464</v>
      </c>
      <c r="H460" s="247" t="s">
        <v>14</v>
      </c>
      <c r="I460" s="250" t="s">
        <v>79</v>
      </c>
    </row>
    <row r="461" spans="1:9">
      <c r="A461" s="246">
        <v>457</v>
      </c>
      <c r="B461" s="247" t="s">
        <v>12</v>
      </c>
      <c r="C461" s="302" t="str">
        <f>"1693"</f>
        <v>1693</v>
      </c>
      <c r="D461" s="247" t="s">
        <v>13</v>
      </c>
      <c r="E461" s="248">
        <v>471</v>
      </c>
      <c r="F461" s="249">
        <v>43334</v>
      </c>
      <c r="G461" s="249">
        <v>52464</v>
      </c>
      <c r="H461" s="247" t="s">
        <v>14</v>
      </c>
      <c r="I461" s="250" t="s">
        <v>3386</v>
      </c>
    </row>
    <row r="462" spans="1:9">
      <c r="A462" s="246">
        <v>458</v>
      </c>
      <c r="B462" s="247" t="s">
        <v>12</v>
      </c>
      <c r="C462" s="302" t="str">
        <f>"1697"</f>
        <v>1697</v>
      </c>
      <c r="D462" s="247" t="s">
        <v>13</v>
      </c>
      <c r="E462" s="248">
        <v>471</v>
      </c>
      <c r="F462" s="249">
        <v>40935</v>
      </c>
      <c r="G462" s="249">
        <v>51892</v>
      </c>
      <c r="H462" s="247" t="s">
        <v>14</v>
      </c>
      <c r="I462" s="250" t="s">
        <v>79</v>
      </c>
    </row>
    <row r="463" spans="1:9">
      <c r="A463" s="246">
        <v>459</v>
      </c>
      <c r="B463" s="247" t="s">
        <v>12</v>
      </c>
      <c r="C463" s="302" t="str">
        <f>"1700"</f>
        <v>1700</v>
      </c>
      <c r="D463" s="247" t="s">
        <v>13</v>
      </c>
      <c r="E463" s="248">
        <v>170</v>
      </c>
      <c r="F463" s="249">
        <v>43334</v>
      </c>
      <c r="G463" s="249">
        <v>52464</v>
      </c>
      <c r="H463" s="247" t="s">
        <v>14</v>
      </c>
      <c r="I463" s="250" t="s">
        <v>3385</v>
      </c>
    </row>
    <row r="464" spans="1:9">
      <c r="A464" s="246">
        <v>460</v>
      </c>
      <c r="B464" s="247" t="s">
        <v>3387</v>
      </c>
      <c r="C464" s="302" t="str">
        <f>"1714"</f>
        <v>1714</v>
      </c>
      <c r="D464" s="247" t="s">
        <v>18</v>
      </c>
      <c r="E464" s="248">
        <v>140</v>
      </c>
      <c r="F464" s="249">
        <v>39882</v>
      </c>
      <c r="G464" s="249">
        <v>41635</v>
      </c>
      <c r="H464" s="247" t="s">
        <v>31</v>
      </c>
      <c r="I464" s="250" t="s">
        <v>3351</v>
      </c>
    </row>
    <row r="465" spans="1:9">
      <c r="A465" s="246">
        <v>461</v>
      </c>
      <c r="B465" s="247" t="s">
        <v>3387</v>
      </c>
      <c r="C465" s="302" t="str">
        <f>"1715"</f>
        <v>1715</v>
      </c>
      <c r="D465" s="247" t="s">
        <v>18</v>
      </c>
      <c r="E465" s="248">
        <v>457</v>
      </c>
      <c r="F465" s="249">
        <v>39882</v>
      </c>
      <c r="G465" s="249">
        <v>41635</v>
      </c>
      <c r="H465" s="247" t="s">
        <v>31</v>
      </c>
      <c r="I465" s="250" t="s">
        <v>3351</v>
      </c>
    </row>
    <row r="466" spans="1:9">
      <c r="A466" s="246">
        <v>462</v>
      </c>
      <c r="B466" s="247" t="s">
        <v>3387</v>
      </c>
      <c r="C466" s="302" t="str">
        <f>"1716"</f>
        <v>1716</v>
      </c>
      <c r="D466" s="247" t="s">
        <v>18</v>
      </c>
      <c r="E466" s="248">
        <v>460</v>
      </c>
      <c r="F466" s="249">
        <v>39882</v>
      </c>
      <c r="G466" s="249">
        <v>41635</v>
      </c>
      <c r="H466" s="247" t="s">
        <v>19</v>
      </c>
      <c r="I466" s="250" t="s">
        <v>3351</v>
      </c>
    </row>
    <row r="467" spans="1:9">
      <c r="A467" s="246">
        <v>463</v>
      </c>
      <c r="B467" s="247" t="s">
        <v>3387</v>
      </c>
      <c r="C467" s="302" t="str">
        <f>"1718"</f>
        <v>1718</v>
      </c>
      <c r="D467" s="247" t="s">
        <v>18</v>
      </c>
      <c r="E467" s="248">
        <v>134</v>
      </c>
      <c r="F467" s="249">
        <v>39882</v>
      </c>
      <c r="G467" s="249">
        <v>41635</v>
      </c>
      <c r="H467" s="247" t="s">
        <v>19</v>
      </c>
      <c r="I467" s="250" t="s">
        <v>3351</v>
      </c>
    </row>
    <row r="468" spans="1:9">
      <c r="A468" s="246">
        <v>464</v>
      </c>
      <c r="B468" s="247" t="s">
        <v>3387</v>
      </c>
      <c r="C468" s="302" t="str">
        <f>"1719"</f>
        <v>1719</v>
      </c>
      <c r="D468" s="247" t="s">
        <v>18</v>
      </c>
      <c r="E468" s="248">
        <v>246</v>
      </c>
      <c r="F468" s="249">
        <v>39882</v>
      </c>
      <c r="G468" s="249">
        <v>41635</v>
      </c>
      <c r="H468" s="247" t="s">
        <v>19</v>
      </c>
      <c r="I468" s="250" t="s">
        <v>3351</v>
      </c>
    </row>
    <row r="469" spans="1:9">
      <c r="A469" s="246">
        <v>465</v>
      </c>
      <c r="B469" s="247" t="s">
        <v>3387</v>
      </c>
      <c r="C469" s="302" t="str">
        <f>"1720"</f>
        <v>1720</v>
      </c>
      <c r="D469" s="247" t="s">
        <v>18</v>
      </c>
      <c r="E469" s="248">
        <v>195</v>
      </c>
      <c r="F469" s="249">
        <v>39882</v>
      </c>
      <c r="G469" s="249">
        <v>41635</v>
      </c>
      <c r="H469" s="247" t="s">
        <v>19</v>
      </c>
      <c r="I469" s="250" t="s">
        <v>3351</v>
      </c>
    </row>
    <row r="470" spans="1:9">
      <c r="A470" s="246">
        <v>466</v>
      </c>
      <c r="B470" s="247" t="s">
        <v>3387</v>
      </c>
      <c r="C470" s="302" t="str">
        <f>"1722"</f>
        <v>1722</v>
      </c>
      <c r="D470" s="247" t="s">
        <v>18</v>
      </c>
      <c r="E470" s="248">
        <v>240</v>
      </c>
      <c r="F470" s="249">
        <v>39882</v>
      </c>
      <c r="G470" s="249">
        <v>41635</v>
      </c>
      <c r="H470" s="247" t="s">
        <v>19</v>
      </c>
      <c r="I470" s="250" t="s">
        <v>3351</v>
      </c>
    </row>
    <row r="471" spans="1:9">
      <c r="A471" s="246">
        <v>467</v>
      </c>
      <c r="B471" s="247" t="s">
        <v>3387</v>
      </c>
      <c r="C471" s="302" t="str">
        <f>"1723"</f>
        <v>1723</v>
      </c>
      <c r="D471" s="247" t="s">
        <v>18</v>
      </c>
      <c r="E471" s="248">
        <v>386</v>
      </c>
      <c r="F471" s="249">
        <v>39882</v>
      </c>
      <c r="G471" s="249">
        <v>41635</v>
      </c>
      <c r="H471" s="247" t="s">
        <v>19</v>
      </c>
      <c r="I471" s="250" t="s">
        <v>3351</v>
      </c>
    </row>
    <row r="472" spans="1:9">
      <c r="A472" s="246">
        <v>468</v>
      </c>
      <c r="B472" s="247" t="s">
        <v>3387</v>
      </c>
      <c r="C472" s="302" t="str">
        <f>"1726"</f>
        <v>1726</v>
      </c>
      <c r="D472" s="247" t="s">
        <v>18</v>
      </c>
      <c r="E472" s="248">
        <v>111</v>
      </c>
      <c r="F472" s="249">
        <v>39882</v>
      </c>
      <c r="G472" s="249">
        <v>41635</v>
      </c>
      <c r="H472" s="247" t="s">
        <v>19</v>
      </c>
      <c r="I472" s="250" t="s">
        <v>3351</v>
      </c>
    </row>
    <row r="473" spans="1:9">
      <c r="A473" s="246">
        <v>469</v>
      </c>
      <c r="B473" s="247" t="s">
        <v>3387</v>
      </c>
      <c r="C473" s="302" t="str">
        <f>"1727"</f>
        <v>1727</v>
      </c>
      <c r="D473" s="247" t="s">
        <v>18</v>
      </c>
      <c r="E473" s="248">
        <v>325</v>
      </c>
      <c r="F473" s="249">
        <v>39882</v>
      </c>
      <c r="G473" s="249">
        <v>41635</v>
      </c>
      <c r="H473" s="247" t="s">
        <v>19</v>
      </c>
      <c r="I473" s="250" t="s">
        <v>3351</v>
      </c>
    </row>
    <row r="474" spans="1:9">
      <c r="A474" s="246">
        <v>470</v>
      </c>
      <c r="B474" s="247" t="s">
        <v>3388</v>
      </c>
      <c r="C474" s="302" t="str">
        <f>"1731"</f>
        <v>1731</v>
      </c>
      <c r="D474" s="247" t="s">
        <v>13</v>
      </c>
      <c r="E474" s="248">
        <v>180</v>
      </c>
      <c r="F474" s="249">
        <v>41824</v>
      </c>
      <c r="G474" s="249">
        <v>52781</v>
      </c>
      <c r="H474" s="247" t="s">
        <v>14</v>
      </c>
      <c r="I474" s="250" t="s">
        <v>438</v>
      </c>
    </row>
    <row r="475" spans="1:9">
      <c r="A475" s="246">
        <v>471</v>
      </c>
      <c r="B475" s="247" t="s">
        <v>15</v>
      </c>
      <c r="C475" s="302" t="str">
        <f>"1734"</f>
        <v>1734</v>
      </c>
      <c r="D475" s="247" t="s">
        <v>18</v>
      </c>
      <c r="E475" s="248">
        <v>64</v>
      </c>
      <c r="F475" s="249">
        <v>41742</v>
      </c>
      <c r="G475" s="249">
        <v>43567</v>
      </c>
      <c r="H475" s="247" t="s">
        <v>14</v>
      </c>
      <c r="I475" s="250" t="s">
        <v>448</v>
      </c>
    </row>
    <row r="476" spans="1:9">
      <c r="A476" s="246">
        <v>472</v>
      </c>
      <c r="B476" s="247" t="s">
        <v>43</v>
      </c>
      <c r="C476" s="302" t="str">
        <f>"1776"</f>
        <v>1776</v>
      </c>
      <c r="D476" s="247" t="s">
        <v>13</v>
      </c>
      <c r="E476" s="248">
        <v>75</v>
      </c>
      <c r="F476" s="249">
        <v>42032</v>
      </c>
      <c r="G476" s="249">
        <v>52989</v>
      </c>
      <c r="H476" s="247" t="s">
        <v>70</v>
      </c>
      <c r="I476" s="250" t="s">
        <v>79</v>
      </c>
    </row>
    <row r="477" spans="1:9">
      <c r="A477" s="246">
        <v>473</v>
      </c>
      <c r="B477" s="247" t="s">
        <v>112</v>
      </c>
      <c r="C477" s="302" t="str">
        <f>"1782"</f>
        <v>1782</v>
      </c>
      <c r="D477" s="247" t="s">
        <v>30</v>
      </c>
      <c r="E477" s="248">
        <v>10</v>
      </c>
      <c r="F477" s="249">
        <v>43080</v>
      </c>
      <c r="G477" s="249">
        <v>44905</v>
      </c>
      <c r="H477" s="247" t="s">
        <v>14</v>
      </c>
      <c r="I477" s="250" t="s">
        <v>3353</v>
      </c>
    </row>
    <row r="478" spans="1:9">
      <c r="A478" s="246">
        <v>474</v>
      </c>
      <c r="B478" s="247" t="s">
        <v>114</v>
      </c>
      <c r="C478" s="302" t="str">
        <f>"1785"</f>
        <v>1785</v>
      </c>
      <c r="D478" s="247" t="s">
        <v>13</v>
      </c>
      <c r="E478" s="248">
        <v>27</v>
      </c>
      <c r="F478" s="249">
        <v>41733</v>
      </c>
      <c r="G478" s="249">
        <v>52690</v>
      </c>
      <c r="H478" s="247" t="s">
        <v>14</v>
      </c>
      <c r="I478" s="250" t="s">
        <v>79</v>
      </c>
    </row>
    <row r="479" spans="1:9">
      <c r="A479" s="246">
        <v>475</v>
      </c>
      <c r="B479" s="247" t="s">
        <v>114</v>
      </c>
      <c r="C479" s="302" t="str">
        <f>"1787"</f>
        <v>1787</v>
      </c>
      <c r="D479" s="247" t="s">
        <v>30</v>
      </c>
      <c r="E479" s="248">
        <v>25</v>
      </c>
      <c r="F479" s="249">
        <v>40624</v>
      </c>
      <c r="G479" s="249">
        <v>43794</v>
      </c>
      <c r="H479" s="247" t="s">
        <v>16</v>
      </c>
      <c r="I479" s="250" t="s">
        <v>3353</v>
      </c>
    </row>
    <row r="480" spans="1:9">
      <c r="A480" s="246">
        <v>476</v>
      </c>
      <c r="B480" s="247" t="s">
        <v>114</v>
      </c>
      <c r="C480" s="302" t="str">
        <f>"1791"</f>
        <v>1791</v>
      </c>
      <c r="D480" s="247" t="s">
        <v>30</v>
      </c>
      <c r="E480" s="248">
        <v>22</v>
      </c>
      <c r="F480" s="249">
        <v>42796</v>
      </c>
      <c r="G480" s="249">
        <v>44621</v>
      </c>
      <c r="H480" s="247" t="s">
        <v>14</v>
      </c>
      <c r="I480" s="250" t="s">
        <v>3353</v>
      </c>
    </row>
    <row r="481" spans="1:9">
      <c r="A481" s="246">
        <v>477</v>
      </c>
      <c r="B481" s="247" t="s">
        <v>456</v>
      </c>
      <c r="C481" s="302" t="str">
        <f>"1793"</f>
        <v>1793</v>
      </c>
      <c r="D481" s="247" t="s">
        <v>18</v>
      </c>
      <c r="E481" s="248">
        <v>111</v>
      </c>
      <c r="F481" s="249">
        <v>42776</v>
      </c>
      <c r="G481" s="249">
        <v>44601</v>
      </c>
      <c r="H481" s="247" t="s">
        <v>24</v>
      </c>
      <c r="I481" s="250" t="s">
        <v>433</v>
      </c>
    </row>
    <row r="482" spans="1:9">
      <c r="A482" s="246">
        <v>478</v>
      </c>
      <c r="B482" s="247" t="s">
        <v>456</v>
      </c>
      <c r="C482" s="302" t="str">
        <f>"1794"</f>
        <v>1794</v>
      </c>
      <c r="D482" s="247" t="s">
        <v>18</v>
      </c>
      <c r="E482" s="248">
        <v>116</v>
      </c>
      <c r="F482" s="249">
        <v>42776</v>
      </c>
      <c r="G482" s="249">
        <v>44601</v>
      </c>
      <c r="H482" s="247" t="s">
        <v>24</v>
      </c>
      <c r="I482" s="250" t="s">
        <v>433</v>
      </c>
    </row>
    <row r="483" spans="1:9">
      <c r="A483" s="246">
        <v>479</v>
      </c>
      <c r="B483" s="247" t="s">
        <v>456</v>
      </c>
      <c r="C483" s="302" t="str">
        <f>"1796"</f>
        <v>1796</v>
      </c>
      <c r="D483" s="247" t="s">
        <v>18</v>
      </c>
      <c r="E483" s="248">
        <v>89</v>
      </c>
      <c r="F483" s="249">
        <v>42776</v>
      </c>
      <c r="G483" s="249">
        <v>44601</v>
      </c>
      <c r="H483" s="247" t="s">
        <v>32</v>
      </c>
      <c r="I483" s="250" t="s">
        <v>433</v>
      </c>
    </row>
    <row r="484" spans="1:9">
      <c r="A484" s="246">
        <v>480</v>
      </c>
      <c r="B484" s="247" t="s">
        <v>456</v>
      </c>
      <c r="C484" s="302" t="str">
        <f>"1798"</f>
        <v>1798</v>
      </c>
      <c r="D484" s="247" t="s">
        <v>18</v>
      </c>
      <c r="E484" s="248">
        <v>105</v>
      </c>
      <c r="F484" s="249">
        <v>42776</v>
      </c>
      <c r="G484" s="249">
        <v>44601</v>
      </c>
      <c r="H484" s="247" t="s">
        <v>32</v>
      </c>
      <c r="I484" s="250" t="s">
        <v>433</v>
      </c>
    </row>
    <row r="485" spans="1:9">
      <c r="A485" s="246">
        <v>481</v>
      </c>
      <c r="B485" s="247" t="s">
        <v>456</v>
      </c>
      <c r="C485" s="302" t="str">
        <f>"1800"</f>
        <v>1800</v>
      </c>
      <c r="D485" s="247" t="s">
        <v>18</v>
      </c>
      <c r="E485" s="248">
        <v>97</v>
      </c>
      <c r="F485" s="249">
        <v>42776</v>
      </c>
      <c r="G485" s="249">
        <v>44601</v>
      </c>
      <c r="H485" s="247" t="s">
        <v>32</v>
      </c>
      <c r="I485" s="250" t="s">
        <v>433</v>
      </c>
    </row>
    <row r="486" spans="1:9">
      <c r="A486" s="246">
        <v>482</v>
      </c>
      <c r="B486" s="247" t="s">
        <v>456</v>
      </c>
      <c r="C486" s="302" t="str">
        <f>"1801"</f>
        <v>1801</v>
      </c>
      <c r="D486" s="247" t="s">
        <v>18</v>
      </c>
      <c r="E486" s="248">
        <v>97</v>
      </c>
      <c r="F486" s="249">
        <v>42776</v>
      </c>
      <c r="G486" s="249">
        <v>44601</v>
      </c>
      <c r="H486" s="247" t="s">
        <v>32</v>
      </c>
      <c r="I486" s="250" t="s">
        <v>433</v>
      </c>
    </row>
    <row r="487" spans="1:9">
      <c r="A487" s="246">
        <v>483</v>
      </c>
      <c r="B487" s="247" t="s">
        <v>456</v>
      </c>
      <c r="C487" s="302" t="str">
        <f>"1804"</f>
        <v>1804</v>
      </c>
      <c r="D487" s="247" t="s">
        <v>18</v>
      </c>
      <c r="E487" s="248">
        <v>72</v>
      </c>
      <c r="F487" s="249">
        <v>42776</v>
      </c>
      <c r="G487" s="249">
        <v>44601</v>
      </c>
      <c r="H487" s="247" t="s">
        <v>32</v>
      </c>
      <c r="I487" s="250" t="s">
        <v>433</v>
      </c>
    </row>
    <row r="488" spans="1:9">
      <c r="A488" s="246">
        <v>484</v>
      </c>
      <c r="B488" s="247" t="s">
        <v>456</v>
      </c>
      <c r="C488" s="302" t="str">
        <f>"1806"</f>
        <v>1806</v>
      </c>
      <c r="D488" s="247" t="s">
        <v>18</v>
      </c>
      <c r="E488" s="248">
        <v>48</v>
      </c>
      <c r="F488" s="249">
        <v>42776</v>
      </c>
      <c r="G488" s="249">
        <v>44601</v>
      </c>
      <c r="H488" s="247" t="s">
        <v>31</v>
      </c>
      <c r="I488" s="250" t="s">
        <v>433</v>
      </c>
    </row>
    <row r="489" spans="1:9">
      <c r="A489" s="246">
        <v>485</v>
      </c>
      <c r="B489" s="247" t="s">
        <v>15</v>
      </c>
      <c r="C489" s="302" t="str">
        <f>"1818"</f>
        <v>1818</v>
      </c>
      <c r="D489" s="247" t="s">
        <v>18</v>
      </c>
      <c r="E489" s="248">
        <v>112</v>
      </c>
      <c r="F489" s="249">
        <v>41904</v>
      </c>
      <c r="G489" s="249">
        <v>43729</v>
      </c>
      <c r="H489" s="247" t="s">
        <v>14</v>
      </c>
      <c r="I489" s="250" t="s">
        <v>448</v>
      </c>
    </row>
    <row r="490" spans="1:9">
      <c r="A490" s="246">
        <v>486</v>
      </c>
      <c r="B490" s="247" t="s">
        <v>15</v>
      </c>
      <c r="C490" s="302" t="str">
        <f>"1820"</f>
        <v>1820</v>
      </c>
      <c r="D490" s="247" t="s">
        <v>18</v>
      </c>
      <c r="E490" s="248">
        <v>12</v>
      </c>
      <c r="F490" s="249">
        <v>41904</v>
      </c>
      <c r="G490" s="249">
        <v>43729</v>
      </c>
      <c r="H490" s="247" t="s">
        <v>14</v>
      </c>
      <c r="I490" s="250" t="s">
        <v>448</v>
      </c>
    </row>
    <row r="491" spans="1:9">
      <c r="A491" s="246">
        <v>487</v>
      </c>
      <c r="B491" s="247" t="s">
        <v>458</v>
      </c>
      <c r="C491" s="302" t="str">
        <f>"1828"</f>
        <v>1828</v>
      </c>
      <c r="D491" s="247" t="s">
        <v>21</v>
      </c>
      <c r="E491" s="248">
        <v>1</v>
      </c>
      <c r="F491" s="249">
        <v>40855</v>
      </c>
      <c r="G491" s="249">
        <v>43014</v>
      </c>
      <c r="H491" s="247" t="s">
        <v>89</v>
      </c>
      <c r="I491" s="250" t="s">
        <v>3342</v>
      </c>
    </row>
    <row r="492" spans="1:9">
      <c r="A492" s="246">
        <v>488</v>
      </c>
      <c r="B492" s="247" t="s">
        <v>112</v>
      </c>
      <c r="C492" s="302" t="str">
        <f>"1876"</f>
        <v>1876</v>
      </c>
      <c r="D492" s="247" t="s">
        <v>30</v>
      </c>
      <c r="E492" s="248">
        <v>126</v>
      </c>
      <c r="F492" s="249">
        <v>43080</v>
      </c>
      <c r="G492" s="249">
        <v>44905</v>
      </c>
      <c r="H492" s="247" t="s">
        <v>59</v>
      </c>
      <c r="I492" s="250" t="s">
        <v>433</v>
      </c>
    </row>
    <row r="493" spans="1:9">
      <c r="A493" s="246">
        <v>489</v>
      </c>
      <c r="B493" s="247" t="s">
        <v>115</v>
      </c>
      <c r="C493" s="302" t="str">
        <f>"1884"</f>
        <v>1884</v>
      </c>
      <c r="D493" s="247" t="s">
        <v>13</v>
      </c>
      <c r="E493" s="248">
        <v>23</v>
      </c>
      <c r="F493" s="249">
        <v>43112</v>
      </c>
      <c r="G493" s="249">
        <v>54068</v>
      </c>
      <c r="H493" s="247" t="s">
        <v>14</v>
      </c>
      <c r="I493" s="250" t="s">
        <v>79</v>
      </c>
    </row>
    <row r="494" spans="1:9">
      <c r="A494" s="246">
        <v>490</v>
      </c>
      <c r="B494" s="247" t="s">
        <v>459</v>
      </c>
      <c r="C494" s="302" t="str">
        <f>"1886"</f>
        <v>1886</v>
      </c>
      <c r="D494" s="247" t="s">
        <v>13</v>
      </c>
      <c r="E494" s="248">
        <v>144</v>
      </c>
      <c r="F494" s="249">
        <v>42269</v>
      </c>
      <c r="G494" s="249">
        <v>44095</v>
      </c>
      <c r="H494" s="247" t="s">
        <v>16</v>
      </c>
      <c r="I494" s="250" t="s">
        <v>3389</v>
      </c>
    </row>
    <row r="495" spans="1:9">
      <c r="A495" s="246">
        <v>491</v>
      </c>
      <c r="B495" s="247" t="s">
        <v>15</v>
      </c>
      <c r="C495" s="302" t="str">
        <f>"1887"</f>
        <v>1887</v>
      </c>
      <c r="D495" s="247" t="s">
        <v>18</v>
      </c>
      <c r="E495" s="248">
        <v>7</v>
      </c>
      <c r="F495" s="249">
        <v>41742</v>
      </c>
      <c r="G495" s="249">
        <v>43567</v>
      </c>
      <c r="H495" s="247" t="s">
        <v>16</v>
      </c>
      <c r="I495" s="250" t="s">
        <v>448</v>
      </c>
    </row>
    <row r="496" spans="1:9">
      <c r="A496" s="246">
        <v>492</v>
      </c>
      <c r="B496" s="247" t="s">
        <v>15</v>
      </c>
      <c r="C496" s="302" t="str">
        <f>"1891"</f>
        <v>1891</v>
      </c>
      <c r="D496" s="247" t="s">
        <v>13</v>
      </c>
      <c r="E496" s="248">
        <v>24</v>
      </c>
      <c r="F496" s="249">
        <v>42038</v>
      </c>
      <c r="G496" s="249">
        <v>52995</v>
      </c>
      <c r="H496" s="247" t="s">
        <v>16</v>
      </c>
      <c r="I496" s="250" t="s">
        <v>79</v>
      </c>
    </row>
    <row r="497" spans="1:9">
      <c r="A497" s="246">
        <v>493</v>
      </c>
      <c r="B497" s="247" t="s">
        <v>460</v>
      </c>
      <c r="C497" s="302" t="str">
        <f>"1929"</f>
        <v>1929</v>
      </c>
      <c r="D497" s="247" t="s">
        <v>30</v>
      </c>
      <c r="E497" s="248">
        <v>82</v>
      </c>
      <c r="F497" s="249">
        <v>41929</v>
      </c>
      <c r="G497" s="249">
        <v>43754</v>
      </c>
      <c r="H497" s="247" t="s">
        <v>16</v>
      </c>
      <c r="I497" s="250" t="s">
        <v>433</v>
      </c>
    </row>
    <row r="498" spans="1:9">
      <c r="A498" s="246">
        <v>494</v>
      </c>
      <c r="B498" s="247" t="s">
        <v>116</v>
      </c>
      <c r="C498" s="302" t="str">
        <f>"1959"</f>
        <v>1959</v>
      </c>
      <c r="D498" s="247" t="s">
        <v>18</v>
      </c>
      <c r="E498" s="248">
        <v>100</v>
      </c>
      <c r="F498" s="249">
        <v>43522</v>
      </c>
      <c r="G498" s="249">
        <v>45347</v>
      </c>
      <c r="H498" s="247" t="s">
        <v>14</v>
      </c>
      <c r="I498" s="250" t="s">
        <v>79</v>
      </c>
    </row>
    <row r="499" spans="1:9">
      <c r="A499" s="246">
        <v>495</v>
      </c>
      <c r="B499" s="247" t="s">
        <v>116</v>
      </c>
      <c r="C499" s="302" t="str">
        <f>"1960"</f>
        <v>1960</v>
      </c>
      <c r="D499" s="247" t="s">
        <v>18</v>
      </c>
      <c r="E499" s="248">
        <v>76</v>
      </c>
      <c r="F499" s="249">
        <v>43522</v>
      </c>
      <c r="G499" s="249">
        <v>45347</v>
      </c>
      <c r="H499" s="247" t="s">
        <v>70</v>
      </c>
      <c r="I499" s="250" t="s">
        <v>79</v>
      </c>
    </row>
    <row r="500" spans="1:9">
      <c r="A500" s="246">
        <v>496</v>
      </c>
      <c r="B500" s="247" t="s">
        <v>116</v>
      </c>
      <c r="C500" s="302" t="str">
        <f>"1961"</f>
        <v>1961</v>
      </c>
      <c r="D500" s="247" t="s">
        <v>18</v>
      </c>
      <c r="E500" s="248">
        <v>42</v>
      </c>
      <c r="F500" s="249">
        <v>39926</v>
      </c>
      <c r="G500" s="249">
        <v>41751</v>
      </c>
      <c r="H500" s="247" t="s">
        <v>16</v>
      </c>
      <c r="I500" s="250" t="s">
        <v>3342</v>
      </c>
    </row>
    <row r="501" spans="1:9">
      <c r="A501" s="246">
        <v>497</v>
      </c>
      <c r="B501" s="247" t="s">
        <v>116</v>
      </c>
      <c r="C501" s="302" t="str">
        <f>"1962"</f>
        <v>1962</v>
      </c>
      <c r="D501" s="247" t="s">
        <v>13</v>
      </c>
      <c r="E501" s="248">
        <v>14</v>
      </c>
      <c r="F501" s="249">
        <v>43381</v>
      </c>
      <c r="G501" s="249">
        <v>52511</v>
      </c>
      <c r="H501" s="247" t="s">
        <v>16</v>
      </c>
      <c r="I501" s="250" t="s">
        <v>79</v>
      </c>
    </row>
    <row r="502" spans="1:9">
      <c r="A502" s="246">
        <v>498</v>
      </c>
      <c r="B502" s="247" t="s">
        <v>3390</v>
      </c>
      <c r="C502" s="302" t="str">
        <f>"1992"</f>
        <v>1992</v>
      </c>
      <c r="D502" s="247" t="s">
        <v>18</v>
      </c>
      <c r="E502" s="248">
        <v>56</v>
      </c>
      <c r="F502" s="249">
        <v>39932</v>
      </c>
      <c r="G502" s="249">
        <v>41757</v>
      </c>
      <c r="H502" s="247" t="s">
        <v>22</v>
      </c>
      <c r="I502" s="250" t="s">
        <v>437</v>
      </c>
    </row>
    <row r="503" spans="1:9">
      <c r="A503" s="246">
        <v>499</v>
      </c>
      <c r="B503" s="247" t="s">
        <v>3391</v>
      </c>
      <c r="C503" s="302" t="str">
        <f>"1993"</f>
        <v>1993</v>
      </c>
      <c r="D503" s="247" t="s">
        <v>30</v>
      </c>
      <c r="E503" s="248">
        <v>207</v>
      </c>
      <c r="F503" s="249">
        <v>40079</v>
      </c>
      <c r="G503" s="249">
        <v>43730</v>
      </c>
      <c r="H503" s="247" t="s">
        <v>22</v>
      </c>
      <c r="I503" s="250" t="s">
        <v>438</v>
      </c>
    </row>
    <row r="504" spans="1:9">
      <c r="A504" s="246">
        <v>500</v>
      </c>
      <c r="B504" s="247" t="s">
        <v>15</v>
      </c>
      <c r="C504" s="302" t="str">
        <f>"1995"</f>
        <v>1995</v>
      </c>
      <c r="D504" s="247" t="s">
        <v>18</v>
      </c>
      <c r="E504" s="248">
        <v>76</v>
      </c>
      <c r="F504" s="249">
        <v>41904</v>
      </c>
      <c r="G504" s="249">
        <v>43729</v>
      </c>
      <c r="H504" s="247" t="s">
        <v>16</v>
      </c>
      <c r="I504" s="250" t="s">
        <v>448</v>
      </c>
    </row>
    <row r="505" spans="1:9">
      <c r="A505" s="246">
        <v>501</v>
      </c>
      <c r="B505" s="247" t="s">
        <v>15</v>
      </c>
      <c r="C505" s="302" t="str">
        <f>"2061"</f>
        <v>2061</v>
      </c>
      <c r="D505" s="247" t="s">
        <v>18</v>
      </c>
      <c r="E505" s="248">
        <v>20</v>
      </c>
      <c r="F505" s="249">
        <v>41742</v>
      </c>
      <c r="G505" s="249">
        <v>43567</v>
      </c>
      <c r="H505" s="247" t="s">
        <v>16</v>
      </c>
      <c r="I505" s="250" t="s">
        <v>448</v>
      </c>
    </row>
    <row r="506" spans="1:9">
      <c r="A506" s="246">
        <v>502</v>
      </c>
      <c r="B506" s="247" t="s">
        <v>15</v>
      </c>
      <c r="C506" s="302" t="str">
        <f>"2115"</f>
        <v>2115</v>
      </c>
      <c r="D506" s="247" t="s">
        <v>13</v>
      </c>
      <c r="E506" s="248">
        <v>101</v>
      </c>
      <c r="F506" s="249">
        <v>40801</v>
      </c>
      <c r="G506" s="249">
        <v>51758</v>
      </c>
      <c r="H506" s="247" t="s">
        <v>16</v>
      </c>
      <c r="I506" s="250" t="s">
        <v>79</v>
      </c>
    </row>
    <row r="507" spans="1:9">
      <c r="A507" s="246">
        <v>503</v>
      </c>
      <c r="B507" s="247" t="s">
        <v>15</v>
      </c>
      <c r="C507" s="302" t="str">
        <f>"2116"</f>
        <v>2116</v>
      </c>
      <c r="D507" s="247" t="s">
        <v>13</v>
      </c>
      <c r="E507" s="248">
        <v>179</v>
      </c>
      <c r="F507" s="249">
        <v>42038</v>
      </c>
      <c r="G507" s="249">
        <v>52995</v>
      </c>
      <c r="H507" s="247" t="s">
        <v>16</v>
      </c>
      <c r="I507" s="250" t="s">
        <v>79</v>
      </c>
    </row>
    <row r="508" spans="1:9">
      <c r="A508" s="246">
        <v>504</v>
      </c>
      <c r="B508" s="247" t="s">
        <v>15</v>
      </c>
      <c r="C508" s="302" t="str">
        <f>"2120"</f>
        <v>2120</v>
      </c>
      <c r="D508" s="247" t="s">
        <v>18</v>
      </c>
      <c r="E508" s="248">
        <v>15</v>
      </c>
      <c r="F508" s="249">
        <v>41742</v>
      </c>
      <c r="G508" s="249">
        <v>43567</v>
      </c>
      <c r="H508" s="247" t="s">
        <v>14</v>
      </c>
      <c r="I508" s="250" t="s">
        <v>448</v>
      </c>
    </row>
    <row r="509" spans="1:9">
      <c r="A509" s="246">
        <v>505</v>
      </c>
      <c r="B509" s="247" t="s">
        <v>15</v>
      </c>
      <c r="C509" s="302" t="str">
        <f>"2121"</f>
        <v>2121</v>
      </c>
      <c r="D509" s="247" t="s">
        <v>13</v>
      </c>
      <c r="E509" s="248">
        <v>21</v>
      </c>
      <c r="F509" s="249">
        <v>40824</v>
      </c>
      <c r="G509" s="249">
        <v>51781</v>
      </c>
      <c r="H509" s="247" t="s">
        <v>16</v>
      </c>
      <c r="I509" s="250" t="s">
        <v>3386</v>
      </c>
    </row>
    <row r="510" spans="1:9">
      <c r="A510" s="246">
        <v>506</v>
      </c>
      <c r="B510" s="247" t="s">
        <v>114</v>
      </c>
      <c r="C510" s="302" t="str">
        <f>"2128"</f>
        <v>2128</v>
      </c>
      <c r="D510" s="247" t="s">
        <v>30</v>
      </c>
      <c r="E510" s="248">
        <v>144</v>
      </c>
      <c r="F510" s="249">
        <v>41967</v>
      </c>
      <c r="G510" s="249">
        <v>43792</v>
      </c>
      <c r="H510" s="247" t="s">
        <v>14</v>
      </c>
      <c r="I510" s="250" t="s">
        <v>433</v>
      </c>
    </row>
    <row r="511" spans="1:9">
      <c r="A511" s="246">
        <v>507</v>
      </c>
      <c r="B511" s="247" t="s">
        <v>114</v>
      </c>
      <c r="C511" s="302" t="str">
        <f>"2129"</f>
        <v>2129</v>
      </c>
      <c r="D511" s="247" t="s">
        <v>13</v>
      </c>
      <c r="E511" s="248">
        <v>42</v>
      </c>
      <c r="F511" s="249">
        <v>44305</v>
      </c>
      <c r="G511" s="249">
        <v>53435</v>
      </c>
      <c r="H511" s="247" t="s">
        <v>14</v>
      </c>
      <c r="I511" s="250" t="s">
        <v>79</v>
      </c>
    </row>
    <row r="512" spans="1:9">
      <c r="A512" s="246">
        <v>508</v>
      </c>
      <c r="B512" s="247" t="s">
        <v>461</v>
      </c>
      <c r="C512" s="302" t="str">
        <f>"2130"</f>
        <v>2130</v>
      </c>
      <c r="D512" s="247" t="s">
        <v>18</v>
      </c>
      <c r="E512" s="248">
        <v>55</v>
      </c>
      <c r="F512" s="249">
        <v>42579</v>
      </c>
      <c r="G512" s="249">
        <v>44404</v>
      </c>
      <c r="H512" s="247" t="s">
        <v>59</v>
      </c>
      <c r="I512" s="250" t="s">
        <v>438</v>
      </c>
    </row>
    <row r="513" spans="1:9">
      <c r="A513" s="246">
        <v>509</v>
      </c>
      <c r="B513" s="247" t="s">
        <v>461</v>
      </c>
      <c r="C513" s="302" t="str">
        <f>"2131"</f>
        <v>2131</v>
      </c>
      <c r="D513" s="247" t="s">
        <v>18</v>
      </c>
      <c r="E513" s="248">
        <v>114</v>
      </c>
      <c r="F513" s="249">
        <v>41784</v>
      </c>
      <c r="G513" s="249">
        <v>43609</v>
      </c>
      <c r="H513" s="247" t="s">
        <v>59</v>
      </c>
      <c r="I513" s="250" t="s">
        <v>437</v>
      </c>
    </row>
    <row r="514" spans="1:9">
      <c r="A514" s="246">
        <v>510</v>
      </c>
      <c r="B514" s="247" t="s">
        <v>116</v>
      </c>
      <c r="C514" s="302" t="str">
        <f>"2133"</f>
        <v>2133</v>
      </c>
      <c r="D514" s="247" t="s">
        <v>18</v>
      </c>
      <c r="E514" s="248">
        <v>97</v>
      </c>
      <c r="F514" s="249">
        <v>43522</v>
      </c>
      <c r="G514" s="249">
        <v>45347</v>
      </c>
      <c r="H514" s="247" t="s">
        <v>14</v>
      </c>
      <c r="I514" s="250" t="s">
        <v>79</v>
      </c>
    </row>
    <row r="515" spans="1:9">
      <c r="A515" s="246">
        <v>511</v>
      </c>
      <c r="B515" s="247" t="s">
        <v>116</v>
      </c>
      <c r="C515" s="302" t="str">
        <f>"2136"</f>
        <v>2136</v>
      </c>
      <c r="D515" s="247" t="s">
        <v>18</v>
      </c>
      <c r="E515" s="248">
        <v>87</v>
      </c>
      <c r="F515" s="249">
        <v>43522</v>
      </c>
      <c r="G515" s="249">
        <v>45347</v>
      </c>
      <c r="H515" s="247" t="s">
        <v>14</v>
      </c>
      <c r="I515" s="250" t="s">
        <v>79</v>
      </c>
    </row>
    <row r="516" spans="1:9">
      <c r="A516" s="246">
        <v>512</v>
      </c>
      <c r="B516" s="247" t="s">
        <v>15</v>
      </c>
      <c r="C516" s="302" t="str">
        <f>"2142"</f>
        <v>2142</v>
      </c>
      <c r="D516" s="247" t="s">
        <v>18</v>
      </c>
      <c r="E516" s="248">
        <v>67</v>
      </c>
      <c r="F516" s="249">
        <v>41742</v>
      </c>
      <c r="G516" s="249">
        <v>43567</v>
      </c>
      <c r="H516" s="247" t="s">
        <v>14</v>
      </c>
      <c r="I516" s="250" t="s">
        <v>448</v>
      </c>
    </row>
    <row r="517" spans="1:9">
      <c r="A517" s="246">
        <v>513</v>
      </c>
      <c r="B517" s="247" t="s">
        <v>116</v>
      </c>
      <c r="C517" s="302" t="str">
        <f>"2150"</f>
        <v>2150</v>
      </c>
      <c r="D517" s="247" t="s">
        <v>18</v>
      </c>
      <c r="E517" s="248">
        <v>106</v>
      </c>
      <c r="F517" s="249">
        <v>43522</v>
      </c>
      <c r="G517" s="249">
        <v>45347</v>
      </c>
      <c r="H517" s="247" t="s">
        <v>16</v>
      </c>
      <c r="I517" s="250" t="s">
        <v>79</v>
      </c>
    </row>
    <row r="518" spans="1:9">
      <c r="A518" s="246">
        <v>514</v>
      </c>
      <c r="B518" s="247" t="s">
        <v>116</v>
      </c>
      <c r="C518" s="302" t="str">
        <f>"2151"</f>
        <v>2151</v>
      </c>
      <c r="D518" s="247" t="s">
        <v>18</v>
      </c>
      <c r="E518" s="248">
        <v>62</v>
      </c>
      <c r="F518" s="249">
        <v>43522</v>
      </c>
      <c r="G518" s="249">
        <v>45347</v>
      </c>
      <c r="H518" s="247" t="s">
        <v>16</v>
      </c>
      <c r="I518" s="250" t="s">
        <v>79</v>
      </c>
    </row>
    <row r="519" spans="1:9">
      <c r="A519" s="246">
        <v>515</v>
      </c>
      <c r="B519" s="247" t="s">
        <v>116</v>
      </c>
      <c r="C519" s="302" t="str">
        <f>"2152"</f>
        <v>2152</v>
      </c>
      <c r="D519" s="247" t="s">
        <v>18</v>
      </c>
      <c r="E519" s="248">
        <v>163</v>
      </c>
      <c r="F519" s="249">
        <v>39947</v>
      </c>
      <c r="G519" s="249">
        <v>41772</v>
      </c>
      <c r="H519" s="247" t="s">
        <v>16</v>
      </c>
      <c r="I519" s="250" t="s">
        <v>3342</v>
      </c>
    </row>
    <row r="520" spans="1:9">
      <c r="A520" s="246">
        <v>516</v>
      </c>
      <c r="B520" s="247" t="s">
        <v>116</v>
      </c>
      <c r="C520" s="302" t="str">
        <f>"2154"</f>
        <v>2154</v>
      </c>
      <c r="D520" s="247" t="s">
        <v>18</v>
      </c>
      <c r="E520" s="248">
        <v>61</v>
      </c>
      <c r="F520" s="249">
        <v>43522</v>
      </c>
      <c r="G520" s="249">
        <v>45347</v>
      </c>
      <c r="H520" s="247" t="s">
        <v>70</v>
      </c>
      <c r="I520" s="250" t="s">
        <v>79</v>
      </c>
    </row>
    <row r="521" spans="1:9">
      <c r="A521" s="246">
        <v>517</v>
      </c>
      <c r="B521" s="247" t="s">
        <v>116</v>
      </c>
      <c r="C521" s="302" t="str">
        <f>"2156"</f>
        <v>2156</v>
      </c>
      <c r="D521" s="247" t="s">
        <v>18</v>
      </c>
      <c r="E521" s="248">
        <v>100</v>
      </c>
      <c r="F521" s="249">
        <v>43522</v>
      </c>
      <c r="G521" s="249">
        <v>45347</v>
      </c>
      <c r="H521" s="247" t="s">
        <v>14</v>
      </c>
      <c r="I521" s="250" t="s">
        <v>79</v>
      </c>
    </row>
    <row r="522" spans="1:9">
      <c r="A522" s="246">
        <v>518</v>
      </c>
      <c r="B522" s="247" t="s">
        <v>15</v>
      </c>
      <c r="C522" s="302" t="str">
        <f>"2176"</f>
        <v>2176</v>
      </c>
      <c r="D522" s="247" t="s">
        <v>18</v>
      </c>
      <c r="E522" s="248">
        <v>117</v>
      </c>
      <c r="F522" s="249">
        <v>41742</v>
      </c>
      <c r="G522" s="249">
        <v>43567</v>
      </c>
      <c r="H522" s="247" t="s">
        <v>16</v>
      </c>
      <c r="I522" s="250" t="s">
        <v>3386</v>
      </c>
    </row>
    <row r="523" spans="1:9">
      <c r="A523" s="246">
        <v>519</v>
      </c>
      <c r="B523" s="247" t="s">
        <v>15</v>
      </c>
      <c r="C523" s="302" t="str">
        <f>"2177"</f>
        <v>2177</v>
      </c>
      <c r="D523" s="247" t="s">
        <v>18</v>
      </c>
      <c r="E523" s="248">
        <v>115</v>
      </c>
      <c r="F523" s="249">
        <v>41742</v>
      </c>
      <c r="G523" s="249">
        <v>43567</v>
      </c>
      <c r="H523" s="247" t="s">
        <v>16</v>
      </c>
      <c r="I523" s="250" t="s">
        <v>3386</v>
      </c>
    </row>
    <row r="524" spans="1:9">
      <c r="A524" s="246">
        <v>520</v>
      </c>
      <c r="B524" s="247" t="s">
        <v>15</v>
      </c>
      <c r="C524" s="302" t="str">
        <f>"2178"</f>
        <v>2178</v>
      </c>
      <c r="D524" s="247" t="s">
        <v>18</v>
      </c>
      <c r="E524" s="248">
        <v>100</v>
      </c>
      <c r="F524" s="249">
        <v>41742</v>
      </c>
      <c r="G524" s="249">
        <v>43567</v>
      </c>
      <c r="H524" s="247" t="s">
        <v>16</v>
      </c>
      <c r="I524" s="250" t="s">
        <v>3386</v>
      </c>
    </row>
    <row r="525" spans="1:9">
      <c r="A525" s="246">
        <v>521</v>
      </c>
      <c r="B525" s="247" t="s">
        <v>15</v>
      </c>
      <c r="C525" s="302" t="str">
        <f>"2180"</f>
        <v>2180</v>
      </c>
      <c r="D525" s="247" t="s">
        <v>18</v>
      </c>
      <c r="E525" s="248">
        <v>100</v>
      </c>
      <c r="F525" s="249">
        <v>41742</v>
      </c>
      <c r="G525" s="249">
        <v>43567</v>
      </c>
      <c r="H525" s="247" t="s">
        <v>16</v>
      </c>
      <c r="I525" s="250" t="s">
        <v>3386</v>
      </c>
    </row>
    <row r="526" spans="1:9">
      <c r="A526" s="246">
        <v>522</v>
      </c>
      <c r="B526" s="247" t="s">
        <v>15</v>
      </c>
      <c r="C526" s="302" t="str">
        <f>"2181"</f>
        <v>2181</v>
      </c>
      <c r="D526" s="247" t="s">
        <v>18</v>
      </c>
      <c r="E526" s="248">
        <v>100</v>
      </c>
      <c r="F526" s="249">
        <v>41742</v>
      </c>
      <c r="G526" s="249">
        <v>43567</v>
      </c>
      <c r="H526" s="247" t="s">
        <v>16</v>
      </c>
      <c r="I526" s="250" t="s">
        <v>3386</v>
      </c>
    </row>
    <row r="527" spans="1:9">
      <c r="A527" s="246">
        <v>523</v>
      </c>
      <c r="B527" s="247" t="s">
        <v>15</v>
      </c>
      <c r="C527" s="302" t="str">
        <f>"2182"</f>
        <v>2182</v>
      </c>
      <c r="D527" s="247" t="s">
        <v>18</v>
      </c>
      <c r="E527" s="248">
        <v>100</v>
      </c>
      <c r="F527" s="249">
        <v>41742</v>
      </c>
      <c r="G527" s="249">
        <v>43567</v>
      </c>
      <c r="H527" s="247" t="s">
        <v>16</v>
      </c>
      <c r="I527" s="250" t="s">
        <v>3386</v>
      </c>
    </row>
    <row r="528" spans="1:9">
      <c r="A528" s="246">
        <v>524</v>
      </c>
      <c r="B528" s="247" t="s">
        <v>15</v>
      </c>
      <c r="C528" s="302" t="str">
        <f>"2186"</f>
        <v>2186</v>
      </c>
      <c r="D528" s="247" t="s">
        <v>18</v>
      </c>
      <c r="E528" s="248">
        <v>113</v>
      </c>
      <c r="F528" s="249">
        <v>41742</v>
      </c>
      <c r="G528" s="249">
        <v>43567</v>
      </c>
      <c r="H528" s="247" t="s">
        <v>16</v>
      </c>
      <c r="I528" s="250" t="s">
        <v>3386</v>
      </c>
    </row>
    <row r="529" spans="1:9">
      <c r="A529" s="246">
        <v>525</v>
      </c>
      <c r="B529" s="247" t="s">
        <v>15</v>
      </c>
      <c r="C529" s="302" t="str">
        <f>"2187"</f>
        <v>2187</v>
      </c>
      <c r="D529" s="247" t="s">
        <v>18</v>
      </c>
      <c r="E529" s="248">
        <v>100</v>
      </c>
      <c r="F529" s="249">
        <v>41742</v>
      </c>
      <c r="G529" s="249">
        <v>43567</v>
      </c>
      <c r="H529" s="247" t="s">
        <v>16</v>
      </c>
      <c r="I529" s="250" t="s">
        <v>3386</v>
      </c>
    </row>
    <row r="530" spans="1:9">
      <c r="A530" s="246">
        <v>526</v>
      </c>
      <c r="B530" s="247" t="s">
        <v>15</v>
      </c>
      <c r="C530" s="302" t="str">
        <f>"2188"</f>
        <v>2188</v>
      </c>
      <c r="D530" s="247" t="s">
        <v>18</v>
      </c>
      <c r="E530" s="248">
        <v>100</v>
      </c>
      <c r="F530" s="249">
        <v>41742</v>
      </c>
      <c r="G530" s="249">
        <v>43567</v>
      </c>
      <c r="H530" s="247" t="s">
        <v>16</v>
      </c>
      <c r="I530" s="250" t="s">
        <v>3386</v>
      </c>
    </row>
    <row r="531" spans="1:9">
      <c r="A531" s="246">
        <v>527</v>
      </c>
      <c r="B531" s="247" t="s">
        <v>15</v>
      </c>
      <c r="C531" s="302" t="str">
        <f>"2192"</f>
        <v>2192</v>
      </c>
      <c r="D531" s="247" t="s">
        <v>18</v>
      </c>
      <c r="E531" s="248">
        <v>75</v>
      </c>
      <c r="F531" s="249">
        <v>41742</v>
      </c>
      <c r="G531" s="249">
        <v>43567</v>
      </c>
      <c r="H531" s="247" t="s">
        <v>70</v>
      </c>
      <c r="I531" s="250" t="s">
        <v>448</v>
      </c>
    </row>
    <row r="532" spans="1:9">
      <c r="A532" s="246">
        <v>528</v>
      </c>
      <c r="B532" s="247" t="s">
        <v>117</v>
      </c>
      <c r="C532" s="302" t="str">
        <f>"2214"</f>
        <v>2214</v>
      </c>
      <c r="D532" s="247" t="s">
        <v>13</v>
      </c>
      <c r="E532" s="248">
        <v>145</v>
      </c>
      <c r="F532" s="249">
        <v>42037</v>
      </c>
      <c r="G532" s="249">
        <v>52994</v>
      </c>
      <c r="H532" s="247" t="s">
        <v>14</v>
      </c>
      <c r="I532" s="250" t="s">
        <v>79</v>
      </c>
    </row>
    <row r="533" spans="1:9">
      <c r="A533" s="246">
        <v>529</v>
      </c>
      <c r="B533" s="247" t="s">
        <v>116</v>
      </c>
      <c r="C533" s="302" t="str">
        <f>"2215"</f>
        <v>2215</v>
      </c>
      <c r="D533" s="247" t="s">
        <v>18</v>
      </c>
      <c r="E533" s="248">
        <v>82</v>
      </c>
      <c r="F533" s="249">
        <v>43522</v>
      </c>
      <c r="G533" s="249">
        <v>45347</v>
      </c>
      <c r="H533" s="247" t="s">
        <v>14</v>
      </c>
      <c r="I533" s="250" t="s">
        <v>79</v>
      </c>
    </row>
    <row r="534" spans="1:9">
      <c r="A534" s="246">
        <v>530</v>
      </c>
      <c r="B534" s="247" t="s">
        <v>116</v>
      </c>
      <c r="C534" s="302" t="str">
        <f>"2216"</f>
        <v>2216</v>
      </c>
      <c r="D534" s="247" t="s">
        <v>18</v>
      </c>
      <c r="E534" s="248">
        <v>97</v>
      </c>
      <c r="F534" s="249">
        <v>43522</v>
      </c>
      <c r="G534" s="249">
        <v>45347</v>
      </c>
      <c r="H534" s="247" t="s">
        <v>14</v>
      </c>
      <c r="I534" s="250" t="s">
        <v>79</v>
      </c>
    </row>
    <row r="535" spans="1:9">
      <c r="A535" s="246">
        <v>531</v>
      </c>
      <c r="B535" s="247" t="s">
        <v>3392</v>
      </c>
      <c r="C535" s="302" t="str">
        <f>"2226"</f>
        <v>2226</v>
      </c>
      <c r="D535" s="247" t="s">
        <v>18</v>
      </c>
      <c r="E535" s="248">
        <v>161</v>
      </c>
      <c r="F535" s="249">
        <v>40944</v>
      </c>
      <c r="G535" s="249">
        <v>43063</v>
      </c>
      <c r="H535" s="247" t="s">
        <v>32</v>
      </c>
      <c r="I535" s="250" t="s">
        <v>3351</v>
      </c>
    </row>
    <row r="536" spans="1:9">
      <c r="A536" s="246">
        <v>532</v>
      </c>
      <c r="B536" s="247" t="s">
        <v>3392</v>
      </c>
      <c r="C536" s="302" t="str">
        <f>"2227"</f>
        <v>2227</v>
      </c>
      <c r="D536" s="247" t="s">
        <v>18</v>
      </c>
      <c r="E536" s="248">
        <v>161</v>
      </c>
      <c r="F536" s="249">
        <v>41462</v>
      </c>
      <c r="G536" s="249">
        <v>43580</v>
      </c>
      <c r="H536" s="247" t="s">
        <v>32</v>
      </c>
      <c r="I536" s="250" t="s">
        <v>3351</v>
      </c>
    </row>
    <row r="537" spans="1:9">
      <c r="A537" s="246">
        <v>533</v>
      </c>
      <c r="B537" s="247" t="s">
        <v>3392</v>
      </c>
      <c r="C537" s="302" t="str">
        <f>"2229"</f>
        <v>2229</v>
      </c>
      <c r="D537" s="247" t="s">
        <v>18</v>
      </c>
      <c r="E537" s="248">
        <v>148</v>
      </c>
      <c r="F537" s="249">
        <v>40944</v>
      </c>
      <c r="G537" s="249">
        <v>43619</v>
      </c>
      <c r="H537" s="247" t="s">
        <v>32</v>
      </c>
      <c r="I537" s="250" t="s">
        <v>3351</v>
      </c>
    </row>
    <row r="538" spans="1:9">
      <c r="A538" s="246">
        <v>534</v>
      </c>
      <c r="B538" s="247" t="s">
        <v>3392</v>
      </c>
      <c r="C538" s="302" t="str">
        <f>"2230"</f>
        <v>2230</v>
      </c>
      <c r="D538" s="247" t="s">
        <v>18</v>
      </c>
      <c r="E538" s="248">
        <v>181</v>
      </c>
      <c r="F538" s="249">
        <v>40944</v>
      </c>
      <c r="G538" s="249">
        <v>43491</v>
      </c>
      <c r="H538" s="247" t="s">
        <v>32</v>
      </c>
      <c r="I538" s="250" t="s">
        <v>3351</v>
      </c>
    </row>
    <row r="539" spans="1:9">
      <c r="A539" s="246">
        <v>535</v>
      </c>
      <c r="B539" s="247" t="s">
        <v>3392</v>
      </c>
      <c r="C539" s="302" t="str">
        <f>"2231"</f>
        <v>2231</v>
      </c>
      <c r="D539" s="247" t="s">
        <v>18</v>
      </c>
      <c r="E539" s="248">
        <v>231</v>
      </c>
      <c r="F539" s="249">
        <v>40944</v>
      </c>
      <c r="G539" s="249">
        <v>43619</v>
      </c>
      <c r="H539" s="247" t="s">
        <v>32</v>
      </c>
      <c r="I539" s="250" t="s">
        <v>3351</v>
      </c>
    </row>
    <row r="540" spans="1:9">
      <c r="A540" s="246">
        <v>536</v>
      </c>
      <c r="B540" s="247" t="s">
        <v>121</v>
      </c>
      <c r="C540" s="302" t="str">
        <f>"2266"</f>
        <v>2266</v>
      </c>
      <c r="D540" s="247" t="s">
        <v>18</v>
      </c>
      <c r="E540" s="248">
        <v>40</v>
      </c>
      <c r="F540" s="249">
        <v>39958</v>
      </c>
      <c r="G540" s="249">
        <v>41783</v>
      </c>
      <c r="H540" s="247" t="s">
        <v>22</v>
      </c>
      <c r="I540" s="250" t="s">
        <v>438</v>
      </c>
    </row>
    <row r="541" spans="1:9">
      <c r="A541" s="246">
        <v>537</v>
      </c>
      <c r="B541" s="247" t="s">
        <v>114</v>
      </c>
      <c r="C541" s="302" t="str">
        <f>"2275"</f>
        <v>2275</v>
      </c>
      <c r="D541" s="247" t="s">
        <v>30</v>
      </c>
      <c r="E541" s="248">
        <v>63</v>
      </c>
      <c r="F541" s="249">
        <v>42251</v>
      </c>
      <c r="G541" s="249">
        <v>44077</v>
      </c>
      <c r="H541" s="247" t="s">
        <v>16</v>
      </c>
      <c r="I541" s="250" t="s">
        <v>3353</v>
      </c>
    </row>
    <row r="542" spans="1:9">
      <c r="A542" s="246">
        <v>538</v>
      </c>
      <c r="B542" s="247" t="s">
        <v>3392</v>
      </c>
      <c r="C542" s="302" t="str">
        <f>"2285"</f>
        <v>2285</v>
      </c>
      <c r="D542" s="247" t="s">
        <v>18</v>
      </c>
      <c r="E542" s="248">
        <v>231</v>
      </c>
      <c r="F542" s="249">
        <v>40944</v>
      </c>
      <c r="G542" s="249">
        <v>43621</v>
      </c>
      <c r="H542" s="247" t="s">
        <v>25</v>
      </c>
      <c r="I542" s="250" t="s">
        <v>3351</v>
      </c>
    </row>
    <row r="543" spans="1:9">
      <c r="A543" s="246">
        <v>539</v>
      </c>
      <c r="B543" s="247" t="s">
        <v>3392</v>
      </c>
      <c r="C543" s="302" t="str">
        <f>"2286"</f>
        <v>2286</v>
      </c>
      <c r="D543" s="247" t="s">
        <v>18</v>
      </c>
      <c r="E543" s="248">
        <v>217</v>
      </c>
      <c r="F543" s="249">
        <v>40944</v>
      </c>
      <c r="G543" s="249">
        <v>43619</v>
      </c>
      <c r="H543" s="247" t="s">
        <v>25</v>
      </c>
      <c r="I543" s="250" t="s">
        <v>3351</v>
      </c>
    </row>
    <row r="544" spans="1:9">
      <c r="A544" s="246">
        <v>540</v>
      </c>
      <c r="B544" s="247" t="s">
        <v>3392</v>
      </c>
      <c r="C544" s="302" t="str">
        <f>"2287"</f>
        <v>2287</v>
      </c>
      <c r="D544" s="247" t="s">
        <v>18</v>
      </c>
      <c r="E544" s="248">
        <v>214</v>
      </c>
      <c r="F544" s="249">
        <v>40944</v>
      </c>
      <c r="G544" s="249">
        <v>43619</v>
      </c>
      <c r="H544" s="247" t="s">
        <v>32</v>
      </c>
      <c r="I544" s="250" t="s">
        <v>3351</v>
      </c>
    </row>
    <row r="545" spans="1:9">
      <c r="A545" s="246">
        <v>541</v>
      </c>
      <c r="B545" s="247" t="s">
        <v>3392</v>
      </c>
      <c r="C545" s="302" t="str">
        <f>"2289"</f>
        <v>2289</v>
      </c>
      <c r="D545" s="247" t="s">
        <v>18</v>
      </c>
      <c r="E545" s="248">
        <v>228</v>
      </c>
      <c r="F545" s="249">
        <v>40944</v>
      </c>
      <c r="G545" s="249">
        <v>43619</v>
      </c>
      <c r="H545" s="247" t="s">
        <v>32</v>
      </c>
      <c r="I545" s="250" t="s">
        <v>3351</v>
      </c>
    </row>
    <row r="546" spans="1:9">
      <c r="A546" s="246">
        <v>542</v>
      </c>
      <c r="B546" s="247" t="s">
        <v>3392</v>
      </c>
      <c r="C546" s="302" t="str">
        <f>"2290"</f>
        <v>2290</v>
      </c>
      <c r="D546" s="247" t="s">
        <v>18</v>
      </c>
      <c r="E546" s="248">
        <v>222</v>
      </c>
      <c r="F546" s="249">
        <v>40944</v>
      </c>
      <c r="G546" s="249">
        <v>43619</v>
      </c>
      <c r="H546" s="247" t="s">
        <v>32</v>
      </c>
      <c r="I546" s="250" t="s">
        <v>3351</v>
      </c>
    </row>
    <row r="547" spans="1:9">
      <c r="A547" s="246">
        <v>543</v>
      </c>
      <c r="B547" s="247" t="s">
        <v>3392</v>
      </c>
      <c r="C547" s="302" t="str">
        <f>"2291"</f>
        <v>2291</v>
      </c>
      <c r="D547" s="247" t="s">
        <v>18</v>
      </c>
      <c r="E547" s="248">
        <v>224</v>
      </c>
      <c r="F547" s="249">
        <v>40944</v>
      </c>
      <c r="G547" s="249">
        <v>43134</v>
      </c>
      <c r="H547" s="247" t="s">
        <v>32</v>
      </c>
      <c r="I547" s="250" t="s">
        <v>3351</v>
      </c>
    </row>
    <row r="548" spans="1:9">
      <c r="A548" s="246">
        <v>544</v>
      </c>
      <c r="B548" s="247" t="s">
        <v>3368</v>
      </c>
      <c r="C548" s="302" t="str">
        <f>"2303"</f>
        <v>2303</v>
      </c>
      <c r="D548" s="247" t="s">
        <v>30</v>
      </c>
      <c r="E548" s="248">
        <v>19</v>
      </c>
      <c r="F548" s="249">
        <v>41857</v>
      </c>
      <c r="G548" s="249">
        <v>43999</v>
      </c>
      <c r="H548" s="247" t="s">
        <v>26</v>
      </c>
      <c r="I548" s="250" t="s">
        <v>437</v>
      </c>
    </row>
    <row r="549" spans="1:9">
      <c r="A549" s="246">
        <v>545</v>
      </c>
      <c r="B549" s="247" t="s">
        <v>3364</v>
      </c>
      <c r="C549" s="302" t="str">
        <f>"2306"</f>
        <v>2306</v>
      </c>
      <c r="D549" s="247" t="s">
        <v>13</v>
      </c>
      <c r="E549" s="248">
        <v>36</v>
      </c>
      <c r="F549" s="249">
        <v>40151</v>
      </c>
      <c r="G549" s="249">
        <v>51107</v>
      </c>
      <c r="H549" s="247" t="s">
        <v>26</v>
      </c>
      <c r="I549" s="250" t="s">
        <v>438</v>
      </c>
    </row>
    <row r="550" spans="1:9">
      <c r="A550" s="246">
        <v>546</v>
      </c>
      <c r="B550" s="247" t="s">
        <v>118</v>
      </c>
      <c r="C550" s="302" t="str">
        <f>"2315"</f>
        <v>2315</v>
      </c>
      <c r="D550" s="247" t="s">
        <v>13</v>
      </c>
      <c r="E550" s="248">
        <v>17</v>
      </c>
      <c r="F550" s="249">
        <v>43719</v>
      </c>
      <c r="G550" s="249">
        <v>52850</v>
      </c>
      <c r="H550" s="247" t="s">
        <v>16</v>
      </c>
      <c r="I550" s="250" t="s">
        <v>79</v>
      </c>
    </row>
    <row r="551" spans="1:9">
      <c r="A551" s="246">
        <v>547</v>
      </c>
      <c r="B551" s="247" t="s">
        <v>3393</v>
      </c>
      <c r="C551" s="302" t="str">
        <f>"2316"</f>
        <v>2316</v>
      </c>
      <c r="D551" s="247" t="s">
        <v>18</v>
      </c>
      <c r="E551" s="248">
        <v>46</v>
      </c>
      <c r="F551" s="249">
        <v>39964</v>
      </c>
      <c r="G551" s="249">
        <v>41789</v>
      </c>
      <c r="H551" s="247" t="s">
        <v>59</v>
      </c>
      <c r="I551" s="250" t="s">
        <v>3351</v>
      </c>
    </row>
    <row r="552" spans="1:9">
      <c r="A552" s="246">
        <v>548</v>
      </c>
      <c r="B552" s="247" t="s">
        <v>3393</v>
      </c>
      <c r="C552" s="302" t="str">
        <f>"2318"</f>
        <v>2318</v>
      </c>
      <c r="D552" s="247" t="s">
        <v>18</v>
      </c>
      <c r="E552" s="248">
        <v>215</v>
      </c>
      <c r="F552" s="249">
        <v>38138</v>
      </c>
      <c r="G552" s="249">
        <v>39963</v>
      </c>
      <c r="H552" s="247" t="s">
        <v>59</v>
      </c>
      <c r="I552" s="250" t="s">
        <v>3351</v>
      </c>
    </row>
    <row r="553" spans="1:9">
      <c r="A553" s="246">
        <v>549</v>
      </c>
      <c r="B553" s="247" t="s">
        <v>119</v>
      </c>
      <c r="C553" s="302" t="str">
        <f>"2322"</f>
        <v>2322</v>
      </c>
      <c r="D553" s="247" t="s">
        <v>30</v>
      </c>
      <c r="E553" s="248">
        <v>17</v>
      </c>
      <c r="F553" s="249">
        <v>43621</v>
      </c>
      <c r="G553" s="249">
        <v>45447</v>
      </c>
      <c r="H553" s="247" t="s">
        <v>14</v>
      </c>
      <c r="I553" s="250" t="s">
        <v>79</v>
      </c>
    </row>
    <row r="554" spans="1:9">
      <c r="A554" s="246">
        <v>550</v>
      </c>
      <c r="B554" s="247" t="s">
        <v>3394</v>
      </c>
      <c r="C554" s="302" t="str">
        <f>"2331"</f>
        <v>2331</v>
      </c>
      <c r="D554" s="247" t="s">
        <v>18</v>
      </c>
      <c r="E554" s="248">
        <v>9</v>
      </c>
      <c r="F554" s="249">
        <v>39607</v>
      </c>
      <c r="G554" s="249">
        <v>42528</v>
      </c>
      <c r="H554" s="247" t="s">
        <v>94</v>
      </c>
      <c r="I554" s="250" t="s">
        <v>438</v>
      </c>
    </row>
    <row r="555" spans="1:9">
      <c r="A555" s="246">
        <v>551</v>
      </c>
      <c r="B555" s="247" t="s">
        <v>120</v>
      </c>
      <c r="C555" s="302" t="str">
        <f>"2339"</f>
        <v>2339</v>
      </c>
      <c r="D555" s="247" t="s">
        <v>13</v>
      </c>
      <c r="E555" s="248">
        <v>30</v>
      </c>
      <c r="F555" s="249">
        <v>43377</v>
      </c>
      <c r="G555" s="249">
        <v>52507</v>
      </c>
      <c r="H555" s="247" t="s">
        <v>14</v>
      </c>
      <c r="I555" s="250" t="s">
        <v>79</v>
      </c>
    </row>
    <row r="556" spans="1:9">
      <c r="A556" s="246">
        <v>552</v>
      </c>
      <c r="B556" s="247" t="s">
        <v>120</v>
      </c>
      <c r="C556" s="302" t="str">
        <f>"2342"</f>
        <v>2342</v>
      </c>
      <c r="D556" s="247" t="s">
        <v>13</v>
      </c>
      <c r="E556" s="248">
        <v>15</v>
      </c>
      <c r="F556" s="249">
        <v>43377</v>
      </c>
      <c r="G556" s="249">
        <v>52507</v>
      </c>
      <c r="H556" s="247" t="s">
        <v>16</v>
      </c>
      <c r="I556" s="250" t="s">
        <v>79</v>
      </c>
    </row>
    <row r="557" spans="1:9">
      <c r="A557" s="246">
        <v>553</v>
      </c>
      <c r="B557" s="247" t="s">
        <v>43</v>
      </c>
      <c r="C557" s="302" t="str">
        <f>"2347"</f>
        <v>2347</v>
      </c>
      <c r="D557" s="247" t="s">
        <v>13</v>
      </c>
      <c r="E557" s="248">
        <v>136</v>
      </c>
      <c r="F557" s="249">
        <v>40245</v>
      </c>
      <c r="G557" s="249">
        <v>51202</v>
      </c>
      <c r="H557" s="247" t="s">
        <v>14</v>
      </c>
      <c r="I557" s="250" t="s">
        <v>79</v>
      </c>
    </row>
    <row r="558" spans="1:9">
      <c r="A558" s="246">
        <v>554</v>
      </c>
      <c r="B558" s="247" t="s">
        <v>43</v>
      </c>
      <c r="C558" s="302" t="str">
        <f>"2348"</f>
        <v>2348</v>
      </c>
      <c r="D558" s="247" t="s">
        <v>13</v>
      </c>
      <c r="E558" s="248">
        <v>183</v>
      </c>
      <c r="F558" s="249">
        <v>40245</v>
      </c>
      <c r="G558" s="249">
        <v>51202</v>
      </c>
      <c r="H558" s="247" t="s">
        <v>16</v>
      </c>
      <c r="I558" s="250" t="s">
        <v>79</v>
      </c>
    </row>
    <row r="559" spans="1:9">
      <c r="A559" s="246">
        <v>555</v>
      </c>
      <c r="B559" s="247" t="s">
        <v>43</v>
      </c>
      <c r="C559" s="302" t="str">
        <f>"2349"</f>
        <v>2349</v>
      </c>
      <c r="D559" s="247" t="s">
        <v>13</v>
      </c>
      <c r="E559" s="248">
        <v>66</v>
      </c>
      <c r="F559" s="249">
        <v>40520</v>
      </c>
      <c r="G559" s="249">
        <v>51477</v>
      </c>
      <c r="H559" s="247" t="s">
        <v>70</v>
      </c>
      <c r="I559" s="250" t="s">
        <v>79</v>
      </c>
    </row>
    <row r="560" spans="1:9">
      <c r="A560" s="246">
        <v>556</v>
      </c>
      <c r="B560" s="247" t="s">
        <v>43</v>
      </c>
      <c r="C560" s="302" t="str">
        <f>"2350"</f>
        <v>2350</v>
      </c>
      <c r="D560" s="247" t="s">
        <v>13</v>
      </c>
      <c r="E560" s="248">
        <v>270</v>
      </c>
      <c r="F560" s="249">
        <v>40394</v>
      </c>
      <c r="G560" s="249">
        <v>51351</v>
      </c>
      <c r="H560" s="247" t="s">
        <v>16</v>
      </c>
      <c r="I560" s="250" t="s">
        <v>79</v>
      </c>
    </row>
    <row r="561" spans="1:9">
      <c r="A561" s="246">
        <v>557</v>
      </c>
      <c r="B561" s="247" t="s">
        <v>43</v>
      </c>
      <c r="C561" s="302" t="str">
        <f>"2351"</f>
        <v>2351</v>
      </c>
      <c r="D561" s="247" t="s">
        <v>13</v>
      </c>
      <c r="E561" s="248">
        <v>174</v>
      </c>
      <c r="F561" s="249">
        <v>40245</v>
      </c>
      <c r="G561" s="249">
        <v>51202</v>
      </c>
      <c r="H561" s="247" t="s">
        <v>14</v>
      </c>
      <c r="I561" s="250" t="s">
        <v>79</v>
      </c>
    </row>
    <row r="562" spans="1:9">
      <c r="A562" s="246">
        <v>558</v>
      </c>
      <c r="B562" s="247" t="s">
        <v>43</v>
      </c>
      <c r="C562" s="302" t="str">
        <f>"2352"</f>
        <v>2352</v>
      </c>
      <c r="D562" s="247" t="s">
        <v>13</v>
      </c>
      <c r="E562" s="248">
        <v>10</v>
      </c>
      <c r="F562" s="249">
        <v>40245</v>
      </c>
      <c r="G562" s="249">
        <v>51202</v>
      </c>
      <c r="H562" s="247" t="s">
        <v>16</v>
      </c>
      <c r="I562" s="250" t="s">
        <v>79</v>
      </c>
    </row>
    <row r="563" spans="1:9">
      <c r="A563" s="246">
        <v>559</v>
      </c>
      <c r="B563" s="247" t="s">
        <v>43</v>
      </c>
      <c r="C563" s="302" t="str">
        <f>"2353"</f>
        <v>2353</v>
      </c>
      <c r="D563" s="247" t="s">
        <v>13</v>
      </c>
      <c r="E563" s="248">
        <v>161</v>
      </c>
      <c r="F563" s="249">
        <v>40245</v>
      </c>
      <c r="G563" s="249">
        <v>51202</v>
      </c>
      <c r="H563" s="247" t="s">
        <v>14</v>
      </c>
      <c r="I563" s="250" t="s">
        <v>79</v>
      </c>
    </row>
    <row r="564" spans="1:9">
      <c r="A564" s="246">
        <v>560</v>
      </c>
      <c r="B564" s="247" t="s">
        <v>43</v>
      </c>
      <c r="C564" s="302" t="str">
        <f>"2354"</f>
        <v>2354</v>
      </c>
      <c r="D564" s="247" t="s">
        <v>13</v>
      </c>
      <c r="E564" s="248">
        <v>201</v>
      </c>
      <c r="F564" s="249">
        <v>40245</v>
      </c>
      <c r="G564" s="249">
        <v>51202</v>
      </c>
      <c r="H564" s="247" t="s">
        <v>14</v>
      </c>
      <c r="I564" s="250" t="s">
        <v>79</v>
      </c>
    </row>
    <row r="565" spans="1:9">
      <c r="A565" s="246">
        <v>561</v>
      </c>
      <c r="B565" s="247" t="s">
        <v>43</v>
      </c>
      <c r="C565" s="302" t="str">
        <f>"2355"</f>
        <v>2355</v>
      </c>
      <c r="D565" s="247" t="s">
        <v>13</v>
      </c>
      <c r="E565" s="248">
        <v>121</v>
      </c>
      <c r="F565" s="249">
        <v>40245</v>
      </c>
      <c r="G565" s="249">
        <v>51202</v>
      </c>
      <c r="H565" s="247" t="s">
        <v>14</v>
      </c>
      <c r="I565" s="250" t="s">
        <v>79</v>
      </c>
    </row>
    <row r="566" spans="1:9">
      <c r="A566" s="246">
        <v>562</v>
      </c>
      <c r="B566" s="247" t="s">
        <v>43</v>
      </c>
      <c r="C566" s="302" t="str">
        <f>"2356"</f>
        <v>2356</v>
      </c>
      <c r="D566" s="247" t="s">
        <v>13</v>
      </c>
      <c r="E566" s="248">
        <v>82</v>
      </c>
      <c r="F566" s="249">
        <v>40245</v>
      </c>
      <c r="G566" s="249">
        <v>51202</v>
      </c>
      <c r="H566" s="247" t="s">
        <v>14</v>
      </c>
      <c r="I566" s="250" t="s">
        <v>79</v>
      </c>
    </row>
    <row r="567" spans="1:9">
      <c r="A567" s="246">
        <v>563</v>
      </c>
      <c r="B567" s="247" t="s">
        <v>43</v>
      </c>
      <c r="C567" s="302" t="str">
        <f>"2357"</f>
        <v>2357</v>
      </c>
      <c r="D567" s="247" t="s">
        <v>13</v>
      </c>
      <c r="E567" s="248">
        <v>141</v>
      </c>
      <c r="F567" s="249">
        <v>40245</v>
      </c>
      <c r="G567" s="249">
        <v>51202</v>
      </c>
      <c r="H567" s="247" t="s">
        <v>14</v>
      </c>
      <c r="I567" s="250" t="s">
        <v>79</v>
      </c>
    </row>
    <row r="568" spans="1:9">
      <c r="A568" s="246">
        <v>564</v>
      </c>
      <c r="B568" s="247" t="s">
        <v>43</v>
      </c>
      <c r="C568" s="302" t="str">
        <f>"2358"</f>
        <v>2358</v>
      </c>
      <c r="D568" s="247" t="s">
        <v>13</v>
      </c>
      <c r="E568" s="248">
        <v>147</v>
      </c>
      <c r="F568" s="249">
        <v>42999</v>
      </c>
      <c r="G568" s="249">
        <v>53955</v>
      </c>
      <c r="H568" s="247" t="s">
        <v>14</v>
      </c>
      <c r="I568" s="250" t="s">
        <v>79</v>
      </c>
    </row>
    <row r="569" spans="1:9">
      <c r="A569" s="246">
        <v>565</v>
      </c>
      <c r="B569" s="247" t="s">
        <v>43</v>
      </c>
      <c r="C569" s="302" t="str">
        <f>"2359"</f>
        <v>2359</v>
      </c>
      <c r="D569" s="247" t="s">
        <v>13</v>
      </c>
      <c r="E569" s="248">
        <v>107</v>
      </c>
      <c r="F569" s="249">
        <v>40245</v>
      </c>
      <c r="G569" s="249">
        <v>51202</v>
      </c>
      <c r="H569" s="247" t="s">
        <v>14</v>
      </c>
      <c r="I569" s="250" t="s">
        <v>79</v>
      </c>
    </row>
    <row r="570" spans="1:9">
      <c r="A570" s="246">
        <v>566</v>
      </c>
      <c r="B570" s="247" t="s">
        <v>43</v>
      </c>
      <c r="C570" s="302" t="str">
        <f>"2360"</f>
        <v>2360</v>
      </c>
      <c r="D570" s="247" t="s">
        <v>13</v>
      </c>
      <c r="E570" s="248">
        <v>183</v>
      </c>
      <c r="F570" s="249">
        <v>40368</v>
      </c>
      <c r="G570" s="249">
        <v>51325</v>
      </c>
      <c r="H570" s="247" t="s">
        <v>14</v>
      </c>
      <c r="I570" s="250" t="s">
        <v>79</v>
      </c>
    </row>
    <row r="571" spans="1:9">
      <c r="A571" s="246">
        <v>567</v>
      </c>
      <c r="B571" s="247" t="s">
        <v>43</v>
      </c>
      <c r="C571" s="302" t="str">
        <f>"2361"</f>
        <v>2361</v>
      </c>
      <c r="D571" s="247" t="s">
        <v>13</v>
      </c>
      <c r="E571" s="248">
        <v>7</v>
      </c>
      <c r="F571" s="249">
        <v>40396</v>
      </c>
      <c r="G571" s="249">
        <v>51353</v>
      </c>
      <c r="H571" s="247" t="s">
        <v>16</v>
      </c>
      <c r="I571" s="250" t="s">
        <v>79</v>
      </c>
    </row>
    <row r="572" spans="1:9">
      <c r="A572" s="246">
        <v>568</v>
      </c>
      <c r="B572" s="247" t="s">
        <v>43</v>
      </c>
      <c r="C572" s="302" t="str">
        <f>"2362"</f>
        <v>2362</v>
      </c>
      <c r="D572" s="247" t="s">
        <v>13</v>
      </c>
      <c r="E572" s="248">
        <v>148</v>
      </c>
      <c r="F572" s="249">
        <v>40393</v>
      </c>
      <c r="G572" s="249">
        <v>51350</v>
      </c>
      <c r="H572" s="247" t="s">
        <v>70</v>
      </c>
      <c r="I572" s="250" t="s">
        <v>79</v>
      </c>
    </row>
    <row r="573" spans="1:9">
      <c r="A573" s="246">
        <v>569</v>
      </c>
      <c r="B573" s="247" t="s">
        <v>43</v>
      </c>
      <c r="C573" s="302" t="str">
        <f>"2363"</f>
        <v>2363</v>
      </c>
      <c r="D573" s="247" t="s">
        <v>21</v>
      </c>
      <c r="E573" s="248">
        <v>5</v>
      </c>
      <c r="F573" s="249">
        <v>43585</v>
      </c>
      <c r="G573" s="249">
        <v>45411</v>
      </c>
      <c r="H573" s="247" t="s">
        <v>16</v>
      </c>
      <c r="I573" s="250" t="s">
        <v>79</v>
      </c>
    </row>
    <row r="574" spans="1:9">
      <c r="A574" s="246">
        <v>570</v>
      </c>
      <c r="B574" s="247" t="s">
        <v>462</v>
      </c>
      <c r="C574" s="302" t="str">
        <f>"2364"</f>
        <v>2364</v>
      </c>
      <c r="D574" s="247" t="s">
        <v>21</v>
      </c>
      <c r="E574" s="248">
        <v>4</v>
      </c>
      <c r="F574" s="249">
        <v>40490</v>
      </c>
      <c r="G574" s="249">
        <v>44142</v>
      </c>
      <c r="H574" s="247" t="s">
        <v>14</v>
      </c>
      <c r="I574" s="250" t="s">
        <v>3342</v>
      </c>
    </row>
    <row r="575" spans="1:9">
      <c r="A575" s="246">
        <v>571</v>
      </c>
      <c r="B575" s="247" t="s">
        <v>463</v>
      </c>
      <c r="C575" s="302" t="str">
        <f>"2436"</f>
        <v>2436</v>
      </c>
      <c r="D575" s="247" t="s">
        <v>18</v>
      </c>
      <c r="E575" s="248">
        <v>149</v>
      </c>
      <c r="F575" s="249">
        <v>38180</v>
      </c>
      <c r="G575" s="249">
        <v>40005</v>
      </c>
      <c r="H575" s="247" t="s">
        <v>22</v>
      </c>
      <c r="I575" s="250" t="s">
        <v>3342</v>
      </c>
    </row>
    <row r="576" spans="1:9">
      <c r="A576" s="246">
        <v>572</v>
      </c>
      <c r="B576" s="247" t="s">
        <v>463</v>
      </c>
      <c r="C576" s="302" t="str">
        <f>"2445"</f>
        <v>2445</v>
      </c>
      <c r="D576" s="247" t="s">
        <v>18</v>
      </c>
      <c r="E576" s="248">
        <v>228</v>
      </c>
      <c r="F576" s="249">
        <v>42178</v>
      </c>
      <c r="G576" s="249">
        <v>44004</v>
      </c>
      <c r="H576" s="247" t="s">
        <v>22</v>
      </c>
      <c r="I576" s="250" t="s">
        <v>455</v>
      </c>
    </row>
    <row r="577" spans="1:9">
      <c r="A577" s="246">
        <v>573</v>
      </c>
      <c r="B577" s="247" t="s">
        <v>156</v>
      </c>
      <c r="C577" s="302" t="str">
        <f>"2458"</f>
        <v>2458</v>
      </c>
      <c r="D577" s="247" t="s">
        <v>21</v>
      </c>
      <c r="E577" s="248">
        <v>4</v>
      </c>
      <c r="F577" s="249">
        <v>42389</v>
      </c>
      <c r="G577" s="249">
        <v>44215</v>
      </c>
      <c r="H577" s="247" t="s">
        <v>14</v>
      </c>
      <c r="I577" s="250" t="s">
        <v>3342</v>
      </c>
    </row>
    <row r="578" spans="1:9">
      <c r="A578" s="246">
        <v>574</v>
      </c>
      <c r="B578" s="247" t="s">
        <v>3395</v>
      </c>
      <c r="C578" s="302" t="str">
        <f>"2477"</f>
        <v>2477</v>
      </c>
      <c r="D578" s="247" t="s">
        <v>18</v>
      </c>
      <c r="E578" s="248">
        <v>116</v>
      </c>
      <c r="F578" s="249">
        <v>41904</v>
      </c>
      <c r="G578" s="249">
        <v>44228</v>
      </c>
      <c r="H578" s="247" t="s">
        <v>59</v>
      </c>
      <c r="I578" s="250" t="s">
        <v>448</v>
      </c>
    </row>
    <row r="579" spans="1:9">
      <c r="A579" s="246">
        <v>575</v>
      </c>
      <c r="B579" s="247" t="s">
        <v>441</v>
      </c>
      <c r="C579" s="302" t="str">
        <f>"2485"</f>
        <v>2485</v>
      </c>
      <c r="D579" s="247" t="s">
        <v>18</v>
      </c>
      <c r="E579" s="248">
        <v>85</v>
      </c>
      <c r="F579" s="249">
        <v>38146</v>
      </c>
      <c r="G579" s="249">
        <v>39606</v>
      </c>
      <c r="H579" s="247" t="s">
        <v>26</v>
      </c>
      <c r="I579" s="250" t="s">
        <v>437</v>
      </c>
    </row>
    <row r="580" spans="1:9">
      <c r="A580" s="246">
        <v>576</v>
      </c>
      <c r="B580" s="247" t="s">
        <v>441</v>
      </c>
      <c r="C580" s="302" t="str">
        <f>"2488"</f>
        <v>2488</v>
      </c>
      <c r="D580" s="247" t="s">
        <v>18</v>
      </c>
      <c r="E580" s="248">
        <v>147</v>
      </c>
      <c r="F580" s="249">
        <v>38146</v>
      </c>
      <c r="G580" s="249">
        <v>39606</v>
      </c>
      <c r="H580" s="247" t="s">
        <v>26</v>
      </c>
      <c r="I580" s="250" t="s">
        <v>437</v>
      </c>
    </row>
    <row r="581" spans="1:9">
      <c r="A581" s="246">
        <v>577</v>
      </c>
      <c r="B581" s="247" t="s">
        <v>441</v>
      </c>
      <c r="C581" s="302" t="str">
        <f>"2492"</f>
        <v>2492</v>
      </c>
      <c r="D581" s="247" t="s">
        <v>18</v>
      </c>
      <c r="E581" s="248">
        <v>47</v>
      </c>
      <c r="F581" s="249">
        <v>38146</v>
      </c>
      <c r="G581" s="249">
        <v>39606</v>
      </c>
      <c r="H581" s="247" t="s">
        <v>26</v>
      </c>
      <c r="I581" s="250" t="s">
        <v>437</v>
      </c>
    </row>
    <row r="582" spans="1:9">
      <c r="A582" s="246">
        <v>578</v>
      </c>
      <c r="B582" s="247" t="s">
        <v>441</v>
      </c>
      <c r="C582" s="302" t="str">
        <f>"2494"</f>
        <v>2494</v>
      </c>
      <c r="D582" s="247" t="s">
        <v>18</v>
      </c>
      <c r="E582" s="248">
        <v>105</v>
      </c>
      <c r="F582" s="249">
        <v>38146</v>
      </c>
      <c r="G582" s="249">
        <v>39606</v>
      </c>
      <c r="H582" s="247" t="s">
        <v>26</v>
      </c>
      <c r="I582" s="250" t="s">
        <v>437</v>
      </c>
    </row>
    <row r="583" spans="1:9">
      <c r="A583" s="246">
        <v>579</v>
      </c>
      <c r="B583" s="247" t="s">
        <v>441</v>
      </c>
      <c r="C583" s="302" t="str">
        <f>"2495"</f>
        <v>2495</v>
      </c>
      <c r="D583" s="247" t="s">
        <v>18</v>
      </c>
      <c r="E583" s="248">
        <v>94</v>
      </c>
      <c r="F583" s="249">
        <v>38146</v>
      </c>
      <c r="G583" s="249">
        <v>39606</v>
      </c>
      <c r="H583" s="247" t="s">
        <v>26</v>
      </c>
      <c r="I583" s="250" t="s">
        <v>437</v>
      </c>
    </row>
    <row r="584" spans="1:9">
      <c r="A584" s="246">
        <v>580</v>
      </c>
      <c r="B584" s="247" t="s">
        <v>464</v>
      </c>
      <c r="C584" s="302" t="str">
        <f>"2505"</f>
        <v>2505</v>
      </c>
      <c r="D584" s="247" t="s">
        <v>30</v>
      </c>
      <c r="E584" s="248">
        <v>2</v>
      </c>
      <c r="F584" s="249">
        <v>40670</v>
      </c>
      <c r="G584" s="249">
        <v>44322</v>
      </c>
      <c r="H584" s="247" t="s">
        <v>16</v>
      </c>
      <c r="I584" s="250" t="s">
        <v>3353</v>
      </c>
    </row>
    <row r="585" spans="1:9">
      <c r="A585" s="246">
        <v>581</v>
      </c>
      <c r="B585" s="247" t="s">
        <v>121</v>
      </c>
      <c r="C585" s="302" t="str">
        <f>"2506"</f>
        <v>2506</v>
      </c>
      <c r="D585" s="247" t="s">
        <v>30</v>
      </c>
      <c r="E585" s="248">
        <v>7</v>
      </c>
      <c r="F585" s="249">
        <v>43510</v>
      </c>
      <c r="G585" s="249">
        <v>45335</v>
      </c>
      <c r="H585" s="247" t="s">
        <v>16</v>
      </c>
      <c r="I585" s="250" t="s">
        <v>79</v>
      </c>
    </row>
    <row r="586" spans="1:9">
      <c r="A586" s="246">
        <v>582</v>
      </c>
      <c r="B586" s="247" t="s">
        <v>116</v>
      </c>
      <c r="C586" s="302" t="str">
        <f>"2508"</f>
        <v>2508</v>
      </c>
      <c r="D586" s="247" t="s">
        <v>18</v>
      </c>
      <c r="E586" s="248">
        <v>50</v>
      </c>
      <c r="F586" s="249">
        <v>43522</v>
      </c>
      <c r="G586" s="249">
        <v>45347</v>
      </c>
      <c r="H586" s="247" t="s">
        <v>14</v>
      </c>
      <c r="I586" s="250" t="s">
        <v>79</v>
      </c>
    </row>
    <row r="587" spans="1:9">
      <c r="A587" s="246">
        <v>583</v>
      </c>
      <c r="B587" s="247" t="s">
        <v>116</v>
      </c>
      <c r="C587" s="302" t="str">
        <f>"2509"</f>
        <v>2509</v>
      </c>
      <c r="D587" s="247" t="s">
        <v>18</v>
      </c>
      <c r="E587" s="248">
        <v>92</v>
      </c>
      <c r="F587" s="249">
        <v>43522</v>
      </c>
      <c r="G587" s="249">
        <v>45347</v>
      </c>
      <c r="H587" s="247" t="s">
        <v>16</v>
      </c>
      <c r="I587" s="250" t="s">
        <v>79</v>
      </c>
    </row>
    <row r="588" spans="1:9">
      <c r="A588" s="246">
        <v>584</v>
      </c>
      <c r="B588" s="247" t="s">
        <v>116</v>
      </c>
      <c r="C588" s="302" t="str">
        <f>"2511"</f>
        <v>2511</v>
      </c>
      <c r="D588" s="247" t="s">
        <v>18</v>
      </c>
      <c r="E588" s="248">
        <v>100</v>
      </c>
      <c r="F588" s="249">
        <v>43522</v>
      </c>
      <c r="G588" s="249">
        <v>45347</v>
      </c>
      <c r="H588" s="247" t="s">
        <v>16</v>
      </c>
      <c r="I588" s="250" t="s">
        <v>79</v>
      </c>
    </row>
    <row r="589" spans="1:9">
      <c r="A589" s="246">
        <v>585</v>
      </c>
      <c r="B589" s="247" t="s">
        <v>116</v>
      </c>
      <c r="C589" s="302" t="str">
        <f>"2512"</f>
        <v>2512</v>
      </c>
      <c r="D589" s="247" t="s">
        <v>18</v>
      </c>
      <c r="E589" s="248">
        <v>70</v>
      </c>
      <c r="F589" s="249">
        <v>43522</v>
      </c>
      <c r="G589" s="249">
        <v>45347</v>
      </c>
      <c r="H589" s="247" t="s">
        <v>16</v>
      </c>
      <c r="I589" s="250" t="s">
        <v>79</v>
      </c>
    </row>
    <row r="590" spans="1:9">
      <c r="A590" s="246">
        <v>586</v>
      </c>
      <c r="B590" s="247" t="s">
        <v>116</v>
      </c>
      <c r="C590" s="302" t="str">
        <f>"2513"</f>
        <v>2513</v>
      </c>
      <c r="D590" s="247" t="s">
        <v>18</v>
      </c>
      <c r="E590" s="248">
        <v>96</v>
      </c>
      <c r="F590" s="249">
        <v>43522</v>
      </c>
      <c r="G590" s="249">
        <v>45347</v>
      </c>
      <c r="H590" s="247" t="s">
        <v>16</v>
      </c>
      <c r="I590" s="250" t="s">
        <v>79</v>
      </c>
    </row>
    <row r="591" spans="1:9">
      <c r="A591" s="246">
        <v>587</v>
      </c>
      <c r="B591" s="247" t="s">
        <v>95</v>
      </c>
      <c r="C591" s="302" t="str">
        <f>"2589"</f>
        <v>2589</v>
      </c>
      <c r="D591" s="247" t="s">
        <v>13</v>
      </c>
      <c r="E591" s="248">
        <v>2</v>
      </c>
      <c r="F591" s="249">
        <v>36253</v>
      </c>
      <c r="G591" s="249">
        <v>47210</v>
      </c>
      <c r="H591" s="247" t="s">
        <v>16</v>
      </c>
      <c r="I591" s="250" t="s">
        <v>79</v>
      </c>
    </row>
    <row r="592" spans="1:9">
      <c r="A592" s="246">
        <v>588</v>
      </c>
      <c r="B592" s="247" t="s">
        <v>43</v>
      </c>
      <c r="C592" s="302" t="str">
        <f>"2590"</f>
        <v>2590</v>
      </c>
      <c r="D592" s="247" t="s">
        <v>13</v>
      </c>
      <c r="E592" s="248">
        <v>92</v>
      </c>
      <c r="F592" s="249">
        <v>39908</v>
      </c>
      <c r="G592" s="249">
        <v>45386</v>
      </c>
      <c r="H592" s="247" t="s">
        <v>14</v>
      </c>
      <c r="I592" s="250" t="s">
        <v>79</v>
      </c>
    </row>
    <row r="593" spans="1:9">
      <c r="A593" s="246">
        <v>589</v>
      </c>
      <c r="B593" s="247" t="s">
        <v>55</v>
      </c>
      <c r="C593" s="302" t="str">
        <f>"2591"</f>
        <v>2591</v>
      </c>
      <c r="D593" s="247" t="s">
        <v>13</v>
      </c>
      <c r="E593" s="248">
        <v>162</v>
      </c>
      <c r="F593" s="249">
        <v>36105</v>
      </c>
      <c r="G593" s="249">
        <v>48032</v>
      </c>
      <c r="H593" s="247" t="s">
        <v>56</v>
      </c>
      <c r="I593" s="250" t="s">
        <v>433</v>
      </c>
    </row>
    <row r="594" spans="1:9">
      <c r="A594" s="246">
        <v>590</v>
      </c>
      <c r="B594" s="247" t="s">
        <v>55</v>
      </c>
      <c r="C594" s="302" t="str">
        <f>"2592"</f>
        <v>2592</v>
      </c>
      <c r="D594" s="247" t="s">
        <v>13</v>
      </c>
      <c r="E594" s="248">
        <v>256</v>
      </c>
      <c r="F594" s="249">
        <v>42557</v>
      </c>
      <c r="G594" s="249">
        <v>48034</v>
      </c>
      <c r="H594" s="247" t="s">
        <v>56</v>
      </c>
      <c r="I594" s="250" t="s">
        <v>79</v>
      </c>
    </row>
    <row r="595" spans="1:9">
      <c r="A595" s="246">
        <v>591</v>
      </c>
      <c r="B595" s="247" t="s">
        <v>55</v>
      </c>
      <c r="C595" s="302" t="str">
        <f>"2593"</f>
        <v>2593</v>
      </c>
      <c r="D595" s="247" t="s">
        <v>13</v>
      </c>
      <c r="E595" s="248">
        <v>236</v>
      </c>
      <c r="F595" s="249">
        <v>36105</v>
      </c>
      <c r="G595" s="249">
        <v>42556</v>
      </c>
      <c r="H595" s="247" t="s">
        <v>56</v>
      </c>
      <c r="I595" s="250" t="s">
        <v>3342</v>
      </c>
    </row>
    <row r="596" spans="1:9">
      <c r="A596" s="246">
        <v>592</v>
      </c>
      <c r="B596" s="247" t="s">
        <v>81</v>
      </c>
      <c r="C596" s="302" t="str">
        <f>"2594"</f>
        <v>2594</v>
      </c>
      <c r="D596" s="247" t="s">
        <v>13</v>
      </c>
      <c r="E596" s="248">
        <v>346</v>
      </c>
      <c r="F596" s="249">
        <v>42557</v>
      </c>
      <c r="G596" s="249">
        <v>48034</v>
      </c>
      <c r="H596" s="247" t="s">
        <v>56</v>
      </c>
      <c r="I596" s="250" t="s">
        <v>79</v>
      </c>
    </row>
    <row r="597" spans="1:9">
      <c r="A597" s="246">
        <v>593</v>
      </c>
      <c r="B597" s="247" t="s">
        <v>81</v>
      </c>
      <c r="C597" s="302" t="str">
        <f>"2595"</f>
        <v>2595</v>
      </c>
      <c r="D597" s="247" t="s">
        <v>13</v>
      </c>
      <c r="E597" s="248">
        <v>267</v>
      </c>
      <c r="F597" s="249">
        <v>42557</v>
      </c>
      <c r="G597" s="249">
        <v>48034</v>
      </c>
      <c r="H597" s="247" t="s">
        <v>56</v>
      </c>
      <c r="I597" s="250" t="s">
        <v>79</v>
      </c>
    </row>
    <row r="598" spans="1:9">
      <c r="A598" s="246">
        <v>594</v>
      </c>
      <c r="B598" s="247" t="s">
        <v>55</v>
      </c>
      <c r="C598" s="302" t="str">
        <f>"2596"</f>
        <v>2596</v>
      </c>
      <c r="D598" s="247" t="s">
        <v>13</v>
      </c>
      <c r="E598" s="248">
        <v>420</v>
      </c>
      <c r="F598" s="249">
        <v>36105</v>
      </c>
      <c r="G598" s="249">
        <v>42556</v>
      </c>
      <c r="H598" s="247" t="s">
        <v>84</v>
      </c>
      <c r="I598" s="250" t="s">
        <v>3342</v>
      </c>
    </row>
    <row r="599" spans="1:9">
      <c r="A599" s="246">
        <v>595</v>
      </c>
      <c r="B599" s="247" t="s">
        <v>55</v>
      </c>
      <c r="C599" s="302" t="str">
        <f>"2597"</f>
        <v>2597</v>
      </c>
      <c r="D599" s="247" t="s">
        <v>13</v>
      </c>
      <c r="E599" s="248">
        <v>159</v>
      </c>
      <c r="F599" s="249">
        <v>36254</v>
      </c>
      <c r="G599" s="249">
        <v>42738</v>
      </c>
      <c r="H599" s="247" t="s">
        <v>19</v>
      </c>
      <c r="I599" s="250" t="s">
        <v>3342</v>
      </c>
    </row>
    <row r="600" spans="1:9">
      <c r="A600" s="246">
        <v>596</v>
      </c>
      <c r="B600" s="247" t="s">
        <v>55</v>
      </c>
      <c r="C600" s="302" t="str">
        <f>"2598"</f>
        <v>2598</v>
      </c>
      <c r="D600" s="247" t="s">
        <v>13</v>
      </c>
      <c r="E600" s="248">
        <v>235</v>
      </c>
      <c r="F600" s="249">
        <v>36254</v>
      </c>
      <c r="G600" s="249">
        <v>48216</v>
      </c>
      <c r="H600" s="247" t="s">
        <v>84</v>
      </c>
      <c r="I600" s="250" t="s">
        <v>3346</v>
      </c>
    </row>
    <row r="601" spans="1:9">
      <c r="A601" s="246">
        <v>597</v>
      </c>
      <c r="B601" s="247" t="s">
        <v>55</v>
      </c>
      <c r="C601" s="302" t="str">
        <f>"2599"</f>
        <v>2599</v>
      </c>
      <c r="D601" s="247" t="s">
        <v>13</v>
      </c>
      <c r="E601" s="248">
        <v>163</v>
      </c>
      <c r="F601" s="249">
        <v>36254</v>
      </c>
      <c r="G601" s="249">
        <v>42738</v>
      </c>
      <c r="H601" s="247" t="s">
        <v>84</v>
      </c>
      <c r="I601" s="250" t="s">
        <v>3342</v>
      </c>
    </row>
    <row r="602" spans="1:9">
      <c r="A602" s="246">
        <v>598</v>
      </c>
      <c r="B602" s="247" t="s">
        <v>55</v>
      </c>
      <c r="C602" s="302" t="str">
        <f>"2600"</f>
        <v>2600</v>
      </c>
      <c r="D602" s="247" t="s">
        <v>13</v>
      </c>
      <c r="E602" s="248">
        <v>291</v>
      </c>
      <c r="F602" s="249">
        <v>38093</v>
      </c>
      <c r="G602" s="249">
        <v>44576</v>
      </c>
      <c r="H602" s="247" t="s">
        <v>56</v>
      </c>
      <c r="I602" s="250" t="s">
        <v>3342</v>
      </c>
    </row>
    <row r="603" spans="1:9">
      <c r="A603" s="246">
        <v>599</v>
      </c>
      <c r="B603" s="247" t="s">
        <v>90</v>
      </c>
      <c r="C603" s="302" t="str">
        <f>"2601"</f>
        <v>2601</v>
      </c>
      <c r="D603" s="247" t="s">
        <v>13</v>
      </c>
      <c r="E603" s="248">
        <v>338</v>
      </c>
      <c r="F603" s="249">
        <v>42632</v>
      </c>
      <c r="G603" s="249">
        <v>48109</v>
      </c>
      <c r="H603" s="247" t="s">
        <v>84</v>
      </c>
      <c r="I603" s="250" t="s">
        <v>433</v>
      </c>
    </row>
    <row r="604" spans="1:9">
      <c r="A604" s="246">
        <v>600</v>
      </c>
      <c r="B604" s="247" t="s">
        <v>43</v>
      </c>
      <c r="C604" s="302" t="str">
        <f>"2603"</f>
        <v>2603</v>
      </c>
      <c r="D604" s="247" t="s">
        <v>13</v>
      </c>
      <c r="E604" s="248">
        <v>22</v>
      </c>
      <c r="F604" s="249">
        <v>39907</v>
      </c>
      <c r="G604" s="249">
        <v>45385</v>
      </c>
      <c r="H604" s="247" t="s">
        <v>14</v>
      </c>
      <c r="I604" s="250" t="s">
        <v>79</v>
      </c>
    </row>
    <row r="605" spans="1:9">
      <c r="A605" s="246">
        <v>601</v>
      </c>
      <c r="B605" s="247" t="s">
        <v>43</v>
      </c>
      <c r="C605" s="302" t="str">
        <f>"2604"</f>
        <v>2604</v>
      </c>
      <c r="D605" s="247" t="s">
        <v>13</v>
      </c>
      <c r="E605" s="248">
        <v>56</v>
      </c>
      <c r="F605" s="249">
        <v>39907</v>
      </c>
      <c r="G605" s="249">
        <v>45385</v>
      </c>
      <c r="H605" s="247" t="s">
        <v>16</v>
      </c>
      <c r="I605" s="250" t="s">
        <v>79</v>
      </c>
    </row>
    <row r="606" spans="1:9">
      <c r="A606" s="246">
        <v>602</v>
      </c>
      <c r="B606" s="247" t="s">
        <v>43</v>
      </c>
      <c r="C606" s="302" t="str">
        <f>"2605"</f>
        <v>2605</v>
      </c>
      <c r="D606" s="247" t="s">
        <v>13</v>
      </c>
      <c r="E606" s="248">
        <v>11</v>
      </c>
      <c r="F606" s="249">
        <v>39907</v>
      </c>
      <c r="G606" s="249">
        <v>45385</v>
      </c>
      <c r="H606" s="247" t="s">
        <v>16</v>
      </c>
      <c r="I606" s="250" t="s">
        <v>79</v>
      </c>
    </row>
    <row r="607" spans="1:9">
      <c r="A607" s="246">
        <v>603</v>
      </c>
      <c r="B607" s="247" t="s">
        <v>1870</v>
      </c>
      <c r="C607" s="302" t="str">
        <f>"2606"</f>
        <v>2606</v>
      </c>
      <c r="D607" s="247" t="s">
        <v>13</v>
      </c>
      <c r="E607" s="248">
        <v>34</v>
      </c>
      <c r="F607" s="249">
        <v>37382</v>
      </c>
      <c r="G607" s="249">
        <v>44686</v>
      </c>
      <c r="H607" s="247" t="s">
        <v>16</v>
      </c>
      <c r="I607" s="250" t="s">
        <v>3342</v>
      </c>
    </row>
    <row r="608" spans="1:9">
      <c r="A608" s="246">
        <v>604</v>
      </c>
      <c r="B608" s="247" t="s">
        <v>1870</v>
      </c>
      <c r="C608" s="302" t="str">
        <f>"2607"</f>
        <v>2607</v>
      </c>
      <c r="D608" s="247" t="s">
        <v>13</v>
      </c>
      <c r="E608" s="248">
        <v>41</v>
      </c>
      <c r="F608" s="249">
        <v>37382</v>
      </c>
      <c r="G608" s="249">
        <v>44686</v>
      </c>
      <c r="H608" s="247" t="s">
        <v>16</v>
      </c>
      <c r="I608" s="250" t="s">
        <v>3342</v>
      </c>
    </row>
    <row r="609" spans="1:9">
      <c r="A609" s="246">
        <v>605</v>
      </c>
      <c r="B609" s="247" t="s">
        <v>1870</v>
      </c>
      <c r="C609" s="302" t="str">
        <f>"2608"</f>
        <v>2608</v>
      </c>
      <c r="D609" s="247" t="s">
        <v>13</v>
      </c>
      <c r="E609" s="248">
        <v>122</v>
      </c>
      <c r="F609" s="249">
        <v>37382</v>
      </c>
      <c r="G609" s="249">
        <v>44686</v>
      </c>
      <c r="H609" s="247" t="s">
        <v>16</v>
      </c>
      <c r="I609" s="250" t="s">
        <v>3342</v>
      </c>
    </row>
    <row r="610" spans="1:9">
      <c r="A610" s="246">
        <v>606</v>
      </c>
      <c r="B610" s="247" t="s">
        <v>55</v>
      </c>
      <c r="C610" s="302" t="str">
        <f>"2609"</f>
        <v>2609</v>
      </c>
      <c r="D610" s="247" t="s">
        <v>13</v>
      </c>
      <c r="E610" s="248">
        <v>270</v>
      </c>
      <c r="F610" s="249">
        <v>38093</v>
      </c>
      <c r="G610" s="249">
        <v>44576</v>
      </c>
      <c r="H610" s="247" t="s">
        <v>56</v>
      </c>
      <c r="I610" s="250" t="s">
        <v>3342</v>
      </c>
    </row>
    <row r="611" spans="1:9">
      <c r="A611" s="246">
        <v>607</v>
      </c>
      <c r="B611" s="247" t="s">
        <v>55</v>
      </c>
      <c r="C611" s="302" t="str">
        <f>"2610"</f>
        <v>2610</v>
      </c>
      <c r="D611" s="247" t="s">
        <v>13</v>
      </c>
      <c r="E611" s="248">
        <v>82</v>
      </c>
      <c r="F611" s="249">
        <v>38093</v>
      </c>
      <c r="G611" s="249">
        <v>44576</v>
      </c>
      <c r="H611" s="247" t="s">
        <v>56</v>
      </c>
      <c r="I611" s="250" t="s">
        <v>3342</v>
      </c>
    </row>
    <row r="612" spans="1:9">
      <c r="A612" s="246">
        <v>608</v>
      </c>
      <c r="B612" s="247" t="s">
        <v>3396</v>
      </c>
      <c r="C612" s="302" t="str">
        <f>"2618"</f>
        <v>2618</v>
      </c>
      <c r="D612" s="247" t="s">
        <v>18</v>
      </c>
      <c r="E612" s="248">
        <v>178</v>
      </c>
      <c r="F612" s="249">
        <v>39000</v>
      </c>
      <c r="G612" s="249">
        <v>40825</v>
      </c>
      <c r="H612" s="247" t="s">
        <v>31</v>
      </c>
      <c r="I612" s="250" t="s">
        <v>3351</v>
      </c>
    </row>
    <row r="613" spans="1:9">
      <c r="A613" s="246">
        <v>609</v>
      </c>
      <c r="B613" s="247" t="s">
        <v>3396</v>
      </c>
      <c r="C613" s="302" t="str">
        <f>"2619"</f>
        <v>2619</v>
      </c>
      <c r="D613" s="247" t="s">
        <v>18</v>
      </c>
      <c r="E613" s="248">
        <v>172</v>
      </c>
      <c r="F613" s="249">
        <v>39000</v>
      </c>
      <c r="G613" s="249">
        <v>40825</v>
      </c>
      <c r="H613" s="247" t="s">
        <v>31</v>
      </c>
      <c r="I613" s="250" t="s">
        <v>3351</v>
      </c>
    </row>
    <row r="614" spans="1:9">
      <c r="A614" s="246">
        <v>610</v>
      </c>
      <c r="B614" s="247" t="s">
        <v>3396</v>
      </c>
      <c r="C614" s="302" t="str">
        <f>"2624"</f>
        <v>2624</v>
      </c>
      <c r="D614" s="247" t="s">
        <v>18</v>
      </c>
      <c r="E614" s="248">
        <v>400</v>
      </c>
      <c r="F614" s="249">
        <v>39000</v>
      </c>
      <c r="G614" s="249">
        <v>40825</v>
      </c>
      <c r="H614" s="247" t="s">
        <v>31</v>
      </c>
      <c r="I614" s="250" t="s">
        <v>3351</v>
      </c>
    </row>
    <row r="615" spans="1:9">
      <c r="A615" s="246">
        <v>611</v>
      </c>
      <c r="B615" s="247" t="s">
        <v>3396</v>
      </c>
      <c r="C615" s="302" t="str">
        <f>"2625"</f>
        <v>2625</v>
      </c>
      <c r="D615" s="247" t="s">
        <v>18</v>
      </c>
      <c r="E615" s="248">
        <v>180</v>
      </c>
      <c r="F615" s="249">
        <v>39000</v>
      </c>
      <c r="G615" s="249">
        <v>40825</v>
      </c>
      <c r="H615" s="247" t="s">
        <v>32</v>
      </c>
      <c r="I615" s="250" t="s">
        <v>3351</v>
      </c>
    </row>
    <row r="616" spans="1:9">
      <c r="A616" s="246">
        <v>612</v>
      </c>
      <c r="B616" s="247" t="s">
        <v>3396</v>
      </c>
      <c r="C616" s="302" t="str">
        <f>"2626"</f>
        <v>2626</v>
      </c>
      <c r="D616" s="247" t="s">
        <v>18</v>
      </c>
      <c r="E616" s="248">
        <v>180</v>
      </c>
      <c r="F616" s="249">
        <v>39000</v>
      </c>
      <c r="G616" s="249">
        <v>40825</v>
      </c>
      <c r="H616" s="247" t="s">
        <v>32</v>
      </c>
      <c r="I616" s="250" t="s">
        <v>3351</v>
      </c>
    </row>
    <row r="617" spans="1:9">
      <c r="A617" s="246">
        <v>613</v>
      </c>
      <c r="B617" s="247" t="s">
        <v>3396</v>
      </c>
      <c r="C617" s="302" t="str">
        <f>"2628"</f>
        <v>2628</v>
      </c>
      <c r="D617" s="247" t="s">
        <v>18</v>
      </c>
      <c r="E617" s="248">
        <v>188</v>
      </c>
      <c r="F617" s="249">
        <v>39000</v>
      </c>
      <c r="G617" s="249">
        <v>40825</v>
      </c>
      <c r="H617" s="247" t="s">
        <v>31</v>
      </c>
      <c r="I617" s="250" t="s">
        <v>3351</v>
      </c>
    </row>
    <row r="618" spans="1:9">
      <c r="A618" s="246">
        <v>614</v>
      </c>
      <c r="B618" s="247" t="s">
        <v>3396</v>
      </c>
      <c r="C618" s="302" t="str">
        <f>"2631"</f>
        <v>2631</v>
      </c>
      <c r="D618" s="247" t="s">
        <v>18</v>
      </c>
      <c r="E618" s="248">
        <v>200</v>
      </c>
      <c r="F618" s="249">
        <v>39000</v>
      </c>
      <c r="G618" s="249">
        <v>40825</v>
      </c>
      <c r="H618" s="247" t="s">
        <v>31</v>
      </c>
      <c r="I618" s="250" t="s">
        <v>3351</v>
      </c>
    </row>
    <row r="619" spans="1:9">
      <c r="A619" s="246">
        <v>615</v>
      </c>
      <c r="B619" s="247" t="s">
        <v>3396</v>
      </c>
      <c r="C619" s="302" t="str">
        <f>"2632"</f>
        <v>2632</v>
      </c>
      <c r="D619" s="247" t="s">
        <v>18</v>
      </c>
      <c r="E619" s="248">
        <v>184</v>
      </c>
      <c r="F619" s="249">
        <v>39000</v>
      </c>
      <c r="G619" s="249">
        <v>40825</v>
      </c>
      <c r="H619" s="247" t="s">
        <v>31</v>
      </c>
      <c r="I619" s="250" t="s">
        <v>3351</v>
      </c>
    </row>
    <row r="620" spans="1:9">
      <c r="A620" s="246">
        <v>616</v>
      </c>
      <c r="B620" s="247" t="s">
        <v>3396</v>
      </c>
      <c r="C620" s="302" t="str">
        <f>"2635"</f>
        <v>2635</v>
      </c>
      <c r="D620" s="247" t="s">
        <v>18</v>
      </c>
      <c r="E620" s="248">
        <v>200</v>
      </c>
      <c r="F620" s="249">
        <v>39000</v>
      </c>
      <c r="G620" s="249">
        <v>40825</v>
      </c>
      <c r="H620" s="247" t="s">
        <v>31</v>
      </c>
      <c r="I620" s="250" t="s">
        <v>3351</v>
      </c>
    </row>
    <row r="621" spans="1:9">
      <c r="A621" s="246">
        <v>617</v>
      </c>
      <c r="B621" s="247" t="s">
        <v>3396</v>
      </c>
      <c r="C621" s="302" t="str">
        <f>"2636"</f>
        <v>2636</v>
      </c>
      <c r="D621" s="247" t="s">
        <v>18</v>
      </c>
      <c r="E621" s="248">
        <v>200</v>
      </c>
      <c r="F621" s="249">
        <v>39000</v>
      </c>
      <c r="G621" s="249">
        <v>40825</v>
      </c>
      <c r="H621" s="247" t="s">
        <v>31</v>
      </c>
      <c r="I621" s="250" t="s">
        <v>3351</v>
      </c>
    </row>
    <row r="622" spans="1:9">
      <c r="A622" s="246">
        <v>618</v>
      </c>
      <c r="B622" s="247" t="s">
        <v>93</v>
      </c>
      <c r="C622" s="302" t="str">
        <f>"2639"</f>
        <v>2639</v>
      </c>
      <c r="D622" s="247" t="s">
        <v>13</v>
      </c>
      <c r="E622" s="248">
        <v>11</v>
      </c>
      <c r="F622" s="249">
        <v>42411</v>
      </c>
      <c r="G622" s="249">
        <v>54100</v>
      </c>
      <c r="H622" s="247" t="s">
        <v>26</v>
      </c>
      <c r="I622" s="250" t="s">
        <v>79</v>
      </c>
    </row>
    <row r="623" spans="1:9">
      <c r="A623" s="246">
        <v>619</v>
      </c>
      <c r="B623" s="247" t="s">
        <v>15</v>
      </c>
      <c r="C623" s="302" t="str">
        <f>"2752"</f>
        <v>2752</v>
      </c>
      <c r="D623" s="247" t="s">
        <v>13</v>
      </c>
      <c r="E623" s="248">
        <v>44</v>
      </c>
      <c r="F623" s="249">
        <v>42411</v>
      </c>
      <c r="G623" s="249">
        <v>53368</v>
      </c>
      <c r="H623" s="247" t="s">
        <v>14</v>
      </c>
      <c r="I623" s="250" t="s">
        <v>79</v>
      </c>
    </row>
    <row r="624" spans="1:9">
      <c r="A624" s="246">
        <v>620</v>
      </c>
      <c r="B624" s="247" t="s">
        <v>15</v>
      </c>
      <c r="C624" s="302" t="str">
        <f>"2756"</f>
        <v>2756</v>
      </c>
      <c r="D624" s="247" t="s">
        <v>13</v>
      </c>
      <c r="E624" s="248">
        <v>68</v>
      </c>
      <c r="F624" s="249">
        <v>40059</v>
      </c>
      <c r="G624" s="249">
        <v>51015</v>
      </c>
      <c r="H624" s="247" t="s">
        <v>16</v>
      </c>
      <c r="I624" s="250" t="s">
        <v>79</v>
      </c>
    </row>
    <row r="625" spans="1:9">
      <c r="A625" s="246">
        <v>621</v>
      </c>
      <c r="B625" s="247" t="s">
        <v>15</v>
      </c>
      <c r="C625" s="302" t="str">
        <f>"2758"</f>
        <v>2758</v>
      </c>
      <c r="D625" s="247" t="s">
        <v>13</v>
      </c>
      <c r="E625" s="248">
        <v>106</v>
      </c>
      <c r="F625" s="249">
        <v>39839</v>
      </c>
      <c r="G625" s="249">
        <v>50795</v>
      </c>
      <c r="H625" s="247" t="s">
        <v>16</v>
      </c>
      <c r="I625" s="250" t="s">
        <v>3385</v>
      </c>
    </row>
    <row r="626" spans="1:9">
      <c r="A626" s="246">
        <v>622</v>
      </c>
      <c r="B626" s="247" t="s">
        <v>15</v>
      </c>
      <c r="C626" s="302" t="str">
        <f>"2760"</f>
        <v>2760</v>
      </c>
      <c r="D626" s="247" t="s">
        <v>13</v>
      </c>
      <c r="E626" s="248">
        <v>194</v>
      </c>
      <c r="F626" s="249">
        <v>40995</v>
      </c>
      <c r="G626" s="249">
        <v>51951</v>
      </c>
      <c r="H626" s="247" t="s">
        <v>16</v>
      </c>
      <c r="I626" s="250" t="s">
        <v>79</v>
      </c>
    </row>
    <row r="627" spans="1:9">
      <c r="A627" s="246">
        <v>623</v>
      </c>
      <c r="B627" s="247" t="s">
        <v>15</v>
      </c>
      <c r="C627" s="302" t="str">
        <f>"2765"</f>
        <v>2765</v>
      </c>
      <c r="D627" s="247" t="s">
        <v>18</v>
      </c>
      <c r="E627" s="248">
        <v>99</v>
      </c>
      <c r="F627" s="249">
        <v>42200</v>
      </c>
      <c r="G627" s="249">
        <v>44026</v>
      </c>
      <c r="H627" s="247" t="s">
        <v>70</v>
      </c>
      <c r="I627" s="250" t="s">
        <v>448</v>
      </c>
    </row>
    <row r="628" spans="1:9">
      <c r="A628" s="246">
        <v>624</v>
      </c>
      <c r="B628" s="247" t="s">
        <v>15</v>
      </c>
      <c r="C628" s="302" t="str">
        <f>"2769"</f>
        <v>2769</v>
      </c>
      <c r="D628" s="247" t="s">
        <v>13</v>
      </c>
      <c r="E628" s="248">
        <v>7</v>
      </c>
      <c r="F628" s="249">
        <v>42949</v>
      </c>
      <c r="G628" s="249">
        <v>53905</v>
      </c>
      <c r="H628" s="247" t="s">
        <v>16</v>
      </c>
      <c r="I628" s="250" t="s">
        <v>79</v>
      </c>
    </row>
    <row r="629" spans="1:9">
      <c r="A629" s="246">
        <v>625</v>
      </c>
      <c r="B629" s="247" t="s">
        <v>15</v>
      </c>
      <c r="C629" s="302" t="str">
        <f>"2774"</f>
        <v>2774</v>
      </c>
      <c r="D629" s="247" t="s">
        <v>13</v>
      </c>
      <c r="E629" s="248">
        <v>45</v>
      </c>
      <c r="F629" s="249">
        <v>42304</v>
      </c>
      <c r="G629" s="249">
        <v>53261</v>
      </c>
      <c r="H629" s="247" t="s">
        <v>16</v>
      </c>
      <c r="I629" s="250" t="s">
        <v>3357</v>
      </c>
    </row>
    <row r="630" spans="1:9">
      <c r="A630" s="246">
        <v>626</v>
      </c>
      <c r="B630" s="247" t="s">
        <v>15</v>
      </c>
      <c r="C630" s="302" t="str">
        <f>"2775"</f>
        <v>2775</v>
      </c>
      <c r="D630" s="247" t="s">
        <v>13</v>
      </c>
      <c r="E630" s="248">
        <v>200</v>
      </c>
      <c r="F630" s="249">
        <v>41824</v>
      </c>
      <c r="G630" s="249">
        <v>52781</v>
      </c>
      <c r="H630" s="247" t="s">
        <v>70</v>
      </c>
      <c r="I630" s="250" t="s">
        <v>79</v>
      </c>
    </row>
    <row r="631" spans="1:9">
      <c r="A631" s="246">
        <v>627</v>
      </c>
      <c r="B631" s="247" t="s">
        <v>15</v>
      </c>
      <c r="C631" s="302" t="str">
        <f>"2778"</f>
        <v>2778</v>
      </c>
      <c r="D631" s="247" t="s">
        <v>13</v>
      </c>
      <c r="E631" s="248">
        <v>93</v>
      </c>
      <c r="F631" s="249">
        <v>42949</v>
      </c>
      <c r="G631" s="249">
        <v>53905</v>
      </c>
      <c r="H631" s="247" t="s">
        <v>16</v>
      </c>
      <c r="I631" s="250" t="s">
        <v>79</v>
      </c>
    </row>
    <row r="632" spans="1:9">
      <c r="A632" s="246">
        <v>628</v>
      </c>
      <c r="B632" s="247" t="s">
        <v>3396</v>
      </c>
      <c r="C632" s="302" t="str">
        <f>"2781"</f>
        <v>2781</v>
      </c>
      <c r="D632" s="247" t="s">
        <v>18</v>
      </c>
      <c r="E632" s="248">
        <v>200</v>
      </c>
      <c r="F632" s="249">
        <v>39000</v>
      </c>
      <c r="G632" s="249">
        <v>40825</v>
      </c>
      <c r="H632" s="247" t="s">
        <v>31</v>
      </c>
      <c r="I632" s="250" t="s">
        <v>3351</v>
      </c>
    </row>
    <row r="633" spans="1:9">
      <c r="A633" s="246">
        <v>629</v>
      </c>
      <c r="B633" s="247" t="s">
        <v>3396</v>
      </c>
      <c r="C633" s="302" t="str">
        <f>"2791"</f>
        <v>2791</v>
      </c>
      <c r="D633" s="247" t="s">
        <v>18</v>
      </c>
      <c r="E633" s="248">
        <v>291</v>
      </c>
      <c r="F633" s="249">
        <v>39000</v>
      </c>
      <c r="G633" s="249">
        <v>40825</v>
      </c>
      <c r="H633" s="247" t="s">
        <v>25</v>
      </c>
      <c r="I633" s="250" t="s">
        <v>3351</v>
      </c>
    </row>
    <row r="634" spans="1:9">
      <c r="A634" s="246">
        <v>630</v>
      </c>
      <c r="B634" s="247" t="s">
        <v>3396</v>
      </c>
      <c r="C634" s="302" t="str">
        <f>"2792"</f>
        <v>2792</v>
      </c>
      <c r="D634" s="247" t="s">
        <v>18</v>
      </c>
      <c r="E634" s="248">
        <v>158</v>
      </c>
      <c r="F634" s="249">
        <v>39000</v>
      </c>
      <c r="G634" s="249">
        <v>40825</v>
      </c>
      <c r="H634" s="247" t="s">
        <v>31</v>
      </c>
      <c r="I634" s="250" t="s">
        <v>3351</v>
      </c>
    </row>
    <row r="635" spans="1:9">
      <c r="A635" s="246">
        <v>631</v>
      </c>
      <c r="B635" s="247" t="s">
        <v>3396</v>
      </c>
      <c r="C635" s="302" t="str">
        <f>"2793"</f>
        <v>2793</v>
      </c>
      <c r="D635" s="247" t="s">
        <v>18</v>
      </c>
      <c r="E635" s="248">
        <v>155</v>
      </c>
      <c r="F635" s="249">
        <v>39000</v>
      </c>
      <c r="G635" s="249">
        <v>40825</v>
      </c>
      <c r="H635" s="247" t="s">
        <v>32</v>
      </c>
      <c r="I635" s="250" t="s">
        <v>3351</v>
      </c>
    </row>
    <row r="636" spans="1:9">
      <c r="A636" s="246">
        <v>632</v>
      </c>
      <c r="B636" s="247" t="s">
        <v>43</v>
      </c>
      <c r="C636" s="302" t="str">
        <f>"2808"</f>
        <v>2808</v>
      </c>
      <c r="D636" s="247" t="s">
        <v>13</v>
      </c>
      <c r="E636" s="248">
        <v>117</v>
      </c>
      <c r="F636" s="249">
        <v>43006</v>
      </c>
      <c r="G636" s="249">
        <v>53962</v>
      </c>
      <c r="H636" s="247" t="s">
        <v>14</v>
      </c>
      <c r="I636" s="250" t="s">
        <v>79</v>
      </c>
    </row>
    <row r="637" spans="1:9">
      <c r="A637" s="246">
        <v>633</v>
      </c>
      <c r="B637" s="247" t="s">
        <v>43</v>
      </c>
      <c r="C637" s="302" t="str">
        <f>"2809"</f>
        <v>2809</v>
      </c>
      <c r="D637" s="247" t="s">
        <v>13</v>
      </c>
      <c r="E637" s="248">
        <v>157</v>
      </c>
      <c r="F637" s="249">
        <v>41552</v>
      </c>
      <c r="G637" s="249">
        <v>52508</v>
      </c>
      <c r="H637" s="247" t="s">
        <v>14</v>
      </c>
      <c r="I637" s="250" t="s">
        <v>79</v>
      </c>
    </row>
    <row r="638" spans="1:9">
      <c r="A638" s="246">
        <v>634</v>
      </c>
      <c r="B638" s="247" t="s">
        <v>43</v>
      </c>
      <c r="C638" s="302" t="str">
        <f>"2810"</f>
        <v>2810</v>
      </c>
      <c r="D638" s="247" t="s">
        <v>13</v>
      </c>
      <c r="E638" s="248">
        <v>88</v>
      </c>
      <c r="F638" s="249">
        <v>41552</v>
      </c>
      <c r="G638" s="249">
        <v>52508</v>
      </c>
      <c r="H638" s="247" t="s">
        <v>14</v>
      </c>
      <c r="I638" s="250" t="s">
        <v>79</v>
      </c>
    </row>
    <row r="639" spans="1:9">
      <c r="A639" s="246">
        <v>635</v>
      </c>
      <c r="B639" s="247" t="s">
        <v>43</v>
      </c>
      <c r="C639" s="302" t="str">
        <f>"2811"</f>
        <v>2811</v>
      </c>
      <c r="D639" s="247" t="s">
        <v>13</v>
      </c>
      <c r="E639" s="248">
        <v>18</v>
      </c>
      <c r="F639" s="249">
        <v>41552</v>
      </c>
      <c r="G639" s="249">
        <v>52508</v>
      </c>
      <c r="H639" s="247" t="s">
        <v>14</v>
      </c>
      <c r="I639" s="250" t="s">
        <v>79</v>
      </c>
    </row>
    <row r="640" spans="1:9">
      <c r="A640" s="246">
        <v>636</v>
      </c>
      <c r="B640" s="247" t="s">
        <v>3397</v>
      </c>
      <c r="C640" s="302" t="str">
        <f>"2812"</f>
        <v>2812</v>
      </c>
      <c r="D640" s="247" t="s">
        <v>44</v>
      </c>
      <c r="E640" s="248">
        <v>68</v>
      </c>
      <c r="F640" s="249">
        <v>40477</v>
      </c>
      <c r="G640" s="249">
        <v>42302</v>
      </c>
      <c r="H640" s="247" t="s">
        <v>16</v>
      </c>
      <c r="I640" s="250" t="s">
        <v>438</v>
      </c>
    </row>
    <row r="641" spans="1:9">
      <c r="A641" s="246">
        <v>637</v>
      </c>
      <c r="B641" s="247" t="s">
        <v>3398</v>
      </c>
      <c r="C641" s="302" t="str">
        <f>"2814"</f>
        <v>2814</v>
      </c>
      <c r="D641" s="247" t="s">
        <v>18</v>
      </c>
      <c r="E641" s="248">
        <v>148</v>
      </c>
      <c r="F641" s="249">
        <v>38617</v>
      </c>
      <c r="G641" s="249">
        <v>40442</v>
      </c>
      <c r="H641" s="247" t="s">
        <v>73</v>
      </c>
      <c r="I641" s="250" t="s">
        <v>437</v>
      </c>
    </row>
    <row r="642" spans="1:9">
      <c r="A642" s="246">
        <v>638</v>
      </c>
      <c r="B642" s="247" t="s">
        <v>465</v>
      </c>
      <c r="C642" s="302" t="str">
        <f>"2818"</f>
        <v>2818</v>
      </c>
      <c r="D642" s="247" t="s">
        <v>30</v>
      </c>
      <c r="E642" s="248">
        <v>11</v>
      </c>
      <c r="F642" s="249">
        <v>41970</v>
      </c>
      <c r="G642" s="249">
        <v>43795</v>
      </c>
      <c r="H642" s="247" t="s">
        <v>26</v>
      </c>
      <c r="I642" s="250" t="s">
        <v>3342</v>
      </c>
    </row>
    <row r="643" spans="1:9">
      <c r="A643" s="246">
        <v>639</v>
      </c>
      <c r="B643" s="247" t="s">
        <v>3399</v>
      </c>
      <c r="C643" s="302" t="str">
        <f>"2925"</f>
        <v>2925</v>
      </c>
      <c r="D643" s="247" t="s">
        <v>18</v>
      </c>
      <c r="E643" s="248">
        <v>6</v>
      </c>
      <c r="F643" s="249">
        <v>38572</v>
      </c>
      <c r="G643" s="249">
        <v>40397</v>
      </c>
      <c r="H643" s="247" t="s">
        <v>26</v>
      </c>
      <c r="I643" s="250" t="s">
        <v>3369</v>
      </c>
    </row>
    <row r="644" spans="1:9">
      <c r="A644" s="246">
        <v>640</v>
      </c>
      <c r="B644" s="247" t="s">
        <v>443</v>
      </c>
      <c r="C644" s="302" t="str">
        <f>"3014"</f>
        <v>3014</v>
      </c>
      <c r="D644" s="247" t="s">
        <v>18</v>
      </c>
      <c r="E644" s="248">
        <v>18</v>
      </c>
      <c r="F644" s="249">
        <v>38621</v>
      </c>
      <c r="G644" s="249">
        <v>40081</v>
      </c>
      <c r="H644" s="247" t="s">
        <v>26</v>
      </c>
      <c r="I644" s="250" t="s">
        <v>3351</v>
      </c>
    </row>
    <row r="645" spans="1:9">
      <c r="A645" s="246">
        <v>641</v>
      </c>
      <c r="B645" s="247" t="s">
        <v>443</v>
      </c>
      <c r="C645" s="302" t="str">
        <f>"3015"</f>
        <v>3015</v>
      </c>
      <c r="D645" s="247" t="s">
        <v>18</v>
      </c>
      <c r="E645" s="248">
        <v>9</v>
      </c>
      <c r="F645" s="249">
        <v>38621</v>
      </c>
      <c r="G645" s="249">
        <v>40081</v>
      </c>
      <c r="H645" s="247" t="s">
        <v>26</v>
      </c>
      <c r="I645" s="250" t="s">
        <v>3351</v>
      </c>
    </row>
    <row r="646" spans="1:9">
      <c r="A646" s="246">
        <v>642</v>
      </c>
      <c r="B646" s="247" t="s">
        <v>3400</v>
      </c>
      <c r="C646" s="302" t="str">
        <f>"3082"</f>
        <v>3082</v>
      </c>
      <c r="D646" s="247" t="s">
        <v>18</v>
      </c>
      <c r="E646" s="248">
        <v>220</v>
      </c>
      <c r="F646" s="249">
        <v>38570</v>
      </c>
      <c r="G646" s="249">
        <v>40030</v>
      </c>
      <c r="H646" s="247" t="s">
        <v>59</v>
      </c>
      <c r="I646" s="250" t="s">
        <v>438</v>
      </c>
    </row>
    <row r="647" spans="1:9">
      <c r="A647" s="246">
        <v>643</v>
      </c>
      <c r="B647" s="247" t="s">
        <v>3401</v>
      </c>
      <c r="C647" s="302" t="str">
        <f>"3092"</f>
        <v>3092</v>
      </c>
      <c r="D647" s="247" t="s">
        <v>18</v>
      </c>
      <c r="E647" s="248">
        <v>76</v>
      </c>
      <c r="F647" s="249">
        <v>40398</v>
      </c>
      <c r="G647" s="249">
        <v>42223</v>
      </c>
      <c r="H647" s="247" t="s">
        <v>14</v>
      </c>
      <c r="I647" s="250" t="s">
        <v>438</v>
      </c>
    </row>
    <row r="648" spans="1:9">
      <c r="A648" s="246">
        <v>644</v>
      </c>
      <c r="B648" s="247" t="s">
        <v>3401</v>
      </c>
      <c r="C648" s="302" t="str">
        <f>"3104"</f>
        <v>3104</v>
      </c>
      <c r="D648" s="247" t="s">
        <v>18</v>
      </c>
      <c r="E648" s="248">
        <v>376</v>
      </c>
      <c r="F648" s="249">
        <v>39265</v>
      </c>
      <c r="G648" s="249">
        <v>41091</v>
      </c>
      <c r="H648" s="247" t="s">
        <v>56</v>
      </c>
      <c r="I648" s="250" t="s">
        <v>438</v>
      </c>
    </row>
    <row r="649" spans="1:9">
      <c r="A649" s="246">
        <v>645</v>
      </c>
      <c r="B649" s="247" t="s">
        <v>3401</v>
      </c>
      <c r="C649" s="302" t="str">
        <f>"3105"</f>
        <v>3105</v>
      </c>
      <c r="D649" s="247" t="s">
        <v>18</v>
      </c>
      <c r="E649" s="248">
        <v>400</v>
      </c>
      <c r="F649" s="249">
        <v>39265</v>
      </c>
      <c r="G649" s="249">
        <v>41091</v>
      </c>
      <c r="H649" s="247" t="s">
        <v>56</v>
      </c>
      <c r="I649" s="250" t="s">
        <v>438</v>
      </c>
    </row>
    <row r="650" spans="1:9">
      <c r="A650" s="246">
        <v>646</v>
      </c>
      <c r="B650" s="247" t="s">
        <v>3401</v>
      </c>
      <c r="C650" s="302" t="str">
        <f>"3107"</f>
        <v>3107</v>
      </c>
      <c r="D650" s="247" t="s">
        <v>18</v>
      </c>
      <c r="E650" s="248">
        <v>400</v>
      </c>
      <c r="F650" s="249">
        <v>39265</v>
      </c>
      <c r="G650" s="249">
        <v>41091</v>
      </c>
      <c r="H650" s="247" t="s">
        <v>56</v>
      </c>
      <c r="I650" s="250" t="s">
        <v>438</v>
      </c>
    </row>
    <row r="651" spans="1:9">
      <c r="A651" s="246">
        <v>647</v>
      </c>
      <c r="B651" s="247" t="s">
        <v>3401</v>
      </c>
      <c r="C651" s="302" t="str">
        <f>"3108"</f>
        <v>3108</v>
      </c>
      <c r="D651" s="247" t="s">
        <v>18</v>
      </c>
      <c r="E651" s="248">
        <v>400</v>
      </c>
      <c r="F651" s="249">
        <v>39265</v>
      </c>
      <c r="G651" s="249">
        <v>41091</v>
      </c>
      <c r="H651" s="247" t="s">
        <v>56</v>
      </c>
      <c r="I651" s="250" t="s">
        <v>438</v>
      </c>
    </row>
    <row r="652" spans="1:9">
      <c r="A652" s="246">
        <v>648</v>
      </c>
      <c r="B652" s="247" t="s">
        <v>3401</v>
      </c>
      <c r="C652" s="302" t="str">
        <f>"3111"</f>
        <v>3111</v>
      </c>
      <c r="D652" s="247" t="s">
        <v>30</v>
      </c>
      <c r="E652" s="248">
        <v>394</v>
      </c>
      <c r="F652" s="249">
        <v>41536</v>
      </c>
      <c r="G652" s="249">
        <v>43361</v>
      </c>
      <c r="H652" s="247" t="s">
        <v>56</v>
      </c>
      <c r="I652" s="250" t="s">
        <v>438</v>
      </c>
    </row>
    <row r="653" spans="1:9">
      <c r="A653" s="246">
        <v>649</v>
      </c>
      <c r="B653" s="247" t="s">
        <v>466</v>
      </c>
      <c r="C653" s="302" t="str">
        <f>"3198"</f>
        <v>3198</v>
      </c>
      <c r="D653" s="247" t="s">
        <v>21</v>
      </c>
      <c r="E653" s="248">
        <v>4</v>
      </c>
      <c r="F653" s="249">
        <v>41534</v>
      </c>
      <c r="G653" s="249">
        <v>43359</v>
      </c>
      <c r="H653" s="247" t="s">
        <v>16</v>
      </c>
      <c r="I653" s="250" t="s">
        <v>3342</v>
      </c>
    </row>
    <row r="654" spans="1:9">
      <c r="A654" s="246">
        <v>650</v>
      </c>
      <c r="B654" s="247" t="s">
        <v>466</v>
      </c>
      <c r="C654" s="302" t="str">
        <f>"3199"</f>
        <v>3199</v>
      </c>
      <c r="D654" s="247" t="s">
        <v>21</v>
      </c>
      <c r="E654" s="248">
        <v>4</v>
      </c>
      <c r="F654" s="249">
        <v>41534</v>
      </c>
      <c r="G654" s="249">
        <v>43359</v>
      </c>
      <c r="H654" s="247" t="s">
        <v>16</v>
      </c>
      <c r="I654" s="250" t="s">
        <v>3342</v>
      </c>
    </row>
    <row r="655" spans="1:9">
      <c r="A655" s="246">
        <v>651</v>
      </c>
      <c r="B655" s="247" t="s">
        <v>3402</v>
      </c>
      <c r="C655" s="302" t="str">
        <f>"3216"</f>
        <v>3216</v>
      </c>
      <c r="D655" s="247" t="s">
        <v>18</v>
      </c>
      <c r="E655" s="248">
        <v>200</v>
      </c>
      <c r="F655" s="249">
        <v>38572</v>
      </c>
      <c r="G655" s="249">
        <v>40397</v>
      </c>
      <c r="H655" s="247" t="s">
        <v>14</v>
      </c>
      <c r="I655" s="250" t="s">
        <v>438</v>
      </c>
    </row>
    <row r="656" spans="1:9">
      <c r="A656" s="246">
        <v>652</v>
      </c>
      <c r="B656" s="247" t="s">
        <v>3402</v>
      </c>
      <c r="C656" s="302" t="str">
        <f>"3217"</f>
        <v>3217</v>
      </c>
      <c r="D656" s="247" t="s">
        <v>18</v>
      </c>
      <c r="E656" s="248">
        <v>200</v>
      </c>
      <c r="F656" s="249">
        <v>38572</v>
      </c>
      <c r="G656" s="249">
        <v>40397</v>
      </c>
      <c r="H656" s="247" t="s">
        <v>14</v>
      </c>
      <c r="I656" s="250" t="s">
        <v>438</v>
      </c>
    </row>
    <row r="657" spans="1:9">
      <c r="A657" s="246">
        <v>653</v>
      </c>
      <c r="B657" s="247" t="s">
        <v>467</v>
      </c>
      <c r="C657" s="302" t="str">
        <f>"3232"</f>
        <v>3232</v>
      </c>
      <c r="D657" s="247" t="s">
        <v>18</v>
      </c>
      <c r="E657" s="248">
        <v>232</v>
      </c>
      <c r="F657" s="249">
        <v>42572</v>
      </c>
      <c r="G657" s="249">
        <v>44397</v>
      </c>
      <c r="H657" s="247" t="s">
        <v>59</v>
      </c>
      <c r="I657" s="250" t="s">
        <v>437</v>
      </c>
    </row>
    <row r="658" spans="1:9">
      <c r="A658" s="246">
        <v>654</v>
      </c>
      <c r="B658" s="247" t="s">
        <v>467</v>
      </c>
      <c r="C658" s="302" t="str">
        <f>"3233"</f>
        <v>3233</v>
      </c>
      <c r="D658" s="247" t="s">
        <v>18</v>
      </c>
      <c r="E658" s="248">
        <v>195</v>
      </c>
      <c r="F658" s="249">
        <v>42572</v>
      </c>
      <c r="G658" s="249">
        <v>44397</v>
      </c>
      <c r="H658" s="247" t="s">
        <v>59</v>
      </c>
      <c r="I658" s="250" t="s">
        <v>437</v>
      </c>
    </row>
    <row r="659" spans="1:9" s="257" customFormat="1">
      <c r="A659" s="252">
        <v>655</v>
      </c>
      <c r="B659" s="253" t="s">
        <v>467</v>
      </c>
      <c r="C659" s="303" t="str">
        <f>"3234"</f>
        <v>3234</v>
      </c>
      <c r="D659" s="253" t="s">
        <v>18</v>
      </c>
      <c r="E659" s="254">
        <v>234</v>
      </c>
      <c r="F659" s="255">
        <v>44398</v>
      </c>
      <c r="G659" s="255">
        <v>44397</v>
      </c>
      <c r="H659" s="253" t="s">
        <v>59</v>
      </c>
      <c r="I659" s="256" t="s">
        <v>437</v>
      </c>
    </row>
    <row r="660" spans="1:9">
      <c r="A660" s="246">
        <v>656</v>
      </c>
      <c r="B660" s="247" t="s">
        <v>177</v>
      </c>
      <c r="C660" s="302" t="str">
        <f>"3238"</f>
        <v>3238</v>
      </c>
      <c r="D660" s="247" t="s">
        <v>18</v>
      </c>
      <c r="E660" s="248">
        <v>117</v>
      </c>
      <c r="F660" s="249">
        <v>40475</v>
      </c>
      <c r="G660" s="249">
        <v>41044</v>
      </c>
      <c r="H660" s="247" t="s">
        <v>59</v>
      </c>
      <c r="I660" s="250" t="s">
        <v>3342</v>
      </c>
    </row>
    <row r="661" spans="1:9">
      <c r="A661" s="246">
        <v>657</v>
      </c>
      <c r="B661" s="247" t="s">
        <v>467</v>
      </c>
      <c r="C661" s="302" t="str">
        <f>"3239"</f>
        <v>3239</v>
      </c>
      <c r="D661" s="247" t="s">
        <v>18</v>
      </c>
      <c r="E661" s="248">
        <v>98</v>
      </c>
      <c r="F661" s="249">
        <v>42572</v>
      </c>
      <c r="G661" s="249">
        <v>44397</v>
      </c>
      <c r="H661" s="247" t="s">
        <v>59</v>
      </c>
      <c r="I661" s="250" t="s">
        <v>437</v>
      </c>
    </row>
    <row r="662" spans="1:9">
      <c r="A662" s="246">
        <v>658</v>
      </c>
      <c r="B662" s="247" t="s">
        <v>467</v>
      </c>
      <c r="C662" s="302" t="str">
        <f>"3240"</f>
        <v>3240</v>
      </c>
      <c r="D662" s="247" t="s">
        <v>18</v>
      </c>
      <c r="E662" s="248">
        <v>159</v>
      </c>
      <c r="F662" s="249">
        <v>42572</v>
      </c>
      <c r="G662" s="249">
        <v>44397</v>
      </c>
      <c r="H662" s="247" t="s">
        <v>59</v>
      </c>
      <c r="I662" s="250" t="s">
        <v>437</v>
      </c>
    </row>
    <row r="663" spans="1:9">
      <c r="A663" s="246">
        <v>659</v>
      </c>
      <c r="B663" s="247" t="s">
        <v>467</v>
      </c>
      <c r="C663" s="302" t="str">
        <f>"3243"</f>
        <v>3243</v>
      </c>
      <c r="D663" s="247" t="s">
        <v>18</v>
      </c>
      <c r="E663" s="248">
        <v>230</v>
      </c>
      <c r="F663" s="249">
        <v>42572</v>
      </c>
      <c r="G663" s="249">
        <v>44397</v>
      </c>
      <c r="H663" s="247" t="s">
        <v>59</v>
      </c>
      <c r="I663" s="250" t="s">
        <v>437</v>
      </c>
    </row>
    <row r="664" spans="1:9">
      <c r="A664" s="246">
        <v>660</v>
      </c>
      <c r="B664" s="247" t="s">
        <v>467</v>
      </c>
      <c r="C664" s="302" t="str">
        <f>"3244"</f>
        <v>3244</v>
      </c>
      <c r="D664" s="247" t="s">
        <v>18</v>
      </c>
      <c r="E664" s="248">
        <v>227</v>
      </c>
      <c r="F664" s="249">
        <v>42572</v>
      </c>
      <c r="G664" s="249">
        <v>44397</v>
      </c>
      <c r="H664" s="247" t="s">
        <v>59</v>
      </c>
      <c r="I664" s="250" t="s">
        <v>437</v>
      </c>
    </row>
    <row r="665" spans="1:9">
      <c r="A665" s="246">
        <v>661</v>
      </c>
      <c r="B665" s="247" t="s">
        <v>467</v>
      </c>
      <c r="C665" s="302" t="str">
        <f>"3245"</f>
        <v>3245</v>
      </c>
      <c r="D665" s="247" t="s">
        <v>18</v>
      </c>
      <c r="E665" s="248">
        <v>230</v>
      </c>
      <c r="F665" s="249">
        <v>42572</v>
      </c>
      <c r="G665" s="249">
        <v>44397</v>
      </c>
      <c r="H665" s="247" t="s">
        <v>59</v>
      </c>
      <c r="I665" s="250" t="s">
        <v>437</v>
      </c>
    </row>
    <row r="666" spans="1:9">
      <c r="A666" s="246">
        <v>662</v>
      </c>
      <c r="B666" s="247" t="s">
        <v>122</v>
      </c>
      <c r="C666" s="302" t="str">
        <f>"3246"</f>
        <v>3246</v>
      </c>
      <c r="D666" s="247" t="s">
        <v>18</v>
      </c>
      <c r="E666" s="248">
        <v>197</v>
      </c>
      <c r="F666" s="249">
        <v>43165</v>
      </c>
      <c r="G666" s="249">
        <v>44990</v>
      </c>
      <c r="H666" s="247" t="s">
        <v>59</v>
      </c>
      <c r="I666" s="250" t="s">
        <v>79</v>
      </c>
    </row>
    <row r="667" spans="1:9">
      <c r="A667" s="246">
        <v>663</v>
      </c>
      <c r="B667" s="247" t="s">
        <v>122</v>
      </c>
      <c r="C667" s="302" t="str">
        <f>"3247"</f>
        <v>3247</v>
      </c>
      <c r="D667" s="247" t="s">
        <v>18</v>
      </c>
      <c r="E667" s="248">
        <v>141</v>
      </c>
      <c r="F667" s="249">
        <v>43165</v>
      </c>
      <c r="G667" s="249">
        <v>44990</v>
      </c>
      <c r="H667" s="247" t="s">
        <v>59</v>
      </c>
      <c r="I667" s="250" t="s">
        <v>79</v>
      </c>
    </row>
    <row r="668" spans="1:9">
      <c r="A668" s="246">
        <v>664</v>
      </c>
      <c r="B668" s="247" t="s">
        <v>467</v>
      </c>
      <c r="C668" s="302" t="str">
        <f>"3248"</f>
        <v>3248</v>
      </c>
      <c r="D668" s="247" t="s">
        <v>18</v>
      </c>
      <c r="E668" s="248">
        <v>232</v>
      </c>
      <c r="F668" s="249">
        <v>42572</v>
      </c>
      <c r="G668" s="249">
        <v>44397</v>
      </c>
      <c r="H668" s="247" t="s">
        <v>59</v>
      </c>
      <c r="I668" s="250" t="s">
        <v>437</v>
      </c>
    </row>
    <row r="669" spans="1:9">
      <c r="A669" s="246">
        <v>665</v>
      </c>
      <c r="B669" s="247" t="s">
        <v>467</v>
      </c>
      <c r="C669" s="302" t="str">
        <f>"3249"</f>
        <v>3249</v>
      </c>
      <c r="D669" s="247" t="s">
        <v>18</v>
      </c>
      <c r="E669" s="248">
        <v>234</v>
      </c>
      <c r="F669" s="249">
        <v>42572</v>
      </c>
      <c r="G669" s="249">
        <v>44397</v>
      </c>
      <c r="H669" s="247" t="s">
        <v>59</v>
      </c>
      <c r="I669" s="250" t="s">
        <v>437</v>
      </c>
    </row>
    <row r="670" spans="1:9">
      <c r="A670" s="246">
        <v>666</v>
      </c>
      <c r="B670" s="247" t="s">
        <v>467</v>
      </c>
      <c r="C670" s="302" t="str">
        <f>"3250"</f>
        <v>3250</v>
      </c>
      <c r="D670" s="247" t="s">
        <v>18</v>
      </c>
      <c r="E670" s="248">
        <v>225</v>
      </c>
      <c r="F670" s="249">
        <v>42572</v>
      </c>
      <c r="G670" s="249">
        <v>44397</v>
      </c>
      <c r="H670" s="247" t="s">
        <v>59</v>
      </c>
      <c r="I670" s="250" t="s">
        <v>437</v>
      </c>
    </row>
    <row r="671" spans="1:9">
      <c r="A671" s="246">
        <v>667</v>
      </c>
      <c r="B671" s="247" t="s">
        <v>467</v>
      </c>
      <c r="C671" s="302" t="str">
        <f>"3252"</f>
        <v>3252</v>
      </c>
      <c r="D671" s="247" t="s">
        <v>18</v>
      </c>
      <c r="E671" s="248">
        <v>125</v>
      </c>
      <c r="F671" s="249">
        <v>42572</v>
      </c>
      <c r="G671" s="249">
        <v>44397</v>
      </c>
      <c r="H671" s="247" t="s">
        <v>59</v>
      </c>
      <c r="I671" s="250" t="s">
        <v>437</v>
      </c>
    </row>
    <row r="672" spans="1:9">
      <c r="A672" s="246">
        <v>668</v>
      </c>
      <c r="B672" s="247" t="s">
        <v>467</v>
      </c>
      <c r="C672" s="302" t="str">
        <f>"3253"</f>
        <v>3253</v>
      </c>
      <c r="D672" s="247" t="s">
        <v>18</v>
      </c>
      <c r="E672" s="248">
        <v>77</v>
      </c>
      <c r="F672" s="249">
        <v>42572</v>
      </c>
      <c r="G672" s="249">
        <v>44397</v>
      </c>
      <c r="H672" s="247" t="s">
        <v>59</v>
      </c>
      <c r="I672" s="250" t="s">
        <v>437</v>
      </c>
    </row>
    <row r="673" spans="1:9">
      <c r="A673" s="246">
        <v>669</v>
      </c>
      <c r="B673" s="247" t="s">
        <v>468</v>
      </c>
      <c r="C673" s="302" t="str">
        <f>"3279"</f>
        <v>3279</v>
      </c>
      <c r="D673" s="247" t="s">
        <v>18</v>
      </c>
      <c r="E673" s="248">
        <v>200</v>
      </c>
      <c r="F673" s="249">
        <v>39377</v>
      </c>
      <c r="G673" s="249">
        <v>41203</v>
      </c>
      <c r="H673" s="247" t="s">
        <v>56</v>
      </c>
      <c r="I673" s="250" t="s">
        <v>438</v>
      </c>
    </row>
    <row r="674" spans="1:9">
      <c r="A674" s="246">
        <v>670</v>
      </c>
      <c r="B674" s="247" t="s">
        <v>468</v>
      </c>
      <c r="C674" s="302" t="str">
        <f>"3280"</f>
        <v>3280</v>
      </c>
      <c r="D674" s="247" t="s">
        <v>18</v>
      </c>
      <c r="E674" s="248">
        <v>222</v>
      </c>
      <c r="F674" s="249">
        <v>38992</v>
      </c>
      <c r="G674" s="249">
        <v>40817</v>
      </c>
      <c r="H674" s="247" t="s">
        <v>56</v>
      </c>
      <c r="I674" s="250" t="s">
        <v>438</v>
      </c>
    </row>
    <row r="675" spans="1:9">
      <c r="A675" s="246">
        <v>671</v>
      </c>
      <c r="B675" s="247" t="s">
        <v>3403</v>
      </c>
      <c r="C675" s="302" t="str">
        <f>"3308"</f>
        <v>3308</v>
      </c>
      <c r="D675" s="247" t="s">
        <v>18</v>
      </c>
      <c r="E675" s="248">
        <v>460</v>
      </c>
      <c r="F675" s="249">
        <v>38992</v>
      </c>
      <c r="G675" s="249">
        <v>43845</v>
      </c>
      <c r="H675" s="247" t="s">
        <v>32</v>
      </c>
      <c r="I675" s="250" t="s">
        <v>3351</v>
      </c>
    </row>
    <row r="676" spans="1:9">
      <c r="A676" s="246">
        <v>672</v>
      </c>
      <c r="B676" s="247" t="s">
        <v>3403</v>
      </c>
      <c r="C676" s="302" t="str">
        <f>"3309"</f>
        <v>3309</v>
      </c>
      <c r="D676" s="247" t="s">
        <v>18</v>
      </c>
      <c r="E676" s="248">
        <v>460</v>
      </c>
      <c r="F676" s="249">
        <v>38992</v>
      </c>
      <c r="G676" s="249">
        <v>43845</v>
      </c>
      <c r="H676" s="247" t="s">
        <v>32</v>
      </c>
      <c r="I676" s="250" t="s">
        <v>3351</v>
      </c>
    </row>
    <row r="677" spans="1:9">
      <c r="A677" s="246">
        <v>673</v>
      </c>
      <c r="B677" s="247" t="s">
        <v>3403</v>
      </c>
      <c r="C677" s="302" t="str">
        <f>"3310"</f>
        <v>3310</v>
      </c>
      <c r="D677" s="247" t="s">
        <v>18</v>
      </c>
      <c r="E677" s="248">
        <v>460</v>
      </c>
      <c r="F677" s="249">
        <v>38992</v>
      </c>
      <c r="G677" s="249">
        <v>43845</v>
      </c>
      <c r="H677" s="247" t="s">
        <v>32</v>
      </c>
      <c r="I677" s="250" t="s">
        <v>3351</v>
      </c>
    </row>
    <row r="678" spans="1:9">
      <c r="A678" s="246">
        <v>674</v>
      </c>
      <c r="B678" s="247" t="s">
        <v>3403</v>
      </c>
      <c r="C678" s="302" t="str">
        <f>"3311"</f>
        <v>3311</v>
      </c>
      <c r="D678" s="247" t="s">
        <v>18</v>
      </c>
      <c r="E678" s="248">
        <v>460</v>
      </c>
      <c r="F678" s="249">
        <v>38992</v>
      </c>
      <c r="G678" s="249">
        <v>43845</v>
      </c>
      <c r="H678" s="247" t="s">
        <v>32</v>
      </c>
      <c r="I678" s="250" t="s">
        <v>3351</v>
      </c>
    </row>
    <row r="679" spans="1:9">
      <c r="A679" s="246">
        <v>675</v>
      </c>
      <c r="B679" s="247" t="s">
        <v>3403</v>
      </c>
      <c r="C679" s="302" t="str">
        <f>"3312"</f>
        <v>3312</v>
      </c>
      <c r="D679" s="247" t="s">
        <v>18</v>
      </c>
      <c r="E679" s="248">
        <v>460</v>
      </c>
      <c r="F679" s="249">
        <v>38992</v>
      </c>
      <c r="G679" s="249">
        <v>43845</v>
      </c>
      <c r="H679" s="247" t="s">
        <v>32</v>
      </c>
      <c r="I679" s="250" t="s">
        <v>3351</v>
      </c>
    </row>
    <row r="680" spans="1:9">
      <c r="A680" s="246">
        <v>676</v>
      </c>
      <c r="B680" s="247" t="s">
        <v>3403</v>
      </c>
      <c r="C680" s="302" t="str">
        <f>"3315"</f>
        <v>3315</v>
      </c>
      <c r="D680" s="247" t="s">
        <v>18</v>
      </c>
      <c r="E680" s="248">
        <v>460</v>
      </c>
      <c r="F680" s="249">
        <v>38992</v>
      </c>
      <c r="G680" s="249">
        <v>43845</v>
      </c>
      <c r="H680" s="247" t="s">
        <v>32</v>
      </c>
      <c r="I680" s="250" t="s">
        <v>3351</v>
      </c>
    </row>
    <row r="681" spans="1:9">
      <c r="A681" s="246">
        <v>677</v>
      </c>
      <c r="B681" s="247" t="s">
        <v>3403</v>
      </c>
      <c r="C681" s="302" t="str">
        <f>"3316"</f>
        <v>3316</v>
      </c>
      <c r="D681" s="247" t="s">
        <v>18</v>
      </c>
      <c r="E681" s="248">
        <v>460</v>
      </c>
      <c r="F681" s="249">
        <v>38992</v>
      </c>
      <c r="G681" s="249">
        <v>43845</v>
      </c>
      <c r="H681" s="247" t="s">
        <v>32</v>
      </c>
      <c r="I681" s="250" t="s">
        <v>3351</v>
      </c>
    </row>
    <row r="682" spans="1:9">
      <c r="A682" s="246">
        <v>678</v>
      </c>
      <c r="B682" s="247" t="s">
        <v>3403</v>
      </c>
      <c r="C682" s="302" t="str">
        <f>"3317"</f>
        <v>3317</v>
      </c>
      <c r="D682" s="247" t="s">
        <v>18</v>
      </c>
      <c r="E682" s="248">
        <v>460</v>
      </c>
      <c r="F682" s="249">
        <v>38992</v>
      </c>
      <c r="G682" s="249">
        <v>43845</v>
      </c>
      <c r="H682" s="247" t="s">
        <v>32</v>
      </c>
      <c r="I682" s="250" t="s">
        <v>3351</v>
      </c>
    </row>
    <row r="683" spans="1:9">
      <c r="A683" s="246">
        <v>679</v>
      </c>
      <c r="B683" s="247" t="s">
        <v>3403</v>
      </c>
      <c r="C683" s="302" t="str">
        <f>"3318"</f>
        <v>3318</v>
      </c>
      <c r="D683" s="247" t="s">
        <v>18</v>
      </c>
      <c r="E683" s="248">
        <v>460</v>
      </c>
      <c r="F683" s="249">
        <v>38992</v>
      </c>
      <c r="G683" s="249">
        <v>43845</v>
      </c>
      <c r="H683" s="247" t="s">
        <v>32</v>
      </c>
      <c r="I683" s="250" t="s">
        <v>3351</v>
      </c>
    </row>
    <row r="684" spans="1:9">
      <c r="A684" s="246">
        <v>680</v>
      </c>
      <c r="B684" s="247" t="s">
        <v>3403</v>
      </c>
      <c r="C684" s="302" t="str">
        <f>"3319"</f>
        <v>3319</v>
      </c>
      <c r="D684" s="247" t="s">
        <v>18</v>
      </c>
      <c r="E684" s="248">
        <v>448</v>
      </c>
      <c r="F684" s="249">
        <v>38992</v>
      </c>
      <c r="G684" s="249">
        <v>43845</v>
      </c>
      <c r="H684" s="247" t="s">
        <v>32</v>
      </c>
      <c r="I684" s="250" t="s">
        <v>3351</v>
      </c>
    </row>
    <row r="685" spans="1:9">
      <c r="A685" s="246">
        <v>681</v>
      </c>
      <c r="B685" s="247" t="s">
        <v>3403</v>
      </c>
      <c r="C685" s="302" t="str">
        <f>"3320"</f>
        <v>3320</v>
      </c>
      <c r="D685" s="247" t="s">
        <v>18</v>
      </c>
      <c r="E685" s="248">
        <v>210</v>
      </c>
      <c r="F685" s="249">
        <v>39254</v>
      </c>
      <c r="G685" s="249">
        <v>44838</v>
      </c>
      <c r="H685" s="247" t="s">
        <v>32</v>
      </c>
      <c r="I685" s="250" t="s">
        <v>3351</v>
      </c>
    </row>
    <row r="686" spans="1:9">
      <c r="A686" s="246">
        <v>682</v>
      </c>
      <c r="B686" s="247" t="s">
        <v>3403</v>
      </c>
      <c r="C686" s="302" t="str">
        <f>"3321"</f>
        <v>3321</v>
      </c>
      <c r="D686" s="247" t="s">
        <v>18</v>
      </c>
      <c r="E686" s="248">
        <v>462</v>
      </c>
      <c r="F686" s="249">
        <v>38992</v>
      </c>
      <c r="G686" s="249">
        <v>42384</v>
      </c>
      <c r="H686" s="247" t="s">
        <v>32</v>
      </c>
      <c r="I686" s="250" t="s">
        <v>3351</v>
      </c>
    </row>
    <row r="687" spans="1:9">
      <c r="A687" s="246">
        <v>683</v>
      </c>
      <c r="B687" s="247" t="s">
        <v>3403</v>
      </c>
      <c r="C687" s="302" t="str">
        <f>"3322"</f>
        <v>3322</v>
      </c>
      <c r="D687" s="247" t="s">
        <v>18</v>
      </c>
      <c r="E687" s="248">
        <v>462</v>
      </c>
      <c r="F687" s="249">
        <v>38992</v>
      </c>
      <c r="G687" s="249">
        <v>43845</v>
      </c>
      <c r="H687" s="247" t="s">
        <v>32</v>
      </c>
      <c r="I687" s="250" t="s">
        <v>3351</v>
      </c>
    </row>
    <row r="688" spans="1:9">
      <c r="A688" s="246">
        <v>684</v>
      </c>
      <c r="B688" s="247" t="s">
        <v>3404</v>
      </c>
      <c r="C688" s="302" t="str">
        <f>"3359"</f>
        <v>3359</v>
      </c>
      <c r="D688" s="247" t="s">
        <v>18</v>
      </c>
      <c r="E688" s="248">
        <v>380</v>
      </c>
      <c r="F688" s="249">
        <v>40694</v>
      </c>
      <c r="G688" s="249">
        <v>41343</v>
      </c>
      <c r="H688" s="247" t="s">
        <v>19</v>
      </c>
      <c r="I688" s="250" t="s">
        <v>3351</v>
      </c>
    </row>
    <row r="689" spans="1:9">
      <c r="A689" s="246">
        <v>685</v>
      </c>
      <c r="B689" s="247" t="s">
        <v>3404</v>
      </c>
      <c r="C689" s="302" t="str">
        <f>"3360"</f>
        <v>3360</v>
      </c>
      <c r="D689" s="247" t="s">
        <v>18</v>
      </c>
      <c r="E689" s="248">
        <v>349</v>
      </c>
      <c r="F689" s="249">
        <v>40695</v>
      </c>
      <c r="G689" s="249">
        <v>41528</v>
      </c>
      <c r="H689" s="247" t="s">
        <v>19</v>
      </c>
      <c r="I689" s="250" t="s">
        <v>3351</v>
      </c>
    </row>
    <row r="690" spans="1:9">
      <c r="A690" s="246">
        <v>686</v>
      </c>
      <c r="B690" s="247" t="s">
        <v>3404</v>
      </c>
      <c r="C690" s="302" t="str">
        <f>"3368"</f>
        <v>3368</v>
      </c>
      <c r="D690" s="247" t="s">
        <v>18</v>
      </c>
      <c r="E690" s="248">
        <v>200</v>
      </c>
      <c r="F690" s="249">
        <v>40695</v>
      </c>
      <c r="G690" s="249">
        <v>41528</v>
      </c>
      <c r="H690" s="247" t="s">
        <v>31</v>
      </c>
      <c r="I690" s="250" t="s">
        <v>3351</v>
      </c>
    </row>
    <row r="691" spans="1:9">
      <c r="A691" s="246">
        <v>687</v>
      </c>
      <c r="B691" s="247" t="s">
        <v>3404</v>
      </c>
      <c r="C691" s="302" t="str">
        <f>"3373"</f>
        <v>3373</v>
      </c>
      <c r="D691" s="247" t="s">
        <v>18</v>
      </c>
      <c r="E691" s="248">
        <v>280</v>
      </c>
      <c r="F691" s="249">
        <v>40695</v>
      </c>
      <c r="G691" s="249">
        <v>41528</v>
      </c>
      <c r="H691" s="247" t="s">
        <v>19</v>
      </c>
      <c r="I691" s="250" t="s">
        <v>3351</v>
      </c>
    </row>
    <row r="692" spans="1:9">
      <c r="A692" s="246">
        <v>688</v>
      </c>
      <c r="B692" s="247" t="s">
        <v>3404</v>
      </c>
      <c r="C692" s="302" t="str">
        <f>"3376"</f>
        <v>3376</v>
      </c>
      <c r="D692" s="247" t="s">
        <v>18</v>
      </c>
      <c r="E692" s="248">
        <v>420</v>
      </c>
      <c r="F692" s="249">
        <v>40695</v>
      </c>
      <c r="G692" s="249">
        <v>41528</v>
      </c>
      <c r="H692" s="247" t="s">
        <v>19</v>
      </c>
      <c r="I692" s="250" t="s">
        <v>3351</v>
      </c>
    </row>
    <row r="693" spans="1:9">
      <c r="A693" s="246">
        <v>689</v>
      </c>
      <c r="B693" s="247" t="s">
        <v>456</v>
      </c>
      <c r="C693" s="302" t="str">
        <f>"3383"</f>
        <v>3383</v>
      </c>
      <c r="D693" s="247" t="s">
        <v>18</v>
      </c>
      <c r="E693" s="248">
        <v>464</v>
      </c>
      <c r="F693" s="249">
        <v>39233</v>
      </c>
      <c r="G693" s="249">
        <v>41775</v>
      </c>
      <c r="H693" s="247" t="s">
        <v>19</v>
      </c>
      <c r="I693" s="250" t="s">
        <v>3351</v>
      </c>
    </row>
    <row r="694" spans="1:9">
      <c r="A694" s="246">
        <v>690</v>
      </c>
      <c r="B694" s="247" t="s">
        <v>456</v>
      </c>
      <c r="C694" s="302" t="str">
        <f>"3384"</f>
        <v>3384</v>
      </c>
      <c r="D694" s="247" t="s">
        <v>18</v>
      </c>
      <c r="E694" s="248">
        <v>460</v>
      </c>
      <c r="F694" s="249">
        <v>39233</v>
      </c>
      <c r="G694" s="249">
        <v>41775</v>
      </c>
      <c r="H694" s="247" t="s">
        <v>19</v>
      </c>
      <c r="I694" s="250" t="s">
        <v>3351</v>
      </c>
    </row>
    <row r="695" spans="1:9">
      <c r="A695" s="246">
        <v>691</v>
      </c>
      <c r="B695" s="247" t="s">
        <v>456</v>
      </c>
      <c r="C695" s="302" t="str">
        <f>"3387"</f>
        <v>3387</v>
      </c>
      <c r="D695" s="247" t="s">
        <v>18</v>
      </c>
      <c r="E695" s="248">
        <v>384</v>
      </c>
      <c r="F695" s="249">
        <v>39233</v>
      </c>
      <c r="G695" s="249">
        <v>41775</v>
      </c>
      <c r="H695" s="247" t="s">
        <v>19</v>
      </c>
      <c r="I695" s="250" t="s">
        <v>3351</v>
      </c>
    </row>
    <row r="696" spans="1:9">
      <c r="A696" s="246">
        <v>692</v>
      </c>
      <c r="B696" s="247" t="s">
        <v>3405</v>
      </c>
      <c r="C696" s="302" t="str">
        <f>"3408"</f>
        <v>3408</v>
      </c>
      <c r="D696" s="247" t="s">
        <v>18</v>
      </c>
      <c r="E696" s="248">
        <v>50</v>
      </c>
      <c r="F696" s="249">
        <v>40413</v>
      </c>
      <c r="G696" s="249">
        <v>42238</v>
      </c>
      <c r="H696" s="247" t="s">
        <v>22</v>
      </c>
      <c r="I696" s="250" t="s">
        <v>437</v>
      </c>
    </row>
    <row r="697" spans="1:9">
      <c r="A697" s="246">
        <v>693</v>
      </c>
      <c r="B697" s="247" t="s">
        <v>3364</v>
      </c>
      <c r="C697" s="302" t="str">
        <f>"3541"</f>
        <v>3541</v>
      </c>
      <c r="D697" s="247" t="s">
        <v>18</v>
      </c>
      <c r="E697" s="248">
        <v>16</v>
      </c>
      <c r="F697" s="249">
        <v>38548</v>
      </c>
      <c r="G697" s="249">
        <v>40373</v>
      </c>
      <c r="H697" s="247" t="s">
        <v>26</v>
      </c>
      <c r="I697" s="250" t="s">
        <v>3359</v>
      </c>
    </row>
    <row r="698" spans="1:9">
      <c r="A698" s="246">
        <v>694</v>
      </c>
      <c r="B698" s="247" t="s">
        <v>3364</v>
      </c>
      <c r="C698" s="302" t="str">
        <f>"3542"</f>
        <v>3542</v>
      </c>
      <c r="D698" s="247" t="s">
        <v>18</v>
      </c>
      <c r="E698" s="248">
        <v>279</v>
      </c>
      <c r="F698" s="249">
        <v>38548</v>
      </c>
      <c r="G698" s="249">
        <v>40373</v>
      </c>
      <c r="H698" s="247" t="s">
        <v>26</v>
      </c>
      <c r="I698" s="250" t="s">
        <v>3359</v>
      </c>
    </row>
    <row r="699" spans="1:9">
      <c r="A699" s="246">
        <v>695</v>
      </c>
      <c r="B699" s="247" t="s">
        <v>3364</v>
      </c>
      <c r="C699" s="302" t="str">
        <f>"3544"</f>
        <v>3544</v>
      </c>
      <c r="D699" s="247" t="s">
        <v>18</v>
      </c>
      <c r="E699" s="248">
        <v>12</v>
      </c>
      <c r="F699" s="249">
        <v>38548</v>
      </c>
      <c r="G699" s="249">
        <v>40373</v>
      </c>
      <c r="H699" s="247" t="s">
        <v>26</v>
      </c>
      <c r="I699" s="250" t="s">
        <v>3359</v>
      </c>
    </row>
    <row r="700" spans="1:9">
      <c r="A700" s="246">
        <v>696</v>
      </c>
      <c r="B700" s="247" t="s">
        <v>3364</v>
      </c>
      <c r="C700" s="302" t="str">
        <f>"3545"</f>
        <v>3545</v>
      </c>
      <c r="D700" s="247" t="s">
        <v>18</v>
      </c>
      <c r="E700" s="248">
        <v>21</v>
      </c>
      <c r="F700" s="249">
        <v>38548</v>
      </c>
      <c r="G700" s="249">
        <v>40373</v>
      </c>
      <c r="H700" s="247" t="s">
        <v>26</v>
      </c>
      <c r="I700" s="250" t="s">
        <v>3359</v>
      </c>
    </row>
    <row r="701" spans="1:9">
      <c r="A701" s="246">
        <v>697</v>
      </c>
      <c r="B701" s="247" t="s">
        <v>3364</v>
      </c>
      <c r="C701" s="302" t="str">
        <f>"3549"</f>
        <v>3549</v>
      </c>
      <c r="D701" s="247" t="s">
        <v>18</v>
      </c>
      <c r="E701" s="248">
        <v>46</v>
      </c>
      <c r="F701" s="249">
        <v>38548</v>
      </c>
      <c r="G701" s="249">
        <v>40373</v>
      </c>
      <c r="H701" s="247" t="s">
        <v>26</v>
      </c>
      <c r="I701" s="250" t="s">
        <v>3359</v>
      </c>
    </row>
    <row r="702" spans="1:9">
      <c r="A702" s="246">
        <v>698</v>
      </c>
      <c r="B702" s="247" t="s">
        <v>3364</v>
      </c>
      <c r="C702" s="302" t="str">
        <f>"3552"</f>
        <v>3552</v>
      </c>
      <c r="D702" s="247" t="s">
        <v>18</v>
      </c>
      <c r="E702" s="248">
        <v>30</v>
      </c>
      <c r="F702" s="249">
        <v>38548</v>
      </c>
      <c r="G702" s="249">
        <v>40373</v>
      </c>
      <c r="H702" s="247" t="s">
        <v>26</v>
      </c>
      <c r="I702" s="250" t="s">
        <v>3359</v>
      </c>
    </row>
    <row r="703" spans="1:9">
      <c r="A703" s="246">
        <v>699</v>
      </c>
      <c r="B703" s="247" t="s">
        <v>3364</v>
      </c>
      <c r="C703" s="302" t="str">
        <f>"3554"</f>
        <v>3554</v>
      </c>
      <c r="D703" s="247" t="s">
        <v>18</v>
      </c>
      <c r="E703" s="248">
        <v>110</v>
      </c>
      <c r="F703" s="249">
        <v>38548</v>
      </c>
      <c r="G703" s="249">
        <v>40373</v>
      </c>
      <c r="H703" s="247" t="s">
        <v>26</v>
      </c>
      <c r="I703" s="250" t="s">
        <v>3359</v>
      </c>
    </row>
    <row r="704" spans="1:9">
      <c r="A704" s="246">
        <v>700</v>
      </c>
      <c r="B704" s="247" t="s">
        <v>3364</v>
      </c>
      <c r="C704" s="302" t="str">
        <f>"3556"</f>
        <v>3556</v>
      </c>
      <c r="D704" s="247" t="s">
        <v>18</v>
      </c>
      <c r="E704" s="248">
        <v>12</v>
      </c>
      <c r="F704" s="249">
        <v>38548</v>
      </c>
      <c r="G704" s="249">
        <v>40373</v>
      </c>
      <c r="H704" s="247" t="s">
        <v>26</v>
      </c>
      <c r="I704" s="250" t="s">
        <v>3359</v>
      </c>
    </row>
    <row r="705" spans="1:9">
      <c r="A705" s="246">
        <v>701</v>
      </c>
      <c r="B705" s="247" t="s">
        <v>3364</v>
      </c>
      <c r="C705" s="302" t="str">
        <f>"3569"</f>
        <v>3569</v>
      </c>
      <c r="D705" s="247" t="s">
        <v>18</v>
      </c>
      <c r="E705" s="248">
        <v>24</v>
      </c>
      <c r="F705" s="249">
        <v>38548</v>
      </c>
      <c r="G705" s="249">
        <v>40373</v>
      </c>
      <c r="H705" s="247" t="s">
        <v>26</v>
      </c>
      <c r="I705" s="250" t="s">
        <v>3359</v>
      </c>
    </row>
    <row r="706" spans="1:9">
      <c r="A706" s="246">
        <v>702</v>
      </c>
      <c r="B706" s="247" t="s">
        <v>3364</v>
      </c>
      <c r="C706" s="302" t="str">
        <f>"3570"</f>
        <v>3570</v>
      </c>
      <c r="D706" s="247" t="s">
        <v>18</v>
      </c>
      <c r="E706" s="248">
        <v>74</v>
      </c>
      <c r="F706" s="249">
        <v>38548</v>
      </c>
      <c r="G706" s="249">
        <v>40373</v>
      </c>
      <c r="H706" s="247" t="s">
        <v>26</v>
      </c>
      <c r="I706" s="250" t="s">
        <v>3359</v>
      </c>
    </row>
    <row r="707" spans="1:9">
      <c r="A707" s="246">
        <v>703</v>
      </c>
      <c r="B707" s="247" t="s">
        <v>3364</v>
      </c>
      <c r="C707" s="302" t="str">
        <f>"3573"</f>
        <v>3573</v>
      </c>
      <c r="D707" s="247" t="s">
        <v>18</v>
      </c>
      <c r="E707" s="248">
        <v>36</v>
      </c>
      <c r="F707" s="249">
        <v>38548</v>
      </c>
      <c r="G707" s="249">
        <v>40373</v>
      </c>
      <c r="H707" s="247" t="s">
        <v>26</v>
      </c>
      <c r="I707" s="250" t="s">
        <v>3359</v>
      </c>
    </row>
    <row r="708" spans="1:9">
      <c r="A708" s="246">
        <v>704</v>
      </c>
      <c r="B708" s="247" t="s">
        <v>3406</v>
      </c>
      <c r="C708" s="302" t="str">
        <f>"3576"</f>
        <v>3576</v>
      </c>
      <c r="D708" s="247" t="s">
        <v>13</v>
      </c>
      <c r="E708" s="248">
        <v>4</v>
      </c>
      <c r="F708" s="249">
        <v>42027</v>
      </c>
      <c r="G708" s="249">
        <v>52984</v>
      </c>
      <c r="H708" s="247" t="s">
        <v>26</v>
      </c>
      <c r="I708" s="250" t="s">
        <v>438</v>
      </c>
    </row>
    <row r="709" spans="1:9">
      <c r="A709" s="246">
        <v>705</v>
      </c>
      <c r="B709" s="247" t="s">
        <v>15</v>
      </c>
      <c r="C709" s="302" t="str">
        <f>"3859"</f>
        <v>3859</v>
      </c>
      <c r="D709" s="247" t="s">
        <v>13</v>
      </c>
      <c r="E709" s="248">
        <v>33</v>
      </c>
      <c r="F709" s="249">
        <v>42949</v>
      </c>
      <c r="G709" s="249">
        <v>53905</v>
      </c>
      <c r="H709" s="247" t="s">
        <v>14</v>
      </c>
      <c r="I709" s="250" t="s">
        <v>3385</v>
      </c>
    </row>
    <row r="710" spans="1:9">
      <c r="A710" s="246">
        <v>706</v>
      </c>
      <c r="B710" s="247" t="s">
        <v>3387</v>
      </c>
      <c r="C710" s="302" t="str">
        <f>"3872"</f>
        <v>3872</v>
      </c>
      <c r="D710" s="247" t="s">
        <v>18</v>
      </c>
      <c r="E710" s="248">
        <v>387</v>
      </c>
      <c r="F710" s="249">
        <v>39116</v>
      </c>
      <c r="G710" s="249">
        <v>44229</v>
      </c>
      <c r="H710" s="247" t="s">
        <v>84</v>
      </c>
      <c r="I710" s="250" t="s">
        <v>3351</v>
      </c>
    </row>
    <row r="711" spans="1:9">
      <c r="A711" s="246">
        <v>707</v>
      </c>
      <c r="B711" s="247" t="s">
        <v>3407</v>
      </c>
      <c r="C711" s="302" t="str">
        <f>"3900"</f>
        <v>3900</v>
      </c>
      <c r="D711" s="247" t="s">
        <v>21</v>
      </c>
      <c r="E711" s="248">
        <v>4</v>
      </c>
      <c r="F711" s="249">
        <v>39499</v>
      </c>
      <c r="G711" s="249">
        <v>41325</v>
      </c>
      <c r="H711" s="247" t="s">
        <v>22</v>
      </c>
      <c r="I711" s="250" t="s">
        <v>438</v>
      </c>
    </row>
    <row r="712" spans="1:9">
      <c r="A712" s="246">
        <v>708</v>
      </c>
      <c r="B712" s="247" t="s">
        <v>3408</v>
      </c>
      <c r="C712" s="302" t="str">
        <f>"3906"</f>
        <v>3906</v>
      </c>
      <c r="D712" s="247" t="s">
        <v>21</v>
      </c>
      <c r="E712" s="248">
        <v>4</v>
      </c>
      <c r="F712" s="249">
        <v>39499</v>
      </c>
      <c r="G712" s="249">
        <v>41325</v>
      </c>
      <c r="H712" s="247" t="s">
        <v>22</v>
      </c>
      <c r="I712" s="250" t="s">
        <v>438</v>
      </c>
    </row>
    <row r="713" spans="1:9">
      <c r="A713" s="246">
        <v>709</v>
      </c>
      <c r="B713" s="247" t="s">
        <v>3408</v>
      </c>
      <c r="C713" s="302" t="str">
        <f>"3907"</f>
        <v>3907</v>
      </c>
      <c r="D713" s="247" t="s">
        <v>21</v>
      </c>
      <c r="E713" s="248">
        <v>4</v>
      </c>
      <c r="F713" s="249">
        <v>39499</v>
      </c>
      <c r="G713" s="249">
        <v>41325</v>
      </c>
      <c r="H713" s="247" t="s">
        <v>22</v>
      </c>
      <c r="I713" s="250" t="s">
        <v>438</v>
      </c>
    </row>
    <row r="714" spans="1:9">
      <c r="A714" s="246">
        <v>710</v>
      </c>
      <c r="B714" s="247" t="s">
        <v>3407</v>
      </c>
      <c r="C714" s="302" t="str">
        <f>"3917"</f>
        <v>3917</v>
      </c>
      <c r="D714" s="247" t="s">
        <v>21</v>
      </c>
      <c r="E714" s="248">
        <v>4</v>
      </c>
      <c r="F714" s="249">
        <v>39499</v>
      </c>
      <c r="G714" s="249">
        <v>41325</v>
      </c>
      <c r="H714" s="247" t="s">
        <v>22</v>
      </c>
      <c r="I714" s="250" t="s">
        <v>438</v>
      </c>
    </row>
    <row r="715" spans="1:9">
      <c r="A715" s="246">
        <v>711</v>
      </c>
      <c r="B715" s="247" t="s">
        <v>3407</v>
      </c>
      <c r="C715" s="302" t="str">
        <f>"3918"</f>
        <v>3918</v>
      </c>
      <c r="D715" s="247" t="s">
        <v>21</v>
      </c>
      <c r="E715" s="248">
        <v>4</v>
      </c>
      <c r="F715" s="249">
        <v>39499</v>
      </c>
      <c r="G715" s="249">
        <v>41325</v>
      </c>
      <c r="H715" s="247" t="s">
        <v>22</v>
      </c>
      <c r="I715" s="250" t="s">
        <v>438</v>
      </c>
    </row>
    <row r="716" spans="1:9">
      <c r="A716" s="246">
        <v>712</v>
      </c>
      <c r="B716" s="247" t="s">
        <v>3407</v>
      </c>
      <c r="C716" s="302" t="str">
        <f>"3919"</f>
        <v>3919</v>
      </c>
      <c r="D716" s="247" t="s">
        <v>21</v>
      </c>
      <c r="E716" s="248">
        <v>4</v>
      </c>
      <c r="F716" s="249">
        <v>39499</v>
      </c>
      <c r="G716" s="249">
        <v>41325</v>
      </c>
      <c r="H716" s="247" t="s">
        <v>22</v>
      </c>
      <c r="I716" s="250" t="s">
        <v>438</v>
      </c>
    </row>
    <row r="717" spans="1:9">
      <c r="A717" s="246">
        <v>713</v>
      </c>
      <c r="B717" s="247" t="s">
        <v>3407</v>
      </c>
      <c r="C717" s="302" t="str">
        <f>"3921"</f>
        <v>3921</v>
      </c>
      <c r="D717" s="247" t="s">
        <v>21</v>
      </c>
      <c r="E717" s="248">
        <v>4</v>
      </c>
      <c r="F717" s="249">
        <v>39499</v>
      </c>
      <c r="G717" s="249">
        <v>41325</v>
      </c>
      <c r="H717" s="247" t="s">
        <v>22</v>
      </c>
      <c r="I717" s="250" t="s">
        <v>438</v>
      </c>
    </row>
    <row r="718" spans="1:9">
      <c r="A718" s="246">
        <v>714</v>
      </c>
      <c r="B718" s="247" t="s">
        <v>3409</v>
      </c>
      <c r="C718" s="302" t="str">
        <f>"3951"</f>
        <v>3951</v>
      </c>
      <c r="D718" s="247" t="s">
        <v>21</v>
      </c>
      <c r="E718" s="248">
        <v>4</v>
      </c>
      <c r="F718" s="249">
        <v>39499</v>
      </c>
      <c r="G718" s="249">
        <v>41325</v>
      </c>
      <c r="H718" s="247" t="s">
        <v>22</v>
      </c>
      <c r="I718" s="250" t="s">
        <v>438</v>
      </c>
    </row>
    <row r="719" spans="1:9">
      <c r="A719" s="246">
        <v>715</v>
      </c>
      <c r="B719" s="247" t="s">
        <v>3407</v>
      </c>
      <c r="C719" s="302" t="str">
        <f>"3955"</f>
        <v>3955</v>
      </c>
      <c r="D719" s="247" t="s">
        <v>21</v>
      </c>
      <c r="E719" s="248">
        <v>4</v>
      </c>
      <c r="F719" s="249">
        <v>39499</v>
      </c>
      <c r="G719" s="249">
        <v>41325</v>
      </c>
      <c r="H719" s="247" t="s">
        <v>22</v>
      </c>
      <c r="I719" s="250" t="s">
        <v>438</v>
      </c>
    </row>
    <row r="720" spans="1:9">
      <c r="A720" s="246">
        <v>716</v>
      </c>
      <c r="B720" s="247" t="s">
        <v>3410</v>
      </c>
      <c r="C720" s="302" t="str">
        <f>"3980"</f>
        <v>3980</v>
      </c>
      <c r="D720" s="247" t="s">
        <v>21</v>
      </c>
      <c r="E720" s="248">
        <v>4</v>
      </c>
      <c r="F720" s="249">
        <v>39499</v>
      </c>
      <c r="G720" s="249">
        <v>41325</v>
      </c>
      <c r="H720" s="247" t="s">
        <v>22</v>
      </c>
      <c r="I720" s="250" t="s">
        <v>438</v>
      </c>
    </row>
    <row r="721" spans="1:9">
      <c r="A721" s="246">
        <v>717</v>
      </c>
      <c r="B721" s="247" t="s">
        <v>3410</v>
      </c>
      <c r="C721" s="302" t="str">
        <f>"3981"</f>
        <v>3981</v>
      </c>
      <c r="D721" s="247" t="s">
        <v>21</v>
      </c>
      <c r="E721" s="248">
        <v>4</v>
      </c>
      <c r="F721" s="249">
        <v>39499</v>
      </c>
      <c r="G721" s="249">
        <v>41325</v>
      </c>
      <c r="H721" s="247" t="s">
        <v>22</v>
      </c>
      <c r="I721" s="250" t="s">
        <v>438</v>
      </c>
    </row>
    <row r="722" spans="1:9">
      <c r="A722" s="246">
        <v>718</v>
      </c>
      <c r="B722" s="247" t="s">
        <v>3410</v>
      </c>
      <c r="C722" s="302" t="str">
        <f>"3983"</f>
        <v>3983</v>
      </c>
      <c r="D722" s="247" t="s">
        <v>21</v>
      </c>
      <c r="E722" s="248">
        <v>4</v>
      </c>
      <c r="F722" s="249">
        <v>39499</v>
      </c>
      <c r="G722" s="249">
        <v>41325</v>
      </c>
      <c r="H722" s="247" t="s">
        <v>22</v>
      </c>
      <c r="I722" s="250" t="s">
        <v>438</v>
      </c>
    </row>
    <row r="723" spans="1:9">
      <c r="A723" s="246">
        <v>719</v>
      </c>
      <c r="B723" s="247" t="s">
        <v>3410</v>
      </c>
      <c r="C723" s="302" t="str">
        <f>"3985"</f>
        <v>3985</v>
      </c>
      <c r="D723" s="247" t="s">
        <v>21</v>
      </c>
      <c r="E723" s="248">
        <v>4</v>
      </c>
      <c r="F723" s="249">
        <v>39499</v>
      </c>
      <c r="G723" s="249">
        <v>41325</v>
      </c>
      <c r="H723" s="247" t="s">
        <v>22</v>
      </c>
      <c r="I723" s="250" t="s">
        <v>438</v>
      </c>
    </row>
    <row r="724" spans="1:9">
      <c r="A724" s="246">
        <v>720</v>
      </c>
      <c r="B724" s="247" t="s">
        <v>3411</v>
      </c>
      <c r="C724" s="302" t="str">
        <f>"3995"</f>
        <v>3995</v>
      </c>
      <c r="D724" s="247" t="s">
        <v>21</v>
      </c>
      <c r="E724" s="248">
        <v>4</v>
      </c>
      <c r="F724" s="249">
        <v>39499</v>
      </c>
      <c r="G724" s="249">
        <v>41325</v>
      </c>
      <c r="H724" s="247" t="s">
        <v>22</v>
      </c>
      <c r="I724" s="250" t="s">
        <v>438</v>
      </c>
    </row>
    <row r="725" spans="1:9">
      <c r="A725" s="246">
        <v>721</v>
      </c>
      <c r="B725" s="247" t="s">
        <v>141</v>
      </c>
      <c r="C725" s="302" t="str">
        <f>"4004"</f>
        <v>4004</v>
      </c>
      <c r="D725" s="247" t="s">
        <v>30</v>
      </c>
      <c r="E725" s="248">
        <v>26</v>
      </c>
      <c r="F725" s="249">
        <v>42372</v>
      </c>
      <c r="G725" s="249">
        <v>44198</v>
      </c>
      <c r="H725" s="247" t="s">
        <v>14</v>
      </c>
      <c r="I725" s="250" t="s">
        <v>3342</v>
      </c>
    </row>
    <row r="726" spans="1:9">
      <c r="A726" s="246">
        <v>722</v>
      </c>
      <c r="B726" s="247" t="s">
        <v>43</v>
      </c>
      <c r="C726" s="302" t="str">
        <f>"4018"</f>
        <v>4018</v>
      </c>
      <c r="D726" s="247" t="s">
        <v>13</v>
      </c>
      <c r="E726" s="248">
        <v>7</v>
      </c>
      <c r="F726" s="249">
        <v>40835</v>
      </c>
      <c r="G726" s="249">
        <v>51792</v>
      </c>
      <c r="H726" s="247" t="s">
        <v>14</v>
      </c>
      <c r="I726" s="250" t="s">
        <v>79</v>
      </c>
    </row>
    <row r="727" spans="1:9">
      <c r="A727" s="246">
        <v>723</v>
      </c>
      <c r="B727" s="247" t="s">
        <v>123</v>
      </c>
      <c r="C727" s="302" t="str">
        <f>"4019"</f>
        <v>4019</v>
      </c>
      <c r="D727" s="247" t="s">
        <v>13</v>
      </c>
      <c r="E727" s="248">
        <v>7</v>
      </c>
      <c r="F727" s="249">
        <v>44231</v>
      </c>
      <c r="G727" s="249">
        <v>53361</v>
      </c>
      <c r="H727" s="247" t="s">
        <v>14</v>
      </c>
      <c r="I727" s="250" t="s">
        <v>79</v>
      </c>
    </row>
    <row r="728" spans="1:9">
      <c r="A728" s="246">
        <v>724</v>
      </c>
      <c r="B728" s="247" t="s">
        <v>58</v>
      </c>
      <c r="C728" s="302" t="str">
        <f>"4029"</f>
        <v>4029</v>
      </c>
      <c r="D728" s="247" t="s">
        <v>18</v>
      </c>
      <c r="E728" s="248">
        <v>79</v>
      </c>
      <c r="F728" s="249">
        <v>42572</v>
      </c>
      <c r="G728" s="249">
        <v>44397</v>
      </c>
      <c r="H728" s="247" t="s">
        <v>59</v>
      </c>
      <c r="I728" s="250" t="s">
        <v>455</v>
      </c>
    </row>
    <row r="729" spans="1:9">
      <c r="A729" s="246">
        <v>725</v>
      </c>
      <c r="B729" s="247" t="s">
        <v>58</v>
      </c>
      <c r="C729" s="302" t="str">
        <f>"4030"</f>
        <v>4030</v>
      </c>
      <c r="D729" s="247" t="s">
        <v>18</v>
      </c>
      <c r="E729" s="248">
        <v>63</v>
      </c>
      <c r="F729" s="249">
        <v>42572</v>
      </c>
      <c r="G729" s="249">
        <v>44397</v>
      </c>
      <c r="H729" s="247" t="s">
        <v>59</v>
      </c>
      <c r="I729" s="250" t="s">
        <v>455</v>
      </c>
    </row>
    <row r="730" spans="1:9">
      <c r="A730" s="246">
        <v>726</v>
      </c>
      <c r="B730" s="247" t="s">
        <v>197</v>
      </c>
      <c r="C730" s="302" t="str">
        <f>"4072"</f>
        <v>4072</v>
      </c>
      <c r="D730" s="247" t="s">
        <v>18</v>
      </c>
      <c r="E730" s="248">
        <v>214</v>
      </c>
      <c r="F730" s="249">
        <v>40426</v>
      </c>
      <c r="G730" s="249">
        <v>44485</v>
      </c>
      <c r="H730" s="247" t="s">
        <v>70</v>
      </c>
      <c r="I730" s="250" t="s">
        <v>448</v>
      </c>
    </row>
    <row r="731" spans="1:9">
      <c r="A731" s="246">
        <v>727</v>
      </c>
      <c r="B731" s="247" t="s">
        <v>197</v>
      </c>
      <c r="C731" s="302" t="str">
        <f>"4076"</f>
        <v>4076</v>
      </c>
      <c r="D731" s="247" t="s">
        <v>18</v>
      </c>
      <c r="E731" s="248">
        <v>105</v>
      </c>
      <c r="F731" s="249">
        <v>42252</v>
      </c>
      <c r="G731" s="249">
        <v>44485</v>
      </c>
      <c r="H731" s="247" t="s">
        <v>70</v>
      </c>
      <c r="I731" s="250" t="s">
        <v>3412</v>
      </c>
    </row>
    <row r="732" spans="1:9">
      <c r="A732" s="246">
        <v>728</v>
      </c>
      <c r="B732" s="247" t="s">
        <v>3364</v>
      </c>
      <c r="C732" s="302" t="str">
        <f>"4088"</f>
        <v>4088</v>
      </c>
      <c r="D732" s="247" t="s">
        <v>18</v>
      </c>
      <c r="E732" s="248">
        <v>17</v>
      </c>
      <c r="F732" s="249">
        <v>38581</v>
      </c>
      <c r="G732" s="249">
        <v>40041</v>
      </c>
      <c r="H732" s="247" t="s">
        <v>26</v>
      </c>
      <c r="I732" s="250" t="s">
        <v>3359</v>
      </c>
    </row>
    <row r="733" spans="1:9">
      <c r="A733" s="246">
        <v>729</v>
      </c>
      <c r="B733" s="247" t="s">
        <v>469</v>
      </c>
      <c r="C733" s="302" t="str">
        <f>"4091"</f>
        <v>4091</v>
      </c>
      <c r="D733" s="247" t="s">
        <v>18</v>
      </c>
      <c r="E733" s="248">
        <v>2</v>
      </c>
      <c r="F733" s="249">
        <v>38631</v>
      </c>
      <c r="G733" s="249">
        <v>40091</v>
      </c>
      <c r="H733" s="247" t="s">
        <v>26</v>
      </c>
      <c r="I733" s="250" t="s">
        <v>448</v>
      </c>
    </row>
    <row r="734" spans="1:9">
      <c r="A734" s="246">
        <v>730</v>
      </c>
      <c r="B734" s="247" t="s">
        <v>93</v>
      </c>
      <c r="C734" s="302" t="str">
        <f>"4093"</f>
        <v>4093</v>
      </c>
      <c r="D734" s="247" t="s">
        <v>30</v>
      </c>
      <c r="E734" s="248">
        <v>7</v>
      </c>
      <c r="F734" s="249">
        <v>40256</v>
      </c>
      <c r="G734" s="249">
        <v>45004</v>
      </c>
      <c r="H734" s="247" t="s">
        <v>26</v>
      </c>
      <c r="I734" s="250" t="s">
        <v>79</v>
      </c>
    </row>
    <row r="735" spans="1:9">
      <c r="A735" s="246">
        <v>731</v>
      </c>
      <c r="B735" s="247" t="s">
        <v>470</v>
      </c>
      <c r="C735" s="302" t="str">
        <f>"4100"</f>
        <v>4100</v>
      </c>
      <c r="D735" s="247" t="s">
        <v>18</v>
      </c>
      <c r="E735" s="248">
        <v>155</v>
      </c>
      <c r="F735" s="249">
        <v>40465</v>
      </c>
      <c r="G735" s="249">
        <v>42290</v>
      </c>
      <c r="H735" s="247" t="s">
        <v>70</v>
      </c>
      <c r="I735" s="250" t="s">
        <v>433</v>
      </c>
    </row>
    <row r="736" spans="1:9">
      <c r="A736" s="246">
        <v>732</v>
      </c>
      <c r="B736" s="247" t="s">
        <v>471</v>
      </c>
      <c r="C736" s="302" t="str">
        <f>"4127"</f>
        <v>4127</v>
      </c>
      <c r="D736" s="247" t="s">
        <v>21</v>
      </c>
      <c r="E736" s="248">
        <v>1</v>
      </c>
      <c r="F736" s="249">
        <v>41284</v>
      </c>
      <c r="G736" s="249">
        <v>43109</v>
      </c>
      <c r="H736" s="247" t="s">
        <v>22</v>
      </c>
      <c r="I736" s="250" t="s">
        <v>3342</v>
      </c>
    </row>
    <row r="737" spans="1:9">
      <c r="A737" s="246">
        <v>733</v>
      </c>
      <c r="B737" s="247" t="s">
        <v>471</v>
      </c>
      <c r="C737" s="302" t="str">
        <f>"4128"</f>
        <v>4128</v>
      </c>
      <c r="D737" s="247" t="s">
        <v>23</v>
      </c>
      <c r="E737" s="248">
        <v>1</v>
      </c>
      <c r="F737" s="249">
        <v>38656</v>
      </c>
      <c r="G737" s="249">
        <v>39020</v>
      </c>
      <c r="H737" s="247" t="s">
        <v>22</v>
      </c>
      <c r="I737" s="250" t="s">
        <v>3413</v>
      </c>
    </row>
    <row r="738" spans="1:9">
      <c r="A738" s="246">
        <v>734</v>
      </c>
      <c r="B738" s="247" t="s">
        <v>124</v>
      </c>
      <c r="C738" s="302" t="str">
        <f>"4135"</f>
        <v>4135</v>
      </c>
      <c r="D738" s="247" t="s">
        <v>13</v>
      </c>
      <c r="E738" s="248">
        <v>6</v>
      </c>
      <c r="F738" s="249">
        <v>43111</v>
      </c>
      <c r="G738" s="249">
        <v>54067</v>
      </c>
      <c r="H738" s="247" t="s">
        <v>14</v>
      </c>
      <c r="I738" s="250" t="s">
        <v>79</v>
      </c>
    </row>
    <row r="739" spans="1:9">
      <c r="A739" s="246">
        <v>735</v>
      </c>
      <c r="B739" s="247" t="s">
        <v>301</v>
      </c>
      <c r="C739" s="302" t="str">
        <f>"4158"</f>
        <v>4158</v>
      </c>
      <c r="D739" s="247" t="s">
        <v>13</v>
      </c>
      <c r="E739" s="248">
        <v>200</v>
      </c>
      <c r="F739" s="249">
        <v>42209</v>
      </c>
      <c r="G739" s="249">
        <v>53166</v>
      </c>
      <c r="H739" s="247" t="s">
        <v>59</v>
      </c>
      <c r="I739" s="250" t="s">
        <v>3351</v>
      </c>
    </row>
    <row r="740" spans="1:9">
      <c r="A740" s="246">
        <v>736</v>
      </c>
      <c r="B740" s="247" t="s">
        <v>3414</v>
      </c>
      <c r="C740" s="302" t="str">
        <f>"4162"</f>
        <v>4162</v>
      </c>
      <c r="D740" s="247" t="s">
        <v>13</v>
      </c>
      <c r="E740" s="248">
        <v>214</v>
      </c>
      <c r="F740" s="249">
        <v>42209</v>
      </c>
      <c r="G740" s="249">
        <v>53166</v>
      </c>
      <c r="H740" s="247" t="s">
        <v>59</v>
      </c>
      <c r="I740" s="250" t="s">
        <v>3351</v>
      </c>
    </row>
    <row r="741" spans="1:9">
      <c r="A741" s="246">
        <v>737</v>
      </c>
      <c r="B741" s="247" t="s">
        <v>3415</v>
      </c>
      <c r="C741" s="302" t="str">
        <f>"4163"</f>
        <v>4163</v>
      </c>
      <c r="D741" s="247" t="s">
        <v>21</v>
      </c>
      <c r="E741" s="248">
        <v>3</v>
      </c>
      <c r="F741" s="249">
        <v>39316</v>
      </c>
      <c r="G741" s="249">
        <v>41142</v>
      </c>
      <c r="H741" s="247" t="s">
        <v>22</v>
      </c>
      <c r="I741" s="250" t="s">
        <v>438</v>
      </c>
    </row>
    <row r="742" spans="1:9">
      <c r="A742" s="246">
        <v>738</v>
      </c>
      <c r="B742" s="247" t="s">
        <v>3415</v>
      </c>
      <c r="C742" s="302" t="str">
        <f>"4164"</f>
        <v>4164</v>
      </c>
      <c r="D742" s="247" t="s">
        <v>21</v>
      </c>
      <c r="E742" s="248">
        <v>3</v>
      </c>
      <c r="F742" s="249">
        <v>39316</v>
      </c>
      <c r="G742" s="249">
        <v>41142</v>
      </c>
      <c r="H742" s="247" t="s">
        <v>22</v>
      </c>
      <c r="I742" s="250" t="s">
        <v>438</v>
      </c>
    </row>
    <row r="743" spans="1:9">
      <c r="A743" s="246">
        <v>739</v>
      </c>
      <c r="B743" s="247" t="s">
        <v>3416</v>
      </c>
      <c r="C743" s="302" t="str">
        <f>"4179"</f>
        <v>4179</v>
      </c>
      <c r="D743" s="247" t="s">
        <v>18</v>
      </c>
      <c r="E743" s="248">
        <v>2</v>
      </c>
      <c r="F743" s="249">
        <v>38623</v>
      </c>
      <c r="G743" s="249">
        <v>40083</v>
      </c>
      <c r="H743" s="247" t="s">
        <v>26</v>
      </c>
      <c r="I743" s="250" t="s">
        <v>438</v>
      </c>
    </row>
    <row r="744" spans="1:9">
      <c r="A744" s="246">
        <v>740</v>
      </c>
      <c r="B744" s="247" t="s">
        <v>3416</v>
      </c>
      <c r="C744" s="302" t="str">
        <f>"4180"</f>
        <v>4180</v>
      </c>
      <c r="D744" s="247" t="s">
        <v>18</v>
      </c>
      <c r="E744" s="248">
        <v>16</v>
      </c>
      <c r="F744" s="249">
        <v>38623</v>
      </c>
      <c r="G744" s="249">
        <v>40083</v>
      </c>
      <c r="H744" s="247" t="s">
        <v>26</v>
      </c>
      <c r="I744" s="250" t="s">
        <v>438</v>
      </c>
    </row>
    <row r="745" spans="1:9">
      <c r="A745" s="246">
        <v>741</v>
      </c>
      <c r="B745" s="247" t="s">
        <v>125</v>
      </c>
      <c r="C745" s="302" t="str">
        <f>"4191"</f>
        <v>4191</v>
      </c>
      <c r="D745" s="247" t="s">
        <v>30</v>
      </c>
      <c r="E745" s="248">
        <v>4</v>
      </c>
      <c r="F745" s="249">
        <v>44019</v>
      </c>
      <c r="G745" s="249">
        <v>45844</v>
      </c>
      <c r="H745" s="247" t="s">
        <v>16</v>
      </c>
      <c r="I745" s="250" t="s">
        <v>79</v>
      </c>
    </row>
    <row r="746" spans="1:9">
      <c r="A746" s="246">
        <v>742</v>
      </c>
      <c r="B746" s="247" t="s">
        <v>125</v>
      </c>
      <c r="C746" s="302" t="str">
        <f>"4192"</f>
        <v>4192</v>
      </c>
      <c r="D746" s="247" t="s">
        <v>18</v>
      </c>
      <c r="E746" s="248">
        <v>30</v>
      </c>
      <c r="F746" s="249">
        <v>38603</v>
      </c>
      <c r="G746" s="249">
        <v>40428</v>
      </c>
      <c r="H746" s="247" t="s">
        <v>16</v>
      </c>
      <c r="I746" s="250" t="s">
        <v>3342</v>
      </c>
    </row>
    <row r="747" spans="1:9">
      <c r="A747" s="246">
        <v>743</v>
      </c>
      <c r="B747" s="247" t="s">
        <v>125</v>
      </c>
      <c r="C747" s="302" t="str">
        <f>"4197"</f>
        <v>4197</v>
      </c>
      <c r="D747" s="247" t="s">
        <v>18</v>
      </c>
      <c r="E747" s="248">
        <v>68</v>
      </c>
      <c r="F747" s="249">
        <v>38603</v>
      </c>
      <c r="G747" s="249">
        <v>40428</v>
      </c>
      <c r="H747" s="247" t="s">
        <v>14</v>
      </c>
      <c r="I747" s="250" t="s">
        <v>3342</v>
      </c>
    </row>
    <row r="748" spans="1:9">
      <c r="A748" s="246">
        <v>744</v>
      </c>
      <c r="B748" s="247" t="s">
        <v>17</v>
      </c>
      <c r="C748" s="302" t="str">
        <f>"4246"</f>
        <v>4246</v>
      </c>
      <c r="D748" s="247" t="s">
        <v>18</v>
      </c>
      <c r="E748" s="248">
        <v>274</v>
      </c>
      <c r="F748" s="249">
        <v>40807</v>
      </c>
      <c r="G748" s="249">
        <v>43397</v>
      </c>
      <c r="H748" s="247" t="s">
        <v>19</v>
      </c>
      <c r="I748" s="250" t="s">
        <v>3386</v>
      </c>
    </row>
    <row r="749" spans="1:9">
      <c r="A749" s="246">
        <v>745</v>
      </c>
      <c r="B749" s="247" t="s">
        <v>466</v>
      </c>
      <c r="C749" s="302" t="str">
        <f>"4282"</f>
        <v>4282</v>
      </c>
      <c r="D749" s="247" t="s">
        <v>21</v>
      </c>
      <c r="E749" s="248">
        <v>4</v>
      </c>
      <c r="F749" s="249">
        <v>41534</v>
      </c>
      <c r="G749" s="249">
        <v>43359</v>
      </c>
      <c r="H749" s="247" t="s">
        <v>16</v>
      </c>
      <c r="I749" s="250" t="s">
        <v>3342</v>
      </c>
    </row>
    <row r="750" spans="1:9">
      <c r="A750" s="246">
        <v>746</v>
      </c>
      <c r="B750" s="247" t="s">
        <v>466</v>
      </c>
      <c r="C750" s="302" t="str">
        <f>"4283"</f>
        <v>4283</v>
      </c>
      <c r="D750" s="247" t="s">
        <v>21</v>
      </c>
      <c r="E750" s="248">
        <v>4</v>
      </c>
      <c r="F750" s="249">
        <v>41534</v>
      </c>
      <c r="G750" s="249">
        <v>43359</v>
      </c>
      <c r="H750" s="247" t="s">
        <v>16</v>
      </c>
      <c r="I750" s="250" t="s">
        <v>3342</v>
      </c>
    </row>
    <row r="751" spans="1:9">
      <c r="A751" s="246">
        <v>747</v>
      </c>
      <c r="B751" s="247" t="s">
        <v>466</v>
      </c>
      <c r="C751" s="302" t="str">
        <f>"4284"</f>
        <v>4284</v>
      </c>
      <c r="D751" s="247" t="s">
        <v>21</v>
      </c>
      <c r="E751" s="248">
        <v>4</v>
      </c>
      <c r="F751" s="249">
        <v>41534</v>
      </c>
      <c r="G751" s="249">
        <v>43359</v>
      </c>
      <c r="H751" s="247" t="s">
        <v>16</v>
      </c>
      <c r="I751" s="250" t="s">
        <v>3342</v>
      </c>
    </row>
    <row r="752" spans="1:9">
      <c r="A752" s="246">
        <v>748</v>
      </c>
      <c r="B752" s="247" t="s">
        <v>466</v>
      </c>
      <c r="C752" s="302" t="str">
        <f>"4285"</f>
        <v>4285</v>
      </c>
      <c r="D752" s="247" t="s">
        <v>21</v>
      </c>
      <c r="E752" s="248">
        <v>4</v>
      </c>
      <c r="F752" s="249">
        <v>41534</v>
      </c>
      <c r="G752" s="249">
        <v>43359</v>
      </c>
      <c r="H752" s="247" t="s">
        <v>16</v>
      </c>
      <c r="I752" s="250" t="s">
        <v>3342</v>
      </c>
    </row>
    <row r="753" spans="1:9">
      <c r="A753" s="246">
        <v>749</v>
      </c>
      <c r="B753" s="247" t="s">
        <v>466</v>
      </c>
      <c r="C753" s="302" t="str">
        <f>"4286"</f>
        <v>4286</v>
      </c>
      <c r="D753" s="247" t="s">
        <v>21</v>
      </c>
      <c r="E753" s="248">
        <v>4</v>
      </c>
      <c r="F753" s="249">
        <v>41534</v>
      </c>
      <c r="G753" s="249">
        <v>43359</v>
      </c>
      <c r="H753" s="247" t="s">
        <v>16</v>
      </c>
      <c r="I753" s="250" t="s">
        <v>3342</v>
      </c>
    </row>
    <row r="754" spans="1:9">
      <c r="A754" s="246">
        <v>750</v>
      </c>
      <c r="B754" s="247" t="s">
        <v>125</v>
      </c>
      <c r="C754" s="302" t="str">
        <f>"4293"</f>
        <v>4293</v>
      </c>
      <c r="D754" s="247" t="s">
        <v>18</v>
      </c>
      <c r="E754" s="248">
        <v>12</v>
      </c>
      <c r="F754" s="249">
        <v>38589</v>
      </c>
      <c r="G754" s="249">
        <v>40414</v>
      </c>
      <c r="H754" s="247" t="s">
        <v>16</v>
      </c>
      <c r="I754" s="250" t="s">
        <v>448</v>
      </c>
    </row>
    <row r="755" spans="1:9">
      <c r="A755" s="246">
        <v>751</v>
      </c>
      <c r="B755" s="247" t="s">
        <v>125</v>
      </c>
      <c r="C755" s="302" t="str">
        <f>"4294"</f>
        <v>4294</v>
      </c>
      <c r="D755" s="247" t="s">
        <v>18</v>
      </c>
      <c r="E755" s="248">
        <v>47</v>
      </c>
      <c r="F755" s="249">
        <v>38589</v>
      </c>
      <c r="G755" s="249">
        <v>40414</v>
      </c>
      <c r="H755" s="247" t="s">
        <v>16</v>
      </c>
      <c r="I755" s="250" t="s">
        <v>3342</v>
      </c>
    </row>
    <row r="756" spans="1:9">
      <c r="A756" s="246">
        <v>752</v>
      </c>
      <c r="B756" s="247" t="s">
        <v>125</v>
      </c>
      <c r="C756" s="302" t="str">
        <f>"4295"</f>
        <v>4295</v>
      </c>
      <c r="D756" s="247" t="s">
        <v>18</v>
      </c>
      <c r="E756" s="248">
        <v>471</v>
      </c>
      <c r="F756" s="249">
        <v>38589</v>
      </c>
      <c r="G756" s="249">
        <v>40414</v>
      </c>
      <c r="H756" s="247" t="s">
        <v>70</v>
      </c>
      <c r="I756" s="250" t="s">
        <v>448</v>
      </c>
    </row>
    <row r="757" spans="1:9">
      <c r="A757" s="246">
        <v>753</v>
      </c>
      <c r="B757" s="247" t="s">
        <v>125</v>
      </c>
      <c r="C757" s="302" t="str">
        <f>"4296"</f>
        <v>4296</v>
      </c>
      <c r="D757" s="247" t="s">
        <v>18</v>
      </c>
      <c r="E757" s="248">
        <v>471</v>
      </c>
      <c r="F757" s="249">
        <v>38589</v>
      </c>
      <c r="G757" s="249">
        <v>40414</v>
      </c>
      <c r="H757" s="247" t="s">
        <v>59</v>
      </c>
      <c r="I757" s="250" t="s">
        <v>448</v>
      </c>
    </row>
    <row r="758" spans="1:9">
      <c r="A758" s="246">
        <v>754</v>
      </c>
      <c r="B758" s="247" t="s">
        <v>125</v>
      </c>
      <c r="C758" s="302" t="str">
        <f>"4297"</f>
        <v>4297</v>
      </c>
      <c r="D758" s="247" t="s">
        <v>13</v>
      </c>
      <c r="E758" s="248">
        <v>393</v>
      </c>
      <c r="F758" s="249">
        <v>41997</v>
      </c>
      <c r="G758" s="249">
        <v>53458</v>
      </c>
      <c r="H758" s="247" t="s">
        <v>59</v>
      </c>
      <c r="I758" s="250" t="s">
        <v>3359</v>
      </c>
    </row>
    <row r="759" spans="1:9">
      <c r="A759" s="246">
        <v>755</v>
      </c>
      <c r="B759" s="247" t="s">
        <v>125</v>
      </c>
      <c r="C759" s="302" t="str">
        <f>"4298"</f>
        <v>4298</v>
      </c>
      <c r="D759" s="247" t="s">
        <v>13</v>
      </c>
      <c r="E759" s="248">
        <v>471</v>
      </c>
      <c r="F759" s="249">
        <v>41997</v>
      </c>
      <c r="G759" s="249">
        <v>52954</v>
      </c>
      <c r="H759" s="247" t="s">
        <v>59</v>
      </c>
      <c r="I759" s="250" t="s">
        <v>3359</v>
      </c>
    </row>
    <row r="760" spans="1:9">
      <c r="A760" s="246">
        <v>756</v>
      </c>
      <c r="B760" s="247" t="s">
        <v>125</v>
      </c>
      <c r="C760" s="302" t="str">
        <f>"4299"</f>
        <v>4299</v>
      </c>
      <c r="D760" s="247" t="s">
        <v>13</v>
      </c>
      <c r="E760" s="248">
        <v>391</v>
      </c>
      <c r="F760" s="249">
        <v>41997</v>
      </c>
      <c r="G760" s="249">
        <v>52954</v>
      </c>
      <c r="H760" s="247" t="s">
        <v>59</v>
      </c>
      <c r="I760" s="250" t="s">
        <v>3359</v>
      </c>
    </row>
    <row r="761" spans="1:9">
      <c r="A761" s="246">
        <v>757</v>
      </c>
      <c r="B761" s="247" t="s">
        <v>3405</v>
      </c>
      <c r="C761" s="302" t="str">
        <f>"4341"</f>
        <v>4341</v>
      </c>
      <c r="D761" s="247" t="s">
        <v>18</v>
      </c>
      <c r="E761" s="248">
        <v>170</v>
      </c>
      <c r="F761" s="249">
        <v>40493</v>
      </c>
      <c r="G761" s="249">
        <v>42318</v>
      </c>
      <c r="H761" s="247" t="s">
        <v>22</v>
      </c>
      <c r="I761" s="250" t="s">
        <v>437</v>
      </c>
    </row>
    <row r="762" spans="1:9">
      <c r="A762" s="246">
        <v>758</v>
      </c>
      <c r="B762" s="247" t="s">
        <v>460</v>
      </c>
      <c r="C762" s="302" t="str">
        <f>"4380"</f>
        <v>4380</v>
      </c>
      <c r="D762" s="247" t="s">
        <v>30</v>
      </c>
      <c r="E762" s="248">
        <v>6</v>
      </c>
      <c r="F762" s="249">
        <v>41929</v>
      </c>
      <c r="G762" s="249">
        <v>43754</v>
      </c>
      <c r="H762" s="247" t="s">
        <v>16</v>
      </c>
      <c r="I762" s="250" t="s">
        <v>433</v>
      </c>
    </row>
    <row r="763" spans="1:9">
      <c r="A763" s="246">
        <v>759</v>
      </c>
      <c r="B763" s="247" t="s">
        <v>114</v>
      </c>
      <c r="C763" s="302" t="str">
        <f>"4401"</f>
        <v>4401</v>
      </c>
      <c r="D763" s="247" t="s">
        <v>18</v>
      </c>
      <c r="E763" s="248">
        <v>460</v>
      </c>
      <c r="F763" s="249">
        <v>38637</v>
      </c>
      <c r="G763" s="249">
        <v>40097</v>
      </c>
      <c r="H763" s="247" t="s">
        <v>16</v>
      </c>
      <c r="I763" s="250" t="s">
        <v>437</v>
      </c>
    </row>
    <row r="764" spans="1:9">
      <c r="A764" s="246">
        <v>760</v>
      </c>
      <c r="B764" s="247" t="s">
        <v>114</v>
      </c>
      <c r="C764" s="302" t="str">
        <f>"4402"</f>
        <v>4402</v>
      </c>
      <c r="D764" s="247" t="s">
        <v>30</v>
      </c>
      <c r="E764" s="248">
        <v>460</v>
      </c>
      <c r="F764" s="249">
        <v>43362</v>
      </c>
      <c r="G764" s="249">
        <v>45187</v>
      </c>
      <c r="H764" s="247" t="s">
        <v>16</v>
      </c>
      <c r="I764" s="250" t="s">
        <v>437</v>
      </c>
    </row>
    <row r="765" spans="1:9">
      <c r="A765" s="246">
        <v>761</v>
      </c>
      <c r="B765" s="247" t="s">
        <v>468</v>
      </c>
      <c r="C765" s="302" t="str">
        <f>"4484"</f>
        <v>4484</v>
      </c>
      <c r="D765" s="247" t="s">
        <v>18</v>
      </c>
      <c r="E765" s="248">
        <v>50</v>
      </c>
      <c r="F765" s="249">
        <v>39252</v>
      </c>
      <c r="G765" s="249">
        <v>41078</v>
      </c>
      <c r="H765" s="247" t="s">
        <v>56</v>
      </c>
      <c r="I765" s="250" t="s">
        <v>3417</v>
      </c>
    </row>
    <row r="766" spans="1:9">
      <c r="A766" s="246">
        <v>762</v>
      </c>
      <c r="B766" s="247" t="s">
        <v>468</v>
      </c>
      <c r="C766" s="302" t="str">
        <f>"4486"</f>
        <v>4486</v>
      </c>
      <c r="D766" s="247" t="s">
        <v>18</v>
      </c>
      <c r="E766" s="248">
        <v>68</v>
      </c>
      <c r="F766" s="249">
        <v>39252</v>
      </c>
      <c r="G766" s="249">
        <v>41078</v>
      </c>
      <c r="H766" s="247" t="s">
        <v>56</v>
      </c>
      <c r="I766" s="250" t="s">
        <v>3369</v>
      </c>
    </row>
    <row r="767" spans="1:9">
      <c r="A767" s="246">
        <v>763</v>
      </c>
      <c r="B767" s="247" t="s">
        <v>472</v>
      </c>
      <c r="C767" s="302" t="str">
        <f>"4551"</f>
        <v>4551</v>
      </c>
      <c r="D767" s="247" t="s">
        <v>18</v>
      </c>
      <c r="E767" s="248">
        <v>338</v>
      </c>
      <c r="F767" s="249">
        <v>39248</v>
      </c>
      <c r="G767" s="249">
        <v>41074</v>
      </c>
      <c r="H767" s="247" t="s">
        <v>84</v>
      </c>
      <c r="I767" s="250" t="s">
        <v>3359</v>
      </c>
    </row>
    <row r="768" spans="1:9">
      <c r="A768" s="246">
        <v>764</v>
      </c>
      <c r="B768" s="247" t="s">
        <v>3418</v>
      </c>
      <c r="C768" s="302" t="str">
        <f>"4565"</f>
        <v>4565</v>
      </c>
      <c r="D768" s="247" t="s">
        <v>23</v>
      </c>
      <c r="E768" s="248">
        <v>1</v>
      </c>
      <c r="F768" s="249">
        <v>39017</v>
      </c>
      <c r="G768" s="249">
        <v>39747</v>
      </c>
      <c r="H768" s="247" t="s">
        <v>14</v>
      </c>
      <c r="I768" s="250" t="s">
        <v>437</v>
      </c>
    </row>
    <row r="769" spans="1:9">
      <c r="A769" s="246">
        <v>765</v>
      </c>
      <c r="B769" s="247" t="s">
        <v>174</v>
      </c>
      <c r="C769" s="302" t="str">
        <f>"4576"</f>
        <v>4576</v>
      </c>
      <c r="D769" s="247" t="s">
        <v>30</v>
      </c>
      <c r="E769" s="248">
        <v>233</v>
      </c>
      <c r="F769" s="249">
        <v>42073</v>
      </c>
      <c r="G769" s="249">
        <v>43899</v>
      </c>
      <c r="H769" s="247" t="s">
        <v>14</v>
      </c>
      <c r="I769" s="250" t="s">
        <v>438</v>
      </c>
    </row>
    <row r="770" spans="1:9">
      <c r="A770" s="246">
        <v>766</v>
      </c>
      <c r="B770" s="247" t="s">
        <v>174</v>
      </c>
      <c r="C770" s="302" t="str">
        <f>"4577"</f>
        <v>4577</v>
      </c>
      <c r="D770" s="247" t="s">
        <v>30</v>
      </c>
      <c r="E770" s="248">
        <v>79</v>
      </c>
      <c r="F770" s="249">
        <v>42073</v>
      </c>
      <c r="G770" s="249">
        <v>43899</v>
      </c>
      <c r="H770" s="247" t="s">
        <v>14</v>
      </c>
      <c r="I770" s="250" t="s">
        <v>3342</v>
      </c>
    </row>
    <row r="771" spans="1:9">
      <c r="A771" s="246">
        <v>767</v>
      </c>
      <c r="B771" s="247" t="s">
        <v>174</v>
      </c>
      <c r="C771" s="302" t="str">
        <f>"4580"</f>
        <v>4580</v>
      </c>
      <c r="D771" s="247" t="s">
        <v>30</v>
      </c>
      <c r="E771" s="248">
        <v>110</v>
      </c>
      <c r="F771" s="249">
        <v>42073</v>
      </c>
      <c r="G771" s="249">
        <v>43899</v>
      </c>
      <c r="H771" s="247" t="s">
        <v>14</v>
      </c>
      <c r="I771" s="250" t="s">
        <v>3342</v>
      </c>
    </row>
    <row r="772" spans="1:9">
      <c r="A772" s="246">
        <v>768</v>
      </c>
      <c r="B772" s="247" t="s">
        <v>120</v>
      </c>
      <c r="C772" s="302" t="str">
        <f>"4582"</f>
        <v>4582</v>
      </c>
      <c r="D772" s="247" t="s">
        <v>30</v>
      </c>
      <c r="E772" s="248">
        <v>200</v>
      </c>
      <c r="F772" s="249">
        <v>43178</v>
      </c>
      <c r="G772" s="249">
        <v>45003</v>
      </c>
      <c r="H772" s="247" t="s">
        <v>59</v>
      </c>
      <c r="I772" s="250" t="s">
        <v>433</v>
      </c>
    </row>
    <row r="773" spans="1:9">
      <c r="A773" s="246">
        <v>769</v>
      </c>
      <c r="B773" s="247" t="s">
        <v>120</v>
      </c>
      <c r="C773" s="302" t="str">
        <f>"4585"</f>
        <v>4585</v>
      </c>
      <c r="D773" s="247" t="s">
        <v>30</v>
      </c>
      <c r="E773" s="248">
        <v>50</v>
      </c>
      <c r="F773" s="249">
        <v>43178</v>
      </c>
      <c r="G773" s="249">
        <v>45003</v>
      </c>
      <c r="H773" s="247" t="s">
        <v>70</v>
      </c>
      <c r="I773" s="250" t="s">
        <v>433</v>
      </c>
    </row>
    <row r="774" spans="1:9">
      <c r="A774" s="246">
        <v>770</v>
      </c>
      <c r="B774" s="247" t="s">
        <v>120</v>
      </c>
      <c r="C774" s="302" t="str">
        <f>"4586"</f>
        <v>4586</v>
      </c>
      <c r="D774" s="247" t="s">
        <v>30</v>
      </c>
      <c r="E774" s="248">
        <v>90</v>
      </c>
      <c r="F774" s="249">
        <v>43158</v>
      </c>
      <c r="G774" s="249">
        <v>44983</v>
      </c>
      <c r="H774" s="247" t="s">
        <v>14</v>
      </c>
      <c r="I774" s="250" t="s">
        <v>433</v>
      </c>
    </row>
    <row r="775" spans="1:9">
      <c r="A775" s="246">
        <v>771</v>
      </c>
      <c r="B775" s="247" t="s">
        <v>3419</v>
      </c>
      <c r="C775" s="302" t="str">
        <f>"4594"</f>
        <v>4594</v>
      </c>
      <c r="D775" s="247" t="s">
        <v>30</v>
      </c>
      <c r="E775" s="248">
        <v>3</v>
      </c>
      <c r="F775" s="249">
        <v>40134</v>
      </c>
      <c r="G775" s="249">
        <v>41959</v>
      </c>
      <c r="H775" s="247" t="s">
        <v>26</v>
      </c>
      <c r="I775" s="250" t="s">
        <v>438</v>
      </c>
    </row>
    <row r="776" spans="1:9">
      <c r="A776" s="246">
        <v>772</v>
      </c>
      <c r="B776" s="247" t="s">
        <v>15</v>
      </c>
      <c r="C776" s="302" t="str">
        <f>"4613"</f>
        <v>4613</v>
      </c>
      <c r="D776" s="247" t="s">
        <v>13</v>
      </c>
      <c r="E776" s="248">
        <v>107</v>
      </c>
      <c r="F776" s="249">
        <v>38621</v>
      </c>
      <c r="G776" s="249">
        <v>49577</v>
      </c>
      <c r="H776" s="247" t="s">
        <v>16</v>
      </c>
      <c r="I776" s="250" t="s">
        <v>79</v>
      </c>
    </row>
    <row r="777" spans="1:9">
      <c r="A777" s="246">
        <v>773</v>
      </c>
      <c r="B777" s="247" t="s">
        <v>244</v>
      </c>
      <c r="C777" s="302" t="str">
        <f>"4679"</f>
        <v>4679</v>
      </c>
      <c r="D777" s="247" t="s">
        <v>30</v>
      </c>
      <c r="E777" s="248">
        <v>5</v>
      </c>
      <c r="F777" s="249">
        <v>40134</v>
      </c>
      <c r="G777" s="249">
        <v>41959</v>
      </c>
      <c r="H777" s="247" t="s">
        <v>26</v>
      </c>
      <c r="I777" s="250" t="s">
        <v>437</v>
      </c>
    </row>
    <row r="778" spans="1:9">
      <c r="A778" s="246">
        <v>774</v>
      </c>
      <c r="B778" s="247" t="s">
        <v>125</v>
      </c>
      <c r="C778" s="302" t="str">
        <f>"4688"</f>
        <v>4688</v>
      </c>
      <c r="D778" s="247" t="s">
        <v>18</v>
      </c>
      <c r="E778" s="248">
        <v>234</v>
      </c>
      <c r="F778" s="249">
        <v>43376</v>
      </c>
      <c r="G778" s="249">
        <v>45201</v>
      </c>
      <c r="H778" s="247" t="s">
        <v>16</v>
      </c>
      <c r="I778" s="250" t="s">
        <v>79</v>
      </c>
    </row>
    <row r="779" spans="1:9">
      <c r="A779" s="246">
        <v>775</v>
      </c>
      <c r="B779" s="247" t="s">
        <v>125</v>
      </c>
      <c r="C779" s="302" t="str">
        <f>"4689"</f>
        <v>4689</v>
      </c>
      <c r="D779" s="247" t="s">
        <v>18</v>
      </c>
      <c r="E779" s="248">
        <v>235</v>
      </c>
      <c r="F779" s="249">
        <v>43376</v>
      </c>
      <c r="G779" s="249">
        <v>45201</v>
      </c>
      <c r="H779" s="247" t="s">
        <v>16</v>
      </c>
      <c r="I779" s="250" t="s">
        <v>79</v>
      </c>
    </row>
    <row r="780" spans="1:9">
      <c r="A780" s="246">
        <v>776</v>
      </c>
      <c r="B780" s="247" t="s">
        <v>126</v>
      </c>
      <c r="C780" s="302" t="str">
        <f>"4690"</f>
        <v>4690</v>
      </c>
      <c r="D780" s="247" t="s">
        <v>13</v>
      </c>
      <c r="E780" s="248">
        <v>5</v>
      </c>
      <c r="F780" s="249">
        <v>42245</v>
      </c>
      <c r="G780" s="249">
        <v>53202</v>
      </c>
      <c r="H780" s="247" t="s">
        <v>16</v>
      </c>
      <c r="I780" s="250" t="s">
        <v>79</v>
      </c>
    </row>
    <row r="781" spans="1:9">
      <c r="A781" s="246">
        <v>777</v>
      </c>
      <c r="B781" s="247" t="s">
        <v>125</v>
      </c>
      <c r="C781" s="302" t="str">
        <f>"4691"</f>
        <v>4691</v>
      </c>
      <c r="D781" s="247" t="s">
        <v>18</v>
      </c>
      <c r="E781" s="248">
        <v>66</v>
      </c>
      <c r="F781" s="249">
        <v>38686</v>
      </c>
      <c r="G781" s="249">
        <v>40511</v>
      </c>
      <c r="H781" s="247" t="s">
        <v>59</v>
      </c>
      <c r="I781" s="250" t="s">
        <v>3342</v>
      </c>
    </row>
    <row r="782" spans="1:9">
      <c r="A782" s="246">
        <v>778</v>
      </c>
      <c r="B782" s="247" t="s">
        <v>125</v>
      </c>
      <c r="C782" s="302" t="str">
        <f>"4692"</f>
        <v>4692</v>
      </c>
      <c r="D782" s="247" t="s">
        <v>18</v>
      </c>
      <c r="E782" s="248">
        <v>30</v>
      </c>
      <c r="F782" s="249">
        <v>38677</v>
      </c>
      <c r="G782" s="249">
        <v>40502</v>
      </c>
      <c r="H782" s="247" t="s">
        <v>59</v>
      </c>
      <c r="I782" s="250" t="s">
        <v>3342</v>
      </c>
    </row>
    <row r="783" spans="1:9">
      <c r="A783" s="246">
        <v>779</v>
      </c>
      <c r="B783" s="247" t="s">
        <v>125</v>
      </c>
      <c r="C783" s="302" t="str">
        <f>"4693"</f>
        <v>4693</v>
      </c>
      <c r="D783" s="247" t="s">
        <v>18</v>
      </c>
      <c r="E783" s="248">
        <v>88</v>
      </c>
      <c r="F783" s="249">
        <v>38686</v>
      </c>
      <c r="G783" s="249">
        <v>40511</v>
      </c>
      <c r="H783" s="247" t="s">
        <v>16</v>
      </c>
      <c r="I783" s="250" t="s">
        <v>3342</v>
      </c>
    </row>
    <row r="784" spans="1:9">
      <c r="A784" s="246">
        <v>780</v>
      </c>
      <c r="B784" s="247" t="s">
        <v>125</v>
      </c>
      <c r="C784" s="302" t="str">
        <f>"4694"</f>
        <v>4694</v>
      </c>
      <c r="D784" s="247" t="s">
        <v>18</v>
      </c>
      <c r="E784" s="248">
        <v>122</v>
      </c>
      <c r="F784" s="249">
        <v>38686</v>
      </c>
      <c r="G784" s="249">
        <v>40511</v>
      </c>
      <c r="H784" s="247" t="s">
        <v>16</v>
      </c>
      <c r="I784" s="250" t="s">
        <v>3342</v>
      </c>
    </row>
    <row r="785" spans="1:9">
      <c r="A785" s="246">
        <v>781</v>
      </c>
      <c r="B785" s="247" t="s">
        <v>125</v>
      </c>
      <c r="C785" s="302" t="str">
        <f>"4695"</f>
        <v>4695</v>
      </c>
      <c r="D785" s="247" t="s">
        <v>18</v>
      </c>
      <c r="E785" s="248">
        <v>235</v>
      </c>
      <c r="F785" s="249">
        <v>38686</v>
      </c>
      <c r="G785" s="249">
        <v>40511</v>
      </c>
      <c r="H785" s="247" t="s">
        <v>14</v>
      </c>
      <c r="I785" s="250" t="s">
        <v>3342</v>
      </c>
    </row>
    <row r="786" spans="1:9">
      <c r="A786" s="246">
        <v>782</v>
      </c>
      <c r="B786" s="247" t="s">
        <v>127</v>
      </c>
      <c r="C786" s="302" t="str">
        <f>"4696"</f>
        <v>4696</v>
      </c>
      <c r="D786" s="247" t="s">
        <v>30</v>
      </c>
      <c r="E786" s="248">
        <v>64</v>
      </c>
      <c r="F786" s="249">
        <v>44111</v>
      </c>
      <c r="G786" s="249">
        <v>45936</v>
      </c>
      <c r="H786" s="247" t="s">
        <v>14</v>
      </c>
      <c r="I786" s="250" t="s">
        <v>79</v>
      </c>
    </row>
    <row r="787" spans="1:9">
      <c r="A787" s="246">
        <v>783</v>
      </c>
      <c r="B787" s="247" t="s">
        <v>114</v>
      </c>
      <c r="C787" s="302" t="str">
        <f>"4697"</f>
        <v>4697</v>
      </c>
      <c r="D787" s="247" t="s">
        <v>30</v>
      </c>
      <c r="E787" s="248">
        <v>52</v>
      </c>
      <c r="F787" s="249">
        <v>42251</v>
      </c>
      <c r="G787" s="249">
        <v>44077</v>
      </c>
      <c r="H787" s="247" t="s">
        <v>16</v>
      </c>
      <c r="I787" s="250" t="s">
        <v>3359</v>
      </c>
    </row>
    <row r="788" spans="1:9">
      <c r="A788" s="246">
        <v>784</v>
      </c>
      <c r="B788" s="247" t="s">
        <v>114</v>
      </c>
      <c r="C788" s="302" t="str">
        <f>"4699"</f>
        <v>4699</v>
      </c>
      <c r="D788" s="247" t="s">
        <v>30</v>
      </c>
      <c r="E788" s="248">
        <v>181</v>
      </c>
      <c r="F788" s="249">
        <v>42251</v>
      </c>
      <c r="G788" s="249">
        <v>44077</v>
      </c>
      <c r="H788" s="247" t="s">
        <v>16</v>
      </c>
      <c r="I788" s="250" t="s">
        <v>3359</v>
      </c>
    </row>
    <row r="789" spans="1:9">
      <c r="A789" s="246">
        <v>785</v>
      </c>
      <c r="B789" s="247" t="s">
        <v>396</v>
      </c>
      <c r="C789" s="302" t="str">
        <f>"4716"</f>
        <v>4716</v>
      </c>
      <c r="D789" s="247" t="s">
        <v>18</v>
      </c>
      <c r="E789" s="248">
        <v>12</v>
      </c>
      <c r="F789" s="249">
        <v>38765</v>
      </c>
      <c r="G789" s="249">
        <v>40225</v>
      </c>
      <c r="H789" s="247" t="s">
        <v>26</v>
      </c>
      <c r="I789" s="250" t="s">
        <v>438</v>
      </c>
    </row>
    <row r="790" spans="1:9">
      <c r="A790" s="246">
        <v>786</v>
      </c>
      <c r="B790" s="247" t="s">
        <v>3420</v>
      </c>
      <c r="C790" s="302" t="str">
        <f>"4717"</f>
        <v>4717</v>
      </c>
      <c r="D790" s="247" t="s">
        <v>18</v>
      </c>
      <c r="E790" s="248">
        <v>9</v>
      </c>
      <c r="F790" s="249">
        <v>40226</v>
      </c>
      <c r="G790" s="249">
        <v>42354</v>
      </c>
      <c r="H790" s="247" t="s">
        <v>26</v>
      </c>
      <c r="I790" s="250" t="s">
        <v>438</v>
      </c>
    </row>
    <row r="791" spans="1:9">
      <c r="A791" s="246">
        <v>787</v>
      </c>
      <c r="B791" s="247" t="s">
        <v>156</v>
      </c>
      <c r="C791" s="302" t="str">
        <f>"4719"</f>
        <v>4719</v>
      </c>
      <c r="D791" s="247" t="s">
        <v>21</v>
      </c>
      <c r="E791" s="248">
        <v>1</v>
      </c>
      <c r="F791" s="249">
        <v>42389</v>
      </c>
      <c r="G791" s="249">
        <v>44215</v>
      </c>
      <c r="H791" s="247" t="s">
        <v>14</v>
      </c>
      <c r="I791" s="250" t="s">
        <v>3342</v>
      </c>
    </row>
    <row r="792" spans="1:9">
      <c r="A792" s="246">
        <v>788</v>
      </c>
      <c r="B792" s="247" t="s">
        <v>156</v>
      </c>
      <c r="C792" s="302" t="str">
        <f>"4720"</f>
        <v>4720</v>
      </c>
      <c r="D792" s="247" t="s">
        <v>21</v>
      </c>
      <c r="E792" s="248">
        <v>1</v>
      </c>
      <c r="F792" s="249">
        <v>42389</v>
      </c>
      <c r="G792" s="249">
        <v>44215</v>
      </c>
      <c r="H792" s="247" t="s">
        <v>14</v>
      </c>
      <c r="I792" s="250" t="s">
        <v>3342</v>
      </c>
    </row>
    <row r="793" spans="1:9">
      <c r="A793" s="246">
        <v>789</v>
      </c>
      <c r="B793" s="247" t="s">
        <v>156</v>
      </c>
      <c r="C793" s="302" t="str">
        <f>"4721"</f>
        <v>4721</v>
      </c>
      <c r="D793" s="247" t="s">
        <v>21</v>
      </c>
      <c r="E793" s="248">
        <v>2</v>
      </c>
      <c r="F793" s="249">
        <v>42389</v>
      </c>
      <c r="G793" s="249">
        <v>44215</v>
      </c>
      <c r="H793" s="247" t="s">
        <v>14</v>
      </c>
      <c r="I793" s="250" t="s">
        <v>3342</v>
      </c>
    </row>
    <row r="794" spans="1:9">
      <c r="A794" s="246">
        <v>790</v>
      </c>
      <c r="B794" s="247" t="s">
        <v>3421</v>
      </c>
      <c r="C794" s="302" t="str">
        <f>"4723"</f>
        <v>4723</v>
      </c>
      <c r="D794" s="247" t="s">
        <v>18</v>
      </c>
      <c r="E794" s="248">
        <v>34</v>
      </c>
      <c r="F794" s="249">
        <v>41919</v>
      </c>
      <c r="G794" s="249">
        <v>43744</v>
      </c>
      <c r="H794" s="247" t="s">
        <v>14</v>
      </c>
      <c r="I794" s="250" t="s">
        <v>448</v>
      </c>
    </row>
    <row r="795" spans="1:9">
      <c r="A795" s="246">
        <v>791</v>
      </c>
      <c r="B795" s="247" t="s">
        <v>128</v>
      </c>
      <c r="C795" s="302" t="str">
        <f>"4725"</f>
        <v>4725</v>
      </c>
      <c r="D795" s="247" t="s">
        <v>13</v>
      </c>
      <c r="E795" s="248">
        <v>1</v>
      </c>
      <c r="F795" s="249">
        <v>39905</v>
      </c>
      <c r="G795" s="249">
        <v>45383</v>
      </c>
      <c r="H795" s="247" t="s">
        <v>14</v>
      </c>
      <c r="I795" s="250" t="s">
        <v>79</v>
      </c>
    </row>
    <row r="796" spans="1:9">
      <c r="A796" s="246">
        <v>792</v>
      </c>
      <c r="B796" s="247" t="s">
        <v>3422</v>
      </c>
      <c r="C796" s="302" t="str">
        <f>"4727"</f>
        <v>4727</v>
      </c>
      <c r="D796" s="247" t="s">
        <v>18</v>
      </c>
      <c r="E796" s="248">
        <v>8</v>
      </c>
      <c r="F796" s="249">
        <v>37833</v>
      </c>
      <c r="G796" s="249">
        <v>37857</v>
      </c>
      <c r="H796" s="247" t="s">
        <v>26</v>
      </c>
      <c r="I796" s="250" t="s">
        <v>3423</v>
      </c>
    </row>
    <row r="797" spans="1:9">
      <c r="A797" s="246">
        <v>793</v>
      </c>
      <c r="B797" s="247" t="s">
        <v>87</v>
      </c>
      <c r="C797" s="302" t="str">
        <f>"4728"</f>
        <v>4728</v>
      </c>
      <c r="D797" s="247" t="s">
        <v>13</v>
      </c>
      <c r="E797" s="248">
        <v>135</v>
      </c>
      <c r="F797" s="249">
        <v>40768</v>
      </c>
      <c r="G797" s="249">
        <v>46246</v>
      </c>
      <c r="H797" s="247" t="s">
        <v>16</v>
      </c>
      <c r="I797" s="250" t="s">
        <v>79</v>
      </c>
    </row>
    <row r="798" spans="1:9">
      <c r="A798" s="246">
        <v>794</v>
      </c>
      <c r="B798" s="247" t="s">
        <v>87</v>
      </c>
      <c r="C798" s="302" t="str">
        <f>"4729"</f>
        <v>4729</v>
      </c>
      <c r="D798" s="247" t="s">
        <v>13</v>
      </c>
      <c r="E798" s="248">
        <v>322</v>
      </c>
      <c r="F798" s="249">
        <v>40768</v>
      </c>
      <c r="G798" s="249">
        <v>46246</v>
      </c>
      <c r="H798" s="247" t="s">
        <v>16</v>
      </c>
      <c r="I798" s="250" t="s">
        <v>79</v>
      </c>
    </row>
    <row r="799" spans="1:9">
      <c r="A799" s="246">
        <v>795</v>
      </c>
      <c r="B799" s="247" t="s">
        <v>129</v>
      </c>
      <c r="C799" s="302" t="str">
        <f>"4731"</f>
        <v>4731</v>
      </c>
      <c r="D799" s="247" t="s">
        <v>13</v>
      </c>
      <c r="E799" s="248">
        <v>36</v>
      </c>
      <c r="F799" s="249">
        <v>44873</v>
      </c>
      <c r="G799" s="249">
        <v>50351</v>
      </c>
      <c r="H799" s="247" t="s">
        <v>19</v>
      </c>
      <c r="I799" s="250" t="s">
        <v>79</v>
      </c>
    </row>
    <row r="800" spans="1:9">
      <c r="A800" s="246">
        <v>796</v>
      </c>
      <c r="B800" s="247" t="s">
        <v>3424</v>
      </c>
      <c r="C800" s="302" t="str">
        <f>"4739"</f>
        <v>4739</v>
      </c>
      <c r="D800" s="247" t="s">
        <v>18</v>
      </c>
      <c r="E800" s="248">
        <v>36</v>
      </c>
      <c r="F800" s="249">
        <v>39301</v>
      </c>
      <c r="G800" s="249">
        <v>43313</v>
      </c>
      <c r="H800" s="247" t="s">
        <v>24</v>
      </c>
      <c r="I800" s="250" t="s">
        <v>3351</v>
      </c>
    </row>
    <row r="801" spans="1:9">
      <c r="A801" s="246">
        <v>797</v>
      </c>
      <c r="B801" s="247" t="s">
        <v>3424</v>
      </c>
      <c r="C801" s="302" t="str">
        <f>"4740"</f>
        <v>4740</v>
      </c>
      <c r="D801" s="247" t="s">
        <v>18</v>
      </c>
      <c r="E801" s="248">
        <v>30</v>
      </c>
      <c r="F801" s="249">
        <v>39301</v>
      </c>
      <c r="G801" s="249">
        <v>43804</v>
      </c>
      <c r="H801" s="247" t="s">
        <v>24</v>
      </c>
      <c r="I801" s="250" t="s">
        <v>3351</v>
      </c>
    </row>
    <row r="802" spans="1:9">
      <c r="A802" s="246">
        <v>798</v>
      </c>
      <c r="B802" s="247" t="s">
        <v>3424</v>
      </c>
      <c r="C802" s="302" t="str">
        <f>"4741"</f>
        <v>4741</v>
      </c>
      <c r="D802" s="247" t="s">
        <v>18</v>
      </c>
      <c r="E802" s="248">
        <v>30</v>
      </c>
      <c r="F802" s="249">
        <v>39301</v>
      </c>
      <c r="G802" s="249">
        <v>43682</v>
      </c>
      <c r="H802" s="247" t="s">
        <v>24</v>
      </c>
      <c r="I802" s="250" t="s">
        <v>3351</v>
      </c>
    </row>
    <row r="803" spans="1:9">
      <c r="A803" s="246">
        <v>799</v>
      </c>
      <c r="B803" s="247" t="s">
        <v>3424</v>
      </c>
      <c r="C803" s="302" t="str">
        <f>"4742"</f>
        <v>4742</v>
      </c>
      <c r="D803" s="247" t="s">
        <v>18</v>
      </c>
      <c r="E803" s="248">
        <v>30</v>
      </c>
      <c r="F803" s="249">
        <v>39301</v>
      </c>
      <c r="G803" s="249">
        <v>43682</v>
      </c>
      <c r="H803" s="247" t="s">
        <v>24</v>
      </c>
      <c r="I803" s="250" t="s">
        <v>3351</v>
      </c>
    </row>
    <row r="804" spans="1:9">
      <c r="A804" s="246">
        <v>800</v>
      </c>
      <c r="B804" s="247" t="s">
        <v>3424</v>
      </c>
      <c r="C804" s="302" t="str">
        <f>"4743"</f>
        <v>4743</v>
      </c>
      <c r="D804" s="247" t="s">
        <v>18</v>
      </c>
      <c r="E804" s="248">
        <v>30</v>
      </c>
      <c r="F804" s="249">
        <v>39301</v>
      </c>
      <c r="G804" s="249">
        <v>43682</v>
      </c>
      <c r="H804" s="247" t="s">
        <v>24</v>
      </c>
      <c r="I804" s="250" t="s">
        <v>3351</v>
      </c>
    </row>
    <row r="805" spans="1:9">
      <c r="A805" s="246">
        <v>801</v>
      </c>
      <c r="B805" s="247" t="s">
        <v>3424</v>
      </c>
      <c r="C805" s="302" t="str">
        <f>"4744"</f>
        <v>4744</v>
      </c>
      <c r="D805" s="247" t="s">
        <v>18</v>
      </c>
      <c r="E805" s="248">
        <v>30</v>
      </c>
      <c r="F805" s="249">
        <v>39301</v>
      </c>
      <c r="G805" s="249">
        <v>43682</v>
      </c>
      <c r="H805" s="247" t="s">
        <v>24</v>
      </c>
      <c r="I805" s="250" t="s">
        <v>3351</v>
      </c>
    </row>
    <row r="806" spans="1:9">
      <c r="A806" s="246">
        <v>802</v>
      </c>
      <c r="B806" s="247" t="s">
        <v>3424</v>
      </c>
      <c r="C806" s="302" t="str">
        <f>"4745"</f>
        <v>4745</v>
      </c>
      <c r="D806" s="247" t="s">
        <v>18</v>
      </c>
      <c r="E806" s="248">
        <v>30</v>
      </c>
      <c r="F806" s="249">
        <v>39301</v>
      </c>
      <c r="G806" s="249">
        <v>43682</v>
      </c>
      <c r="H806" s="247" t="s">
        <v>24</v>
      </c>
      <c r="I806" s="250" t="s">
        <v>3351</v>
      </c>
    </row>
    <row r="807" spans="1:9">
      <c r="A807" s="246">
        <v>803</v>
      </c>
      <c r="B807" s="247" t="s">
        <v>3424</v>
      </c>
      <c r="C807" s="302" t="str">
        <f>"4746"</f>
        <v>4746</v>
      </c>
      <c r="D807" s="247" t="s">
        <v>18</v>
      </c>
      <c r="E807" s="248">
        <v>30</v>
      </c>
      <c r="F807" s="249">
        <v>39301</v>
      </c>
      <c r="G807" s="249">
        <v>43317</v>
      </c>
      <c r="H807" s="247" t="s">
        <v>24</v>
      </c>
      <c r="I807" s="250" t="s">
        <v>3351</v>
      </c>
    </row>
    <row r="808" spans="1:9">
      <c r="A808" s="246">
        <v>804</v>
      </c>
      <c r="B808" s="247" t="s">
        <v>3424</v>
      </c>
      <c r="C808" s="302" t="str">
        <f>"4747"</f>
        <v>4747</v>
      </c>
      <c r="D808" s="247" t="s">
        <v>18</v>
      </c>
      <c r="E808" s="248">
        <v>30</v>
      </c>
      <c r="F808" s="249">
        <v>39301</v>
      </c>
      <c r="G808" s="249">
        <v>43682</v>
      </c>
      <c r="H808" s="247" t="s">
        <v>24</v>
      </c>
      <c r="I808" s="250" t="s">
        <v>3351</v>
      </c>
    </row>
    <row r="809" spans="1:9">
      <c r="A809" s="246">
        <v>805</v>
      </c>
      <c r="B809" s="247" t="s">
        <v>3424</v>
      </c>
      <c r="C809" s="302" t="str">
        <f>"4748"</f>
        <v>4748</v>
      </c>
      <c r="D809" s="247" t="s">
        <v>18</v>
      </c>
      <c r="E809" s="248">
        <v>30</v>
      </c>
      <c r="F809" s="249">
        <v>39301</v>
      </c>
      <c r="G809" s="249">
        <v>43682</v>
      </c>
      <c r="H809" s="247" t="s">
        <v>24</v>
      </c>
      <c r="I809" s="250" t="s">
        <v>3351</v>
      </c>
    </row>
    <row r="810" spans="1:9">
      <c r="A810" s="246">
        <v>806</v>
      </c>
      <c r="B810" s="247" t="s">
        <v>3424</v>
      </c>
      <c r="C810" s="302" t="str">
        <f>"4749"</f>
        <v>4749</v>
      </c>
      <c r="D810" s="247" t="s">
        <v>18</v>
      </c>
      <c r="E810" s="248">
        <v>30</v>
      </c>
      <c r="F810" s="249">
        <v>39301</v>
      </c>
      <c r="G810" s="249">
        <v>43682</v>
      </c>
      <c r="H810" s="247" t="s">
        <v>24</v>
      </c>
      <c r="I810" s="250" t="s">
        <v>3351</v>
      </c>
    </row>
    <row r="811" spans="1:9">
      <c r="A811" s="246">
        <v>807</v>
      </c>
      <c r="B811" s="247" t="s">
        <v>3424</v>
      </c>
      <c r="C811" s="302" t="str">
        <f>"4750"</f>
        <v>4750</v>
      </c>
      <c r="D811" s="247" t="s">
        <v>18</v>
      </c>
      <c r="E811" s="248">
        <v>30</v>
      </c>
      <c r="F811" s="249">
        <v>39301</v>
      </c>
      <c r="G811" s="249">
        <v>43682</v>
      </c>
      <c r="H811" s="247" t="s">
        <v>24</v>
      </c>
      <c r="I811" s="250" t="s">
        <v>3351</v>
      </c>
    </row>
    <row r="812" spans="1:9">
      <c r="A812" s="246">
        <v>808</v>
      </c>
      <c r="B812" s="247" t="s">
        <v>3424</v>
      </c>
      <c r="C812" s="302" t="str">
        <f>"4751"</f>
        <v>4751</v>
      </c>
      <c r="D812" s="247" t="s">
        <v>18</v>
      </c>
      <c r="E812" s="248">
        <v>30</v>
      </c>
      <c r="F812" s="249">
        <v>39301</v>
      </c>
      <c r="G812" s="249">
        <v>43682</v>
      </c>
      <c r="H812" s="247" t="s">
        <v>24</v>
      </c>
      <c r="I812" s="250" t="s">
        <v>3351</v>
      </c>
    </row>
    <row r="813" spans="1:9">
      <c r="A813" s="246">
        <v>809</v>
      </c>
      <c r="B813" s="247" t="s">
        <v>3424</v>
      </c>
      <c r="C813" s="302" t="str">
        <f>"4752"</f>
        <v>4752</v>
      </c>
      <c r="D813" s="247" t="s">
        <v>18</v>
      </c>
      <c r="E813" s="248">
        <v>30</v>
      </c>
      <c r="F813" s="249">
        <v>39301</v>
      </c>
      <c r="G813" s="249">
        <v>43682</v>
      </c>
      <c r="H813" s="247" t="s">
        <v>24</v>
      </c>
      <c r="I813" s="250" t="s">
        <v>3351</v>
      </c>
    </row>
    <row r="814" spans="1:9">
      <c r="A814" s="246">
        <v>810</v>
      </c>
      <c r="B814" s="247" t="s">
        <v>3424</v>
      </c>
      <c r="C814" s="302" t="str">
        <f>"4753"</f>
        <v>4753</v>
      </c>
      <c r="D814" s="247" t="s">
        <v>18</v>
      </c>
      <c r="E814" s="248">
        <v>30</v>
      </c>
      <c r="F814" s="249">
        <v>39301</v>
      </c>
      <c r="G814" s="249">
        <v>43682</v>
      </c>
      <c r="H814" s="247" t="s">
        <v>24</v>
      </c>
      <c r="I814" s="250" t="s">
        <v>3351</v>
      </c>
    </row>
    <row r="815" spans="1:9">
      <c r="A815" s="246">
        <v>811</v>
      </c>
      <c r="B815" s="247" t="s">
        <v>3424</v>
      </c>
      <c r="C815" s="302" t="str">
        <f>"4754"</f>
        <v>4754</v>
      </c>
      <c r="D815" s="247" t="s">
        <v>18</v>
      </c>
      <c r="E815" s="248">
        <v>30</v>
      </c>
      <c r="F815" s="249">
        <v>39301</v>
      </c>
      <c r="G815" s="249">
        <v>43682</v>
      </c>
      <c r="H815" s="247" t="s">
        <v>24</v>
      </c>
      <c r="I815" s="250" t="s">
        <v>3351</v>
      </c>
    </row>
    <row r="816" spans="1:9">
      <c r="A816" s="246">
        <v>812</v>
      </c>
      <c r="B816" s="247" t="s">
        <v>3424</v>
      </c>
      <c r="C816" s="302" t="str">
        <f>"4755"</f>
        <v>4755</v>
      </c>
      <c r="D816" s="247" t="s">
        <v>18</v>
      </c>
      <c r="E816" s="248">
        <v>30</v>
      </c>
      <c r="F816" s="249">
        <v>39301</v>
      </c>
      <c r="G816" s="249">
        <v>43682</v>
      </c>
      <c r="H816" s="247" t="s">
        <v>24</v>
      </c>
      <c r="I816" s="250" t="s">
        <v>3351</v>
      </c>
    </row>
    <row r="817" spans="1:9">
      <c r="A817" s="246">
        <v>813</v>
      </c>
      <c r="B817" s="247" t="s">
        <v>3424</v>
      </c>
      <c r="C817" s="302" t="str">
        <f>"4756"</f>
        <v>4756</v>
      </c>
      <c r="D817" s="247" t="s">
        <v>18</v>
      </c>
      <c r="E817" s="248">
        <v>36</v>
      </c>
      <c r="F817" s="249">
        <v>39301</v>
      </c>
      <c r="G817" s="249">
        <v>43682</v>
      </c>
      <c r="H817" s="247" t="s">
        <v>24</v>
      </c>
      <c r="I817" s="250" t="s">
        <v>3351</v>
      </c>
    </row>
    <row r="818" spans="1:9">
      <c r="A818" s="246">
        <v>814</v>
      </c>
      <c r="B818" s="247" t="s">
        <v>3424</v>
      </c>
      <c r="C818" s="302" t="str">
        <f>"4757"</f>
        <v>4757</v>
      </c>
      <c r="D818" s="247" t="s">
        <v>18</v>
      </c>
      <c r="E818" s="248">
        <v>30</v>
      </c>
      <c r="F818" s="249">
        <v>39301</v>
      </c>
      <c r="G818" s="249">
        <v>43682</v>
      </c>
      <c r="H818" s="247" t="s">
        <v>24</v>
      </c>
      <c r="I818" s="250" t="s">
        <v>3351</v>
      </c>
    </row>
    <row r="819" spans="1:9">
      <c r="A819" s="246">
        <v>815</v>
      </c>
      <c r="B819" s="247" t="s">
        <v>3424</v>
      </c>
      <c r="C819" s="302" t="str">
        <f>"4758"</f>
        <v>4758</v>
      </c>
      <c r="D819" s="247" t="s">
        <v>18</v>
      </c>
      <c r="E819" s="248">
        <v>30</v>
      </c>
      <c r="F819" s="249">
        <v>39301</v>
      </c>
      <c r="G819" s="249">
        <v>43682</v>
      </c>
      <c r="H819" s="247" t="s">
        <v>24</v>
      </c>
      <c r="I819" s="250" t="s">
        <v>3351</v>
      </c>
    </row>
    <row r="820" spans="1:9">
      <c r="A820" s="246">
        <v>816</v>
      </c>
      <c r="B820" s="247" t="s">
        <v>3424</v>
      </c>
      <c r="C820" s="302" t="str">
        <f>"4759"</f>
        <v>4759</v>
      </c>
      <c r="D820" s="247" t="s">
        <v>18</v>
      </c>
      <c r="E820" s="248">
        <v>30</v>
      </c>
      <c r="F820" s="249">
        <v>39301</v>
      </c>
      <c r="G820" s="249">
        <v>43682</v>
      </c>
      <c r="H820" s="247" t="s">
        <v>24</v>
      </c>
      <c r="I820" s="250" t="s">
        <v>3351</v>
      </c>
    </row>
    <row r="821" spans="1:9">
      <c r="A821" s="246">
        <v>817</v>
      </c>
      <c r="B821" s="247" t="s">
        <v>3424</v>
      </c>
      <c r="C821" s="302" t="str">
        <f>"4760"</f>
        <v>4760</v>
      </c>
      <c r="D821" s="247" t="s">
        <v>18</v>
      </c>
      <c r="E821" s="248">
        <v>30</v>
      </c>
      <c r="F821" s="249">
        <v>39301</v>
      </c>
      <c r="G821" s="249">
        <v>43682</v>
      </c>
      <c r="H821" s="247" t="s">
        <v>24</v>
      </c>
      <c r="I821" s="250" t="s">
        <v>3351</v>
      </c>
    </row>
    <row r="822" spans="1:9">
      <c r="A822" s="246">
        <v>818</v>
      </c>
      <c r="B822" s="247" t="s">
        <v>3424</v>
      </c>
      <c r="C822" s="302" t="str">
        <f>"4761"</f>
        <v>4761</v>
      </c>
      <c r="D822" s="247" t="s">
        <v>18</v>
      </c>
      <c r="E822" s="248">
        <v>30</v>
      </c>
      <c r="F822" s="249">
        <v>39301</v>
      </c>
      <c r="G822" s="249">
        <v>43682</v>
      </c>
      <c r="H822" s="247" t="s">
        <v>24</v>
      </c>
      <c r="I822" s="250" t="s">
        <v>3351</v>
      </c>
    </row>
    <row r="823" spans="1:9">
      <c r="A823" s="246">
        <v>819</v>
      </c>
      <c r="B823" s="247" t="s">
        <v>3424</v>
      </c>
      <c r="C823" s="302" t="str">
        <f>"4762"</f>
        <v>4762</v>
      </c>
      <c r="D823" s="247" t="s">
        <v>18</v>
      </c>
      <c r="E823" s="248">
        <v>30</v>
      </c>
      <c r="F823" s="249">
        <v>39301</v>
      </c>
      <c r="G823" s="249">
        <v>43682</v>
      </c>
      <c r="H823" s="247" t="s">
        <v>24</v>
      </c>
      <c r="I823" s="250" t="s">
        <v>3351</v>
      </c>
    </row>
    <row r="824" spans="1:9">
      <c r="A824" s="246">
        <v>820</v>
      </c>
      <c r="B824" s="247" t="s">
        <v>3424</v>
      </c>
      <c r="C824" s="302" t="str">
        <f>"4763"</f>
        <v>4763</v>
      </c>
      <c r="D824" s="247" t="s">
        <v>18</v>
      </c>
      <c r="E824" s="248">
        <v>30</v>
      </c>
      <c r="F824" s="249">
        <v>39301</v>
      </c>
      <c r="G824" s="249">
        <v>43682</v>
      </c>
      <c r="H824" s="247" t="s">
        <v>24</v>
      </c>
      <c r="I824" s="250" t="s">
        <v>3351</v>
      </c>
    </row>
    <row r="825" spans="1:9">
      <c r="A825" s="246">
        <v>821</v>
      </c>
      <c r="B825" s="247" t="s">
        <v>3424</v>
      </c>
      <c r="C825" s="302" t="str">
        <f>"4764"</f>
        <v>4764</v>
      </c>
      <c r="D825" s="247" t="s">
        <v>18</v>
      </c>
      <c r="E825" s="248">
        <v>30</v>
      </c>
      <c r="F825" s="249">
        <v>39301</v>
      </c>
      <c r="G825" s="249">
        <v>43682</v>
      </c>
      <c r="H825" s="247" t="s">
        <v>24</v>
      </c>
      <c r="I825" s="250" t="s">
        <v>3351</v>
      </c>
    </row>
    <row r="826" spans="1:9">
      <c r="A826" s="246">
        <v>822</v>
      </c>
      <c r="B826" s="247" t="s">
        <v>3424</v>
      </c>
      <c r="C826" s="302" t="str">
        <f>"4765"</f>
        <v>4765</v>
      </c>
      <c r="D826" s="247" t="s">
        <v>18</v>
      </c>
      <c r="E826" s="248">
        <v>30</v>
      </c>
      <c r="F826" s="249">
        <v>39301</v>
      </c>
      <c r="G826" s="249">
        <v>43682</v>
      </c>
      <c r="H826" s="247" t="s">
        <v>24</v>
      </c>
      <c r="I826" s="250" t="s">
        <v>3351</v>
      </c>
    </row>
    <row r="827" spans="1:9">
      <c r="A827" s="246">
        <v>823</v>
      </c>
      <c r="B827" s="247" t="s">
        <v>3424</v>
      </c>
      <c r="C827" s="302" t="str">
        <f>"4766"</f>
        <v>4766</v>
      </c>
      <c r="D827" s="247" t="s">
        <v>18</v>
      </c>
      <c r="E827" s="248">
        <v>30</v>
      </c>
      <c r="F827" s="249">
        <v>39301</v>
      </c>
      <c r="G827" s="249">
        <v>43682</v>
      </c>
      <c r="H827" s="247" t="s">
        <v>24</v>
      </c>
      <c r="I827" s="250" t="s">
        <v>3351</v>
      </c>
    </row>
    <row r="828" spans="1:9">
      <c r="A828" s="246">
        <v>824</v>
      </c>
      <c r="B828" s="247" t="s">
        <v>3424</v>
      </c>
      <c r="C828" s="302" t="str">
        <f>"4767"</f>
        <v>4767</v>
      </c>
      <c r="D828" s="247" t="s">
        <v>18</v>
      </c>
      <c r="E828" s="248">
        <v>30</v>
      </c>
      <c r="F828" s="249">
        <v>39301</v>
      </c>
      <c r="G828" s="249">
        <v>43682</v>
      </c>
      <c r="H828" s="247" t="s">
        <v>24</v>
      </c>
      <c r="I828" s="250" t="s">
        <v>3351</v>
      </c>
    </row>
    <row r="829" spans="1:9">
      <c r="A829" s="246">
        <v>825</v>
      </c>
      <c r="B829" s="247" t="s">
        <v>3424</v>
      </c>
      <c r="C829" s="302" t="str">
        <f>"4768"</f>
        <v>4768</v>
      </c>
      <c r="D829" s="247" t="s">
        <v>18</v>
      </c>
      <c r="E829" s="248">
        <v>30</v>
      </c>
      <c r="F829" s="249">
        <v>39301</v>
      </c>
      <c r="G829" s="249">
        <v>43682</v>
      </c>
      <c r="H829" s="247" t="s">
        <v>24</v>
      </c>
      <c r="I829" s="250" t="s">
        <v>3351</v>
      </c>
    </row>
    <row r="830" spans="1:9">
      <c r="A830" s="246">
        <v>826</v>
      </c>
      <c r="B830" s="247" t="s">
        <v>3424</v>
      </c>
      <c r="C830" s="302" t="str">
        <f>"4769"</f>
        <v>4769</v>
      </c>
      <c r="D830" s="247" t="s">
        <v>18</v>
      </c>
      <c r="E830" s="248">
        <v>30</v>
      </c>
      <c r="F830" s="249">
        <v>39301</v>
      </c>
      <c r="G830" s="249">
        <v>43682</v>
      </c>
      <c r="H830" s="247" t="s">
        <v>24</v>
      </c>
      <c r="I830" s="250" t="s">
        <v>3351</v>
      </c>
    </row>
    <row r="831" spans="1:9">
      <c r="A831" s="246">
        <v>827</v>
      </c>
      <c r="B831" s="247" t="s">
        <v>3424</v>
      </c>
      <c r="C831" s="302" t="str">
        <f>"4770"</f>
        <v>4770</v>
      </c>
      <c r="D831" s="247" t="s">
        <v>18</v>
      </c>
      <c r="E831" s="248">
        <v>30</v>
      </c>
      <c r="F831" s="249">
        <v>39301</v>
      </c>
      <c r="G831" s="249">
        <v>43681</v>
      </c>
      <c r="H831" s="247" t="s">
        <v>24</v>
      </c>
      <c r="I831" s="250" t="s">
        <v>3351</v>
      </c>
    </row>
    <row r="832" spans="1:9">
      <c r="A832" s="246">
        <v>828</v>
      </c>
      <c r="B832" s="247" t="s">
        <v>3424</v>
      </c>
      <c r="C832" s="302" t="str">
        <f>"4771"</f>
        <v>4771</v>
      </c>
      <c r="D832" s="247" t="s">
        <v>18</v>
      </c>
      <c r="E832" s="248">
        <v>30</v>
      </c>
      <c r="F832" s="249">
        <v>39301</v>
      </c>
      <c r="G832" s="249">
        <v>43682</v>
      </c>
      <c r="H832" s="247" t="s">
        <v>24</v>
      </c>
      <c r="I832" s="250" t="s">
        <v>3351</v>
      </c>
    </row>
    <row r="833" spans="1:9">
      <c r="A833" s="246">
        <v>829</v>
      </c>
      <c r="B833" s="247" t="s">
        <v>3424</v>
      </c>
      <c r="C833" s="302" t="str">
        <f>"4772"</f>
        <v>4772</v>
      </c>
      <c r="D833" s="247" t="s">
        <v>18</v>
      </c>
      <c r="E833" s="248">
        <v>30</v>
      </c>
      <c r="F833" s="249">
        <v>39301</v>
      </c>
      <c r="G833" s="249">
        <v>43682</v>
      </c>
      <c r="H833" s="247" t="s">
        <v>24</v>
      </c>
      <c r="I833" s="250" t="s">
        <v>3351</v>
      </c>
    </row>
    <row r="834" spans="1:9">
      <c r="A834" s="246">
        <v>830</v>
      </c>
      <c r="B834" s="247" t="s">
        <v>3424</v>
      </c>
      <c r="C834" s="302" t="str">
        <f>"4773"</f>
        <v>4773</v>
      </c>
      <c r="D834" s="247" t="s">
        <v>18</v>
      </c>
      <c r="E834" s="248">
        <v>36</v>
      </c>
      <c r="F834" s="249">
        <v>39301</v>
      </c>
      <c r="G834" s="249">
        <v>43682</v>
      </c>
      <c r="H834" s="247" t="s">
        <v>24</v>
      </c>
      <c r="I834" s="250" t="s">
        <v>3351</v>
      </c>
    </row>
    <row r="835" spans="1:9">
      <c r="A835" s="246">
        <v>831</v>
      </c>
      <c r="B835" s="247" t="s">
        <v>3424</v>
      </c>
      <c r="C835" s="302" t="str">
        <f>"4774"</f>
        <v>4774</v>
      </c>
      <c r="D835" s="247" t="s">
        <v>18</v>
      </c>
      <c r="E835" s="248">
        <v>30</v>
      </c>
      <c r="F835" s="249">
        <v>39301</v>
      </c>
      <c r="G835" s="249">
        <v>43682</v>
      </c>
      <c r="H835" s="247" t="s">
        <v>24</v>
      </c>
      <c r="I835" s="250" t="s">
        <v>3351</v>
      </c>
    </row>
    <row r="836" spans="1:9">
      <c r="A836" s="246">
        <v>832</v>
      </c>
      <c r="B836" s="247" t="s">
        <v>3424</v>
      </c>
      <c r="C836" s="302" t="str">
        <f>"4775"</f>
        <v>4775</v>
      </c>
      <c r="D836" s="247" t="s">
        <v>18</v>
      </c>
      <c r="E836" s="248">
        <v>30</v>
      </c>
      <c r="F836" s="249">
        <v>39301</v>
      </c>
      <c r="G836" s="249">
        <v>43682</v>
      </c>
      <c r="H836" s="247" t="s">
        <v>24</v>
      </c>
      <c r="I836" s="250" t="s">
        <v>3351</v>
      </c>
    </row>
    <row r="837" spans="1:9">
      <c r="A837" s="246">
        <v>833</v>
      </c>
      <c r="B837" s="247" t="s">
        <v>3424</v>
      </c>
      <c r="C837" s="302" t="str">
        <f>"4776"</f>
        <v>4776</v>
      </c>
      <c r="D837" s="247" t="s">
        <v>18</v>
      </c>
      <c r="E837" s="248">
        <v>30</v>
      </c>
      <c r="F837" s="249">
        <v>39301</v>
      </c>
      <c r="G837" s="249">
        <v>43682</v>
      </c>
      <c r="H837" s="247" t="s">
        <v>24</v>
      </c>
      <c r="I837" s="250" t="s">
        <v>3351</v>
      </c>
    </row>
    <row r="838" spans="1:9">
      <c r="A838" s="246">
        <v>834</v>
      </c>
      <c r="B838" s="247" t="s">
        <v>3424</v>
      </c>
      <c r="C838" s="302" t="str">
        <f>"4777"</f>
        <v>4777</v>
      </c>
      <c r="D838" s="247" t="s">
        <v>18</v>
      </c>
      <c r="E838" s="248">
        <v>30</v>
      </c>
      <c r="F838" s="249">
        <v>39301</v>
      </c>
      <c r="G838" s="249">
        <v>43682</v>
      </c>
      <c r="H838" s="247" t="s">
        <v>24</v>
      </c>
      <c r="I838" s="250" t="s">
        <v>3351</v>
      </c>
    </row>
    <row r="839" spans="1:9">
      <c r="A839" s="246">
        <v>835</v>
      </c>
      <c r="B839" s="247" t="s">
        <v>3424</v>
      </c>
      <c r="C839" s="302" t="str">
        <f>"4778"</f>
        <v>4778</v>
      </c>
      <c r="D839" s="247" t="s">
        <v>18</v>
      </c>
      <c r="E839" s="248">
        <v>30</v>
      </c>
      <c r="F839" s="249">
        <v>39301</v>
      </c>
      <c r="G839" s="249">
        <v>43682</v>
      </c>
      <c r="H839" s="247" t="s">
        <v>24</v>
      </c>
      <c r="I839" s="250" t="s">
        <v>3351</v>
      </c>
    </row>
    <row r="840" spans="1:9">
      <c r="A840" s="246">
        <v>836</v>
      </c>
      <c r="B840" s="247" t="s">
        <v>3424</v>
      </c>
      <c r="C840" s="302" t="str">
        <f>"4779"</f>
        <v>4779</v>
      </c>
      <c r="D840" s="247" t="s">
        <v>18</v>
      </c>
      <c r="E840" s="248">
        <v>30</v>
      </c>
      <c r="F840" s="249">
        <v>39301</v>
      </c>
      <c r="G840" s="249">
        <v>43682</v>
      </c>
      <c r="H840" s="247" t="s">
        <v>24</v>
      </c>
      <c r="I840" s="250" t="s">
        <v>3351</v>
      </c>
    </row>
    <row r="841" spans="1:9">
      <c r="A841" s="246">
        <v>837</v>
      </c>
      <c r="B841" s="247" t="s">
        <v>3424</v>
      </c>
      <c r="C841" s="302" t="str">
        <f>"4780"</f>
        <v>4780</v>
      </c>
      <c r="D841" s="247" t="s">
        <v>18</v>
      </c>
      <c r="E841" s="248">
        <v>30</v>
      </c>
      <c r="F841" s="249">
        <v>39301</v>
      </c>
      <c r="G841" s="249">
        <v>43682</v>
      </c>
      <c r="H841" s="247" t="s">
        <v>24</v>
      </c>
      <c r="I841" s="250" t="s">
        <v>3351</v>
      </c>
    </row>
    <row r="842" spans="1:9">
      <c r="A842" s="246">
        <v>838</v>
      </c>
      <c r="B842" s="247" t="s">
        <v>3424</v>
      </c>
      <c r="C842" s="302" t="str">
        <f>"4781"</f>
        <v>4781</v>
      </c>
      <c r="D842" s="247" t="s">
        <v>18</v>
      </c>
      <c r="E842" s="248">
        <v>30</v>
      </c>
      <c r="F842" s="249">
        <v>39301</v>
      </c>
      <c r="G842" s="249">
        <v>43682</v>
      </c>
      <c r="H842" s="247" t="s">
        <v>24</v>
      </c>
      <c r="I842" s="250" t="s">
        <v>3351</v>
      </c>
    </row>
    <row r="843" spans="1:9">
      <c r="A843" s="246">
        <v>839</v>
      </c>
      <c r="B843" s="247" t="s">
        <v>3424</v>
      </c>
      <c r="C843" s="302" t="str">
        <f>"4782"</f>
        <v>4782</v>
      </c>
      <c r="D843" s="247" t="s">
        <v>18</v>
      </c>
      <c r="E843" s="248">
        <v>30</v>
      </c>
      <c r="F843" s="249">
        <v>39301</v>
      </c>
      <c r="G843" s="249">
        <v>43682</v>
      </c>
      <c r="H843" s="247" t="s">
        <v>24</v>
      </c>
      <c r="I843" s="250" t="s">
        <v>3351</v>
      </c>
    </row>
    <row r="844" spans="1:9">
      <c r="A844" s="246">
        <v>840</v>
      </c>
      <c r="B844" s="247" t="s">
        <v>3424</v>
      </c>
      <c r="C844" s="302" t="str">
        <f>"4783"</f>
        <v>4783</v>
      </c>
      <c r="D844" s="247" t="s">
        <v>18</v>
      </c>
      <c r="E844" s="248">
        <v>30</v>
      </c>
      <c r="F844" s="249">
        <v>39301</v>
      </c>
      <c r="G844" s="249">
        <v>43682</v>
      </c>
      <c r="H844" s="247" t="s">
        <v>24</v>
      </c>
      <c r="I844" s="250" t="s">
        <v>3351</v>
      </c>
    </row>
    <row r="845" spans="1:9">
      <c r="A845" s="246">
        <v>841</v>
      </c>
      <c r="B845" s="247" t="s">
        <v>3424</v>
      </c>
      <c r="C845" s="302" t="str">
        <f>"4784"</f>
        <v>4784</v>
      </c>
      <c r="D845" s="247" t="s">
        <v>18</v>
      </c>
      <c r="E845" s="248">
        <v>30</v>
      </c>
      <c r="F845" s="249">
        <v>39301</v>
      </c>
      <c r="G845" s="249">
        <v>43682</v>
      </c>
      <c r="H845" s="247" t="s">
        <v>24</v>
      </c>
      <c r="I845" s="250" t="s">
        <v>3351</v>
      </c>
    </row>
    <row r="846" spans="1:9">
      <c r="A846" s="246">
        <v>842</v>
      </c>
      <c r="B846" s="247" t="s">
        <v>3424</v>
      </c>
      <c r="C846" s="302" t="str">
        <f>"4785"</f>
        <v>4785</v>
      </c>
      <c r="D846" s="247" t="s">
        <v>18</v>
      </c>
      <c r="E846" s="248">
        <v>30</v>
      </c>
      <c r="F846" s="249">
        <v>39301</v>
      </c>
      <c r="G846" s="249">
        <v>43682</v>
      </c>
      <c r="H846" s="247" t="s">
        <v>24</v>
      </c>
      <c r="I846" s="250" t="s">
        <v>3351</v>
      </c>
    </row>
    <row r="847" spans="1:9">
      <c r="A847" s="246">
        <v>843</v>
      </c>
      <c r="B847" s="247" t="s">
        <v>3424</v>
      </c>
      <c r="C847" s="302" t="str">
        <f>"4786"</f>
        <v>4786</v>
      </c>
      <c r="D847" s="247" t="s">
        <v>18</v>
      </c>
      <c r="E847" s="248">
        <v>30</v>
      </c>
      <c r="F847" s="249">
        <v>39301</v>
      </c>
      <c r="G847" s="249">
        <v>43682</v>
      </c>
      <c r="H847" s="247" t="s">
        <v>24</v>
      </c>
      <c r="I847" s="250" t="s">
        <v>3351</v>
      </c>
    </row>
    <row r="848" spans="1:9">
      <c r="A848" s="246">
        <v>844</v>
      </c>
      <c r="B848" s="247" t="s">
        <v>3424</v>
      </c>
      <c r="C848" s="302" t="str">
        <f>"4787"</f>
        <v>4787</v>
      </c>
      <c r="D848" s="247" t="s">
        <v>18</v>
      </c>
      <c r="E848" s="248">
        <v>30</v>
      </c>
      <c r="F848" s="249">
        <v>39301</v>
      </c>
      <c r="G848" s="249">
        <v>43682</v>
      </c>
      <c r="H848" s="247" t="s">
        <v>24</v>
      </c>
      <c r="I848" s="250" t="s">
        <v>3351</v>
      </c>
    </row>
    <row r="849" spans="1:9">
      <c r="A849" s="246">
        <v>845</v>
      </c>
      <c r="B849" s="247" t="s">
        <v>3424</v>
      </c>
      <c r="C849" s="302" t="str">
        <f>"4788"</f>
        <v>4788</v>
      </c>
      <c r="D849" s="247" t="s">
        <v>18</v>
      </c>
      <c r="E849" s="248">
        <v>30</v>
      </c>
      <c r="F849" s="249">
        <v>39301</v>
      </c>
      <c r="G849" s="249">
        <v>43682</v>
      </c>
      <c r="H849" s="247" t="s">
        <v>24</v>
      </c>
      <c r="I849" s="250" t="s">
        <v>3351</v>
      </c>
    </row>
    <row r="850" spans="1:9">
      <c r="A850" s="246">
        <v>846</v>
      </c>
      <c r="B850" s="247" t="s">
        <v>228</v>
      </c>
      <c r="C850" s="302" t="str">
        <f>"4791"</f>
        <v>4791</v>
      </c>
      <c r="D850" s="247" t="s">
        <v>18</v>
      </c>
      <c r="E850" s="248">
        <v>50</v>
      </c>
      <c r="F850" s="249">
        <v>41098</v>
      </c>
      <c r="G850" s="249">
        <v>42923</v>
      </c>
      <c r="H850" s="247" t="s">
        <v>84</v>
      </c>
      <c r="I850" s="250" t="s">
        <v>448</v>
      </c>
    </row>
    <row r="851" spans="1:9">
      <c r="A851" s="246">
        <v>847</v>
      </c>
      <c r="B851" s="247" t="s">
        <v>228</v>
      </c>
      <c r="C851" s="302" t="str">
        <f>"4799"</f>
        <v>4799</v>
      </c>
      <c r="D851" s="247" t="s">
        <v>18</v>
      </c>
      <c r="E851" s="248">
        <v>104</v>
      </c>
      <c r="F851" s="249">
        <v>41098</v>
      </c>
      <c r="G851" s="249">
        <v>42923</v>
      </c>
      <c r="H851" s="247" t="s">
        <v>84</v>
      </c>
      <c r="I851" s="250" t="s">
        <v>3412</v>
      </c>
    </row>
    <row r="852" spans="1:9">
      <c r="A852" s="246">
        <v>848</v>
      </c>
      <c r="B852" s="247" t="s">
        <v>228</v>
      </c>
      <c r="C852" s="302" t="str">
        <f>"4809"</f>
        <v>4809</v>
      </c>
      <c r="D852" s="247" t="s">
        <v>18</v>
      </c>
      <c r="E852" s="248">
        <v>89</v>
      </c>
      <c r="F852" s="249">
        <v>40944</v>
      </c>
      <c r="G852" s="249">
        <v>42770</v>
      </c>
      <c r="H852" s="247" t="s">
        <v>84</v>
      </c>
      <c r="I852" s="250" t="s">
        <v>3412</v>
      </c>
    </row>
    <row r="853" spans="1:9">
      <c r="A853" s="246">
        <v>849</v>
      </c>
      <c r="B853" s="247" t="s">
        <v>3425</v>
      </c>
      <c r="C853" s="302" t="str">
        <f>"4810"</f>
        <v>4810</v>
      </c>
      <c r="D853" s="247" t="s">
        <v>18</v>
      </c>
      <c r="E853" s="248">
        <v>170</v>
      </c>
      <c r="F853" s="249">
        <v>40944</v>
      </c>
      <c r="G853" s="249">
        <v>42770</v>
      </c>
      <c r="H853" s="247" t="s">
        <v>56</v>
      </c>
      <c r="I853" s="250" t="s">
        <v>437</v>
      </c>
    </row>
    <row r="854" spans="1:9">
      <c r="A854" s="246">
        <v>850</v>
      </c>
      <c r="B854" s="247" t="s">
        <v>130</v>
      </c>
      <c r="C854" s="302" t="str">
        <f>"4816"</f>
        <v>4816</v>
      </c>
      <c r="D854" s="247" t="s">
        <v>30</v>
      </c>
      <c r="E854" s="248">
        <v>44</v>
      </c>
      <c r="F854" s="249">
        <v>44272</v>
      </c>
      <c r="G854" s="249">
        <v>46097</v>
      </c>
      <c r="H854" s="247" t="s">
        <v>84</v>
      </c>
      <c r="I854" s="250" t="s">
        <v>79</v>
      </c>
    </row>
    <row r="855" spans="1:9">
      <c r="A855" s="246">
        <v>851</v>
      </c>
      <c r="B855" s="247" t="s">
        <v>228</v>
      </c>
      <c r="C855" s="302" t="str">
        <f>"4817"</f>
        <v>4817</v>
      </c>
      <c r="D855" s="247" t="s">
        <v>18</v>
      </c>
      <c r="E855" s="248">
        <v>144</v>
      </c>
      <c r="F855" s="249">
        <v>41098</v>
      </c>
      <c r="G855" s="249">
        <v>42923</v>
      </c>
      <c r="H855" s="247" t="s">
        <v>84</v>
      </c>
      <c r="I855" s="250" t="s">
        <v>438</v>
      </c>
    </row>
    <row r="856" spans="1:9">
      <c r="A856" s="246">
        <v>852</v>
      </c>
      <c r="B856" s="247" t="s">
        <v>3426</v>
      </c>
      <c r="C856" s="302" t="str">
        <f>"4820"</f>
        <v>4820</v>
      </c>
      <c r="D856" s="247" t="s">
        <v>18</v>
      </c>
      <c r="E856" s="248">
        <v>190</v>
      </c>
      <c r="F856" s="249">
        <v>39483</v>
      </c>
      <c r="G856" s="249">
        <v>40943</v>
      </c>
      <c r="H856" s="247" t="s">
        <v>56</v>
      </c>
      <c r="I856" s="250" t="s">
        <v>3342</v>
      </c>
    </row>
    <row r="857" spans="1:9">
      <c r="A857" s="246">
        <v>853</v>
      </c>
      <c r="B857" s="247" t="s">
        <v>3426</v>
      </c>
      <c r="C857" s="302" t="str">
        <f>"4821"</f>
        <v>4821</v>
      </c>
      <c r="D857" s="247" t="s">
        <v>18</v>
      </c>
      <c r="E857" s="248">
        <v>200</v>
      </c>
      <c r="F857" s="249">
        <v>39483</v>
      </c>
      <c r="G857" s="249">
        <v>40943</v>
      </c>
      <c r="H857" s="247" t="s">
        <v>56</v>
      </c>
      <c r="I857" s="250" t="s">
        <v>3342</v>
      </c>
    </row>
    <row r="858" spans="1:9">
      <c r="A858" s="246">
        <v>854</v>
      </c>
      <c r="B858" s="247" t="s">
        <v>416</v>
      </c>
      <c r="C858" s="302" t="str">
        <f>"4871"</f>
        <v>4871</v>
      </c>
      <c r="D858" s="247" t="s">
        <v>13</v>
      </c>
      <c r="E858" s="248">
        <v>38</v>
      </c>
      <c r="F858" s="249">
        <v>41192</v>
      </c>
      <c r="G858" s="249">
        <v>52148</v>
      </c>
      <c r="H858" s="247" t="s">
        <v>59</v>
      </c>
      <c r="I858" s="250" t="s">
        <v>3346</v>
      </c>
    </row>
    <row r="859" spans="1:9">
      <c r="A859" s="246">
        <v>855</v>
      </c>
      <c r="B859" s="247" t="s">
        <v>416</v>
      </c>
      <c r="C859" s="302" t="str">
        <f>"4872"</f>
        <v>4872</v>
      </c>
      <c r="D859" s="247" t="s">
        <v>13</v>
      </c>
      <c r="E859" s="248">
        <v>308</v>
      </c>
      <c r="F859" s="249">
        <v>41192</v>
      </c>
      <c r="G859" s="249">
        <v>52148</v>
      </c>
      <c r="H859" s="247" t="s">
        <v>59</v>
      </c>
      <c r="I859" s="250" t="s">
        <v>3346</v>
      </c>
    </row>
    <row r="860" spans="1:9">
      <c r="A860" s="246">
        <v>856</v>
      </c>
      <c r="B860" s="247" t="s">
        <v>416</v>
      </c>
      <c r="C860" s="302" t="str">
        <f>"4878"</f>
        <v>4878</v>
      </c>
      <c r="D860" s="247" t="s">
        <v>21</v>
      </c>
      <c r="E860" s="248">
        <v>5</v>
      </c>
      <c r="F860" s="249">
        <v>44047</v>
      </c>
      <c r="G860" s="249">
        <v>45872</v>
      </c>
      <c r="H860" s="247" t="s">
        <v>59</v>
      </c>
      <c r="I860" s="250" t="s">
        <v>3346</v>
      </c>
    </row>
    <row r="861" spans="1:9">
      <c r="A861" s="246">
        <v>857</v>
      </c>
      <c r="B861" s="247" t="s">
        <v>416</v>
      </c>
      <c r="C861" s="302" t="str">
        <f>"4879"</f>
        <v>4879</v>
      </c>
      <c r="D861" s="247" t="s">
        <v>21</v>
      </c>
      <c r="E861" s="248">
        <v>5</v>
      </c>
      <c r="F861" s="249">
        <v>44047</v>
      </c>
      <c r="G861" s="249">
        <v>45872</v>
      </c>
      <c r="H861" s="247" t="s">
        <v>59</v>
      </c>
      <c r="I861" s="250" t="s">
        <v>3346</v>
      </c>
    </row>
    <row r="862" spans="1:9">
      <c r="A862" s="246">
        <v>858</v>
      </c>
      <c r="B862" s="247" t="s">
        <v>131</v>
      </c>
      <c r="C862" s="302" t="str">
        <f>"4881"</f>
        <v>4881</v>
      </c>
      <c r="D862" s="247" t="s">
        <v>13</v>
      </c>
      <c r="E862" s="248">
        <v>20</v>
      </c>
      <c r="F862" s="249">
        <v>42464</v>
      </c>
      <c r="G862" s="249">
        <v>53420</v>
      </c>
      <c r="H862" s="247" t="s">
        <v>14</v>
      </c>
      <c r="I862" s="250" t="s">
        <v>79</v>
      </c>
    </row>
    <row r="863" spans="1:9">
      <c r="A863" s="246">
        <v>859</v>
      </c>
      <c r="B863" s="247" t="s">
        <v>132</v>
      </c>
      <c r="C863" s="302" t="str">
        <f>"4884"</f>
        <v>4884</v>
      </c>
      <c r="D863" s="247" t="s">
        <v>13</v>
      </c>
      <c r="E863" s="248">
        <v>28</v>
      </c>
      <c r="F863" s="249">
        <v>42676</v>
      </c>
      <c r="G863" s="249">
        <v>53632</v>
      </c>
      <c r="H863" s="247" t="s">
        <v>14</v>
      </c>
      <c r="I863" s="250" t="s">
        <v>79</v>
      </c>
    </row>
    <row r="864" spans="1:9">
      <c r="A864" s="246">
        <v>860</v>
      </c>
      <c r="B864" s="247" t="s">
        <v>43</v>
      </c>
      <c r="C864" s="302" t="str">
        <f>"4886"</f>
        <v>4886</v>
      </c>
      <c r="D864" s="247" t="s">
        <v>13</v>
      </c>
      <c r="E864" s="248">
        <v>10</v>
      </c>
      <c r="F864" s="249">
        <v>40161</v>
      </c>
      <c r="G864" s="249">
        <v>45639</v>
      </c>
      <c r="H864" s="247" t="s">
        <v>14</v>
      </c>
      <c r="I864" s="250" t="s">
        <v>79</v>
      </c>
    </row>
    <row r="865" spans="1:9">
      <c r="A865" s="246">
        <v>861</v>
      </c>
      <c r="B865" s="247" t="s">
        <v>2119</v>
      </c>
      <c r="C865" s="302" t="str">
        <f>"4925"</f>
        <v>4925</v>
      </c>
      <c r="D865" s="247" t="s">
        <v>13</v>
      </c>
      <c r="E865" s="248">
        <v>34</v>
      </c>
      <c r="F865" s="249">
        <v>38987</v>
      </c>
      <c r="G865" s="249">
        <v>49937</v>
      </c>
      <c r="H865" s="247" t="s">
        <v>31</v>
      </c>
      <c r="I865" s="250" t="s">
        <v>438</v>
      </c>
    </row>
    <row r="866" spans="1:9">
      <c r="A866" s="246">
        <v>862</v>
      </c>
      <c r="B866" s="247" t="s">
        <v>3427</v>
      </c>
      <c r="C866" s="302" t="str">
        <f>"4926"</f>
        <v>4926</v>
      </c>
      <c r="D866" s="247" t="s">
        <v>13</v>
      </c>
      <c r="E866" s="248">
        <v>33</v>
      </c>
      <c r="F866" s="249">
        <v>40763</v>
      </c>
      <c r="G866" s="249">
        <v>51720</v>
      </c>
      <c r="H866" s="247" t="s">
        <v>56</v>
      </c>
      <c r="I866" s="250" t="s">
        <v>438</v>
      </c>
    </row>
    <row r="867" spans="1:9">
      <c r="A867" s="246">
        <v>863</v>
      </c>
      <c r="B867" s="247" t="s">
        <v>3428</v>
      </c>
      <c r="C867" s="302" t="str">
        <f>"4941"</f>
        <v>4941</v>
      </c>
      <c r="D867" s="247" t="s">
        <v>30</v>
      </c>
      <c r="E867" s="248">
        <v>36</v>
      </c>
      <c r="F867" s="249">
        <v>38867</v>
      </c>
      <c r="G867" s="249">
        <v>39588</v>
      </c>
      <c r="H867" s="247" t="s">
        <v>24</v>
      </c>
      <c r="I867" s="250" t="s">
        <v>438</v>
      </c>
    </row>
    <row r="868" spans="1:9">
      <c r="A868" s="246">
        <v>864</v>
      </c>
      <c r="B868" s="247" t="s">
        <v>3428</v>
      </c>
      <c r="C868" s="302" t="str">
        <f>"4945"</f>
        <v>4945</v>
      </c>
      <c r="D868" s="247" t="s">
        <v>30</v>
      </c>
      <c r="E868" s="248">
        <v>36</v>
      </c>
      <c r="F868" s="249">
        <v>38867</v>
      </c>
      <c r="G868" s="249">
        <v>39588</v>
      </c>
      <c r="H868" s="247" t="s">
        <v>24</v>
      </c>
      <c r="I868" s="250" t="s">
        <v>438</v>
      </c>
    </row>
    <row r="869" spans="1:9">
      <c r="A869" s="246">
        <v>865</v>
      </c>
      <c r="B869" s="247" t="s">
        <v>3429</v>
      </c>
      <c r="C869" s="302" t="str">
        <f>"4946"</f>
        <v>4946</v>
      </c>
      <c r="D869" s="247" t="s">
        <v>30</v>
      </c>
      <c r="E869" s="248">
        <v>36</v>
      </c>
      <c r="F869" s="249">
        <v>38867</v>
      </c>
      <c r="G869" s="249">
        <v>39323</v>
      </c>
      <c r="H869" s="247" t="s">
        <v>56</v>
      </c>
      <c r="I869" s="250" t="s">
        <v>438</v>
      </c>
    </row>
    <row r="870" spans="1:9">
      <c r="A870" s="246">
        <v>866</v>
      </c>
      <c r="B870" s="247" t="s">
        <v>3428</v>
      </c>
      <c r="C870" s="302" t="str">
        <f>"4947"</f>
        <v>4947</v>
      </c>
      <c r="D870" s="247" t="s">
        <v>30</v>
      </c>
      <c r="E870" s="248">
        <v>36</v>
      </c>
      <c r="F870" s="249">
        <v>38867</v>
      </c>
      <c r="G870" s="249">
        <v>39588</v>
      </c>
      <c r="H870" s="247" t="s">
        <v>24</v>
      </c>
      <c r="I870" s="250" t="s">
        <v>438</v>
      </c>
    </row>
    <row r="871" spans="1:9">
      <c r="A871" s="246">
        <v>867</v>
      </c>
      <c r="B871" s="247" t="s">
        <v>43</v>
      </c>
      <c r="C871" s="302" t="str">
        <f>"4958"</f>
        <v>4958</v>
      </c>
      <c r="D871" s="247" t="s">
        <v>13</v>
      </c>
      <c r="E871" s="248">
        <v>75</v>
      </c>
      <c r="F871" s="249">
        <v>40102</v>
      </c>
      <c r="G871" s="249">
        <v>45385</v>
      </c>
      <c r="H871" s="247" t="s">
        <v>16</v>
      </c>
      <c r="I871" s="250" t="s">
        <v>79</v>
      </c>
    </row>
    <row r="872" spans="1:9">
      <c r="A872" s="246">
        <v>868</v>
      </c>
      <c r="B872" s="247" t="s">
        <v>105</v>
      </c>
      <c r="C872" s="302" t="str">
        <f>"4959"</f>
        <v>4959</v>
      </c>
      <c r="D872" s="247" t="s">
        <v>13</v>
      </c>
      <c r="E872" s="248">
        <v>3</v>
      </c>
      <c r="F872" s="249">
        <v>39907</v>
      </c>
      <c r="G872" s="249">
        <v>45385</v>
      </c>
      <c r="H872" s="247" t="s">
        <v>16</v>
      </c>
      <c r="I872" s="250" t="s">
        <v>79</v>
      </c>
    </row>
    <row r="873" spans="1:9">
      <c r="A873" s="246">
        <v>869</v>
      </c>
      <c r="B873" s="247" t="s">
        <v>97</v>
      </c>
      <c r="C873" s="302" t="str">
        <f>"4960"</f>
        <v>4960</v>
      </c>
      <c r="D873" s="247" t="s">
        <v>13</v>
      </c>
      <c r="E873" s="248">
        <v>13</v>
      </c>
      <c r="F873" s="249">
        <v>39906</v>
      </c>
      <c r="G873" s="249">
        <v>45385</v>
      </c>
      <c r="H873" s="247" t="s">
        <v>16</v>
      </c>
      <c r="I873" s="250" t="s">
        <v>79</v>
      </c>
    </row>
    <row r="874" spans="1:9">
      <c r="A874" s="246">
        <v>870</v>
      </c>
      <c r="B874" s="247" t="s">
        <v>97</v>
      </c>
      <c r="C874" s="302" t="str">
        <f>"4961"</f>
        <v>4961</v>
      </c>
      <c r="D874" s="247" t="s">
        <v>13</v>
      </c>
      <c r="E874" s="248">
        <v>10</v>
      </c>
      <c r="F874" s="249">
        <v>39906</v>
      </c>
      <c r="G874" s="249">
        <v>45385</v>
      </c>
      <c r="H874" s="247" t="s">
        <v>16</v>
      </c>
      <c r="I874" s="250" t="s">
        <v>79</v>
      </c>
    </row>
    <row r="875" spans="1:9">
      <c r="A875" s="246">
        <v>871</v>
      </c>
      <c r="B875" s="247" t="s">
        <v>43</v>
      </c>
      <c r="C875" s="302" t="str">
        <f>"4962"</f>
        <v>4962</v>
      </c>
      <c r="D875" s="247" t="s">
        <v>13</v>
      </c>
      <c r="E875" s="248">
        <v>2</v>
      </c>
      <c r="F875" s="249">
        <v>40161</v>
      </c>
      <c r="G875" s="249">
        <v>45639</v>
      </c>
      <c r="H875" s="247" t="s">
        <v>16</v>
      </c>
      <c r="I875" s="250" t="s">
        <v>79</v>
      </c>
    </row>
    <row r="876" spans="1:9">
      <c r="A876" s="246">
        <v>872</v>
      </c>
      <c r="B876" s="247" t="s">
        <v>97</v>
      </c>
      <c r="C876" s="302" t="str">
        <f>"4963"</f>
        <v>4963</v>
      </c>
      <c r="D876" s="247" t="s">
        <v>13</v>
      </c>
      <c r="E876" s="248">
        <v>9</v>
      </c>
      <c r="F876" s="249">
        <v>39906</v>
      </c>
      <c r="G876" s="249">
        <v>45385</v>
      </c>
      <c r="H876" s="247" t="s">
        <v>16</v>
      </c>
      <c r="I876" s="250" t="s">
        <v>79</v>
      </c>
    </row>
    <row r="877" spans="1:9">
      <c r="A877" s="246">
        <v>873</v>
      </c>
      <c r="B877" s="247" t="s">
        <v>3430</v>
      </c>
      <c r="C877" s="302" t="str">
        <f>"4964"</f>
        <v>4964</v>
      </c>
      <c r="D877" s="247" t="s">
        <v>21</v>
      </c>
      <c r="E877" s="248">
        <v>5</v>
      </c>
      <c r="F877" s="249">
        <v>40764</v>
      </c>
      <c r="G877" s="249">
        <v>42590</v>
      </c>
      <c r="H877" s="247" t="s">
        <v>34</v>
      </c>
      <c r="I877" s="250" t="s">
        <v>437</v>
      </c>
    </row>
    <row r="878" spans="1:9">
      <c r="A878" s="246">
        <v>874</v>
      </c>
      <c r="B878" s="247" t="s">
        <v>3430</v>
      </c>
      <c r="C878" s="302" t="str">
        <f>"4965"</f>
        <v>4965</v>
      </c>
      <c r="D878" s="247" t="s">
        <v>21</v>
      </c>
      <c r="E878" s="248">
        <v>5</v>
      </c>
      <c r="F878" s="249">
        <v>40764</v>
      </c>
      <c r="G878" s="249">
        <v>42590</v>
      </c>
      <c r="H878" s="247" t="s">
        <v>219</v>
      </c>
      <c r="I878" s="250" t="s">
        <v>438</v>
      </c>
    </row>
    <row r="879" spans="1:9">
      <c r="A879" s="246">
        <v>875</v>
      </c>
      <c r="B879" s="247" t="s">
        <v>3430</v>
      </c>
      <c r="C879" s="302" t="str">
        <f>"4966"</f>
        <v>4966</v>
      </c>
      <c r="D879" s="247" t="s">
        <v>21</v>
      </c>
      <c r="E879" s="248">
        <v>5</v>
      </c>
      <c r="F879" s="249">
        <v>40764</v>
      </c>
      <c r="G879" s="249">
        <v>42590</v>
      </c>
      <c r="H879" s="247" t="s">
        <v>219</v>
      </c>
      <c r="I879" s="250" t="s">
        <v>438</v>
      </c>
    </row>
    <row r="880" spans="1:9">
      <c r="A880" s="246">
        <v>876</v>
      </c>
      <c r="B880" s="247" t="s">
        <v>3430</v>
      </c>
      <c r="C880" s="302" t="str">
        <f>"4967"</f>
        <v>4967</v>
      </c>
      <c r="D880" s="247" t="s">
        <v>21</v>
      </c>
      <c r="E880" s="248">
        <v>5</v>
      </c>
      <c r="F880" s="249">
        <v>40764</v>
      </c>
      <c r="G880" s="249">
        <v>42590</v>
      </c>
      <c r="H880" s="247" t="s">
        <v>34</v>
      </c>
      <c r="I880" s="250" t="s">
        <v>438</v>
      </c>
    </row>
    <row r="881" spans="1:9">
      <c r="A881" s="246">
        <v>877</v>
      </c>
      <c r="B881" s="247" t="s">
        <v>3430</v>
      </c>
      <c r="C881" s="302" t="str">
        <f>"4968"</f>
        <v>4968</v>
      </c>
      <c r="D881" s="247" t="s">
        <v>21</v>
      </c>
      <c r="E881" s="248">
        <v>5</v>
      </c>
      <c r="F881" s="249">
        <v>40764</v>
      </c>
      <c r="G881" s="249">
        <v>42590</v>
      </c>
      <c r="H881" s="247" t="s">
        <v>219</v>
      </c>
      <c r="I881" s="250" t="s">
        <v>438</v>
      </c>
    </row>
    <row r="882" spans="1:9">
      <c r="A882" s="246">
        <v>878</v>
      </c>
      <c r="B882" s="247" t="s">
        <v>3430</v>
      </c>
      <c r="C882" s="302" t="str">
        <f>"4969"</f>
        <v>4969</v>
      </c>
      <c r="D882" s="247" t="s">
        <v>21</v>
      </c>
      <c r="E882" s="248">
        <v>5</v>
      </c>
      <c r="F882" s="249">
        <v>40764</v>
      </c>
      <c r="G882" s="249">
        <v>42590</v>
      </c>
      <c r="H882" s="247" t="s">
        <v>219</v>
      </c>
      <c r="I882" s="250" t="s">
        <v>438</v>
      </c>
    </row>
    <row r="883" spans="1:9">
      <c r="A883" s="246">
        <v>879</v>
      </c>
      <c r="B883" s="247" t="s">
        <v>3430</v>
      </c>
      <c r="C883" s="302" t="str">
        <f>"4970"</f>
        <v>4970</v>
      </c>
      <c r="D883" s="247" t="s">
        <v>21</v>
      </c>
      <c r="E883" s="248">
        <v>5</v>
      </c>
      <c r="F883" s="249">
        <v>40764</v>
      </c>
      <c r="G883" s="249">
        <v>42590</v>
      </c>
      <c r="H883" s="247" t="s">
        <v>219</v>
      </c>
      <c r="I883" s="250" t="s">
        <v>438</v>
      </c>
    </row>
    <row r="884" spans="1:9">
      <c r="A884" s="246">
        <v>880</v>
      </c>
      <c r="B884" s="247" t="s">
        <v>3430</v>
      </c>
      <c r="C884" s="302" t="str">
        <f>"4971"</f>
        <v>4971</v>
      </c>
      <c r="D884" s="247" t="s">
        <v>21</v>
      </c>
      <c r="E884" s="248">
        <v>5</v>
      </c>
      <c r="F884" s="249">
        <v>40764</v>
      </c>
      <c r="G884" s="249">
        <v>42590</v>
      </c>
      <c r="H884" s="247" t="s">
        <v>34</v>
      </c>
      <c r="I884" s="250" t="s">
        <v>438</v>
      </c>
    </row>
    <row r="885" spans="1:9">
      <c r="A885" s="246">
        <v>881</v>
      </c>
      <c r="B885" s="247" t="s">
        <v>3430</v>
      </c>
      <c r="C885" s="302" t="str">
        <f>"4972"</f>
        <v>4972</v>
      </c>
      <c r="D885" s="247" t="s">
        <v>21</v>
      </c>
      <c r="E885" s="248">
        <v>5</v>
      </c>
      <c r="F885" s="249">
        <v>40764</v>
      </c>
      <c r="G885" s="249">
        <v>42590</v>
      </c>
      <c r="H885" s="247" t="s">
        <v>34</v>
      </c>
      <c r="I885" s="250" t="s">
        <v>437</v>
      </c>
    </row>
    <row r="886" spans="1:9">
      <c r="A886" s="246">
        <v>882</v>
      </c>
      <c r="B886" s="247" t="s">
        <v>3431</v>
      </c>
      <c r="C886" s="302" t="str">
        <f>"4980"</f>
        <v>4980</v>
      </c>
      <c r="D886" s="247" t="s">
        <v>18</v>
      </c>
      <c r="E886" s="248">
        <v>8</v>
      </c>
      <c r="F886" s="249">
        <v>39017</v>
      </c>
      <c r="G886" s="249">
        <v>44494</v>
      </c>
      <c r="H886" s="247" t="s">
        <v>31</v>
      </c>
      <c r="I886" s="250" t="s">
        <v>3351</v>
      </c>
    </row>
    <row r="887" spans="1:9">
      <c r="A887" s="246">
        <v>883</v>
      </c>
      <c r="B887" s="247" t="s">
        <v>133</v>
      </c>
      <c r="C887" s="302" t="str">
        <f>"4981"</f>
        <v>4981</v>
      </c>
      <c r="D887" s="247" t="s">
        <v>13</v>
      </c>
      <c r="E887" s="248">
        <v>57</v>
      </c>
      <c r="F887" s="249">
        <v>40568</v>
      </c>
      <c r="G887" s="249">
        <v>51525</v>
      </c>
      <c r="H887" s="247" t="s">
        <v>14</v>
      </c>
      <c r="I887" s="250" t="s">
        <v>79</v>
      </c>
    </row>
    <row r="888" spans="1:9">
      <c r="A888" s="246">
        <v>884</v>
      </c>
      <c r="B888" s="247" t="s">
        <v>3431</v>
      </c>
      <c r="C888" s="302" t="str">
        <f>"4985"</f>
        <v>4985</v>
      </c>
      <c r="D888" s="247" t="s">
        <v>18</v>
      </c>
      <c r="E888" s="248">
        <v>10</v>
      </c>
      <c r="F888" s="249">
        <v>39017</v>
      </c>
      <c r="G888" s="249">
        <v>44495</v>
      </c>
      <c r="H888" s="247" t="s">
        <v>31</v>
      </c>
      <c r="I888" s="250" t="s">
        <v>3351</v>
      </c>
    </row>
    <row r="889" spans="1:9">
      <c r="A889" s="246">
        <v>885</v>
      </c>
      <c r="B889" s="247" t="s">
        <v>3431</v>
      </c>
      <c r="C889" s="302" t="str">
        <f>"4986"</f>
        <v>4986</v>
      </c>
      <c r="D889" s="247" t="s">
        <v>18</v>
      </c>
      <c r="E889" s="248">
        <v>16</v>
      </c>
      <c r="F889" s="249">
        <v>39017</v>
      </c>
      <c r="G889" s="249">
        <v>44495</v>
      </c>
      <c r="H889" s="247" t="s">
        <v>31</v>
      </c>
      <c r="I889" s="250" t="s">
        <v>3351</v>
      </c>
    </row>
    <row r="890" spans="1:9">
      <c r="A890" s="246">
        <v>886</v>
      </c>
      <c r="B890" s="247" t="s">
        <v>3431</v>
      </c>
      <c r="C890" s="302" t="str">
        <f>"4987"</f>
        <v>4987</v>
      </c>
      <c r="D890" s="247" t="s">
        <v>18</v>
      </c>
      <c r="E890" s="248">
        <v>18</v>
      </c>
      <c r="F890" s="249">
        <v>39017</v>
      </c>
      <c r="G890" s="249">
        <v>44495</v>
      </c>
      <c r="H890" s="247" t="s">
        <v>31</v>
      </c>
      <c r="I890" s="250" t="s">
        <v>3351</v>
      </c>
    </row>
    <row r="891" spans="1:9">
      <c r="A891" s="246">
        <v>887</v>
      </c>
      <c r="B891" s="247" t="s">
        <v>3431</v>
      </c>
      <c r="C891" s="302" t="str">
        <f>"4988"</f>
        <v>4988</v>
      </c>
      <c r="D891" s="247" t="s">
        <v>18</v>
      </c>
      <c r="E891" s="248">
        <v>18</v>
      </c>
      <c r="F891" s="249">
        <v>39017</v>
      </c>
      <c r="G891" s="249">
        <v>44495</v>
      </c>
      <c r="H891" s="247" t="s">
        <v>31</v>
      </c>
      <c r="I891" s="250" t="s">
        <v>3351</v>
      </c>
    </row>
    <row r="892" spans="1:9">
      <c r="A892" s="246">
        <v>888</v>
      </c>
      <c r="B892" s="247" t="s">
        <v>3431</v>
      </c>
      <c r="C892" s="302" t="str">
        <f>"4989"</f>
        <v>4989</v>
      </c>
      <c r="D892" s="247" t="s">
        <v>18</v>
      </c>
      <c r="E892" s="248">
        <v>18</v>
      </c>
      <c r="F892" s="249">
        <v>39017</v>
      </c>
      <c r="G892" s="249">
        <v>44495</v>
      </c>
      <c r="H892" s="247" t="s">
        <v>31</v>
      </c>
      <c r="I892" s="250" t="s">
        <v>3351</v>
      </c>
    </row>
    <row r="893" spans="1:9">
      <c r="A893" s="246">
        <v>889</v>
      </c>
      <c r="B893" s="247" t="s">
        <v>3432</v>
      </c>
      <c r="C893" s="302" t="str">
        <f>"4993"</f>
        <v>4993</v>
      </c>
      <c r="D893" s="247" t="s">
        <v>18</v>
      </c>
      <c r="E893" s="248">
        <v>36</v>
      </c>
      <c r="F893" s="249">
        <v>39017</v>
      </c>
      <c r="G893" s="249">
        <v>40842</v>
      </c>
      <c r="H893" s="247" t="s">
        <v>24</v>
      </c>
      <c r="I893" s="250" t="s">
        <v>3386</v>
      </c>
    </row>
    <row r="894" spans="1:9">
      <c r="A894" s="246">
        <v>890</v>
      </c>
      <c r="B894" s="247" t="s">
        <v>3432</v>
      </c>
      <c r="C894" s="302" t="str">
        <f>"4994"</f>
        <v>4994</v>
      </c>
      <c r="D894" s="247" t="s">
        <v>18</v>
      </c>
      <c r="E894" s="248">
        <v>36</v>
      </c>
      <c r="F894" s="249">
        <v>39017</v>
      </c>
      <c r="G894" s="249">
        <v>40842</v>
      </c>
      <c r="H894" s="247" t="s">
        <v>24</v>
      </c>
      <c r="I894" s="250" t="s">
        <v>3386</v>
      </c>
    </row>
    <row r="895" spans="1:9">
      <c r="A895" s="246">
        <v>891</v>
      </c>
      <c r="B895" s="247" t="s">
        <v>3432</v>
      </c>
      <c r="C895" s="302" t="str">
        <f>"4995"</f>
        <v>4995</v>
      </c>
      <c r="D895" s="247" t="s">
        <v>18</v>
      </c>
      <c r="E895" s="248">
        <v>36</v>
      </c>
      <c r="F895" s="249">
        <v>39017</v>
      </c>
      <c r="G895" s="249">
        <v>40842</v>
      </c>
      <c r="H895" s="247" t="s">
        <v>25</v>
      </c>
      <c r="I895" s="250" t="s">
        <v>3386</v>
      </c>
    </row>
    <row r="896" spans="1:9">
      <c r="A896" s="246">
        <v>892</v>
      </c>
      <c r="B896" s="247" t="s">
        <v>3432</v>
      </c>
      <c r="C896" s="302" t="str">
        <f>"4996"</f>
        <v>4996</v>
      </c>
      <c r="D896" s="247" t="s">
        <v>18</v>
      </c>
      <c r="E896" s="248">
        <v>36</v>
      </c>
      <c r="F896" s="249">
        <v>39017</v>
      </c>
      <c r="G896" s="249">
        <v>40842</v>
      </c>
      <c r="H896" s="247" t="s">
        <v>25</v>
      </c>
      <c r="I896" s="250" t="s">
        <v>3386</v>
      </c>
    </row>
    <row r="897" spans="1:9">
      <c r="A897" s="246">
        <v>893</v>
      </c>
      <c r="B897" s="247" t="s">
        <v>3432</v>
      </c>
      <c r="C897" s="302" t="str">
        <f>"4997"</f>
        <v>4997</v>
      </c>
      <c r="D897" s="247" t="s">
        <v>18</v>
      </c>
      <c r="E897" s="248">
        <v>36</v>
      </c>
      <c r="F897" s="249">
        <v>39017</v>
      </c>
      <c r="G897" s="249">
        <v>40842</v>
      </c>
      <c r="H897" s="247" t="s">
        <v>24</v>
      </c>
      <c r="I897" s="250" t="s">
        <v>3386</v>
      </c>
    </row>
    <row r="898" spans="1:9">
      <c r="A898" s="246">
        <v>894</v>
      </c>
      <c r="B898" s="247" t="s">
        <v>3432</v>
      </c>
      <c r="C898" s="302" t="str">
        <f>"4998"</f>
        <v>4998</v>
      </c>
      <c r="D898" s="247" t="s">
        <v>18</v>
      </c>
      <c r="E898" s="248">
        <v>36</v>
      </c>
      <c r="F898" s="249">
        <v>39017</v>
      </c>
      <c r="G898" s="249">
        <v>40842</v>
      </c>
      <c r="H898" s="247" t="s">
        <v>24</v>
      </c>
      <c r="I898" s="250" t="s">
        <v>3386</v>
      </c>
    </row>
    <row r="899" spans="1:9">
      <c r="A899" s="246">
        <v>895</v>
      </c>
      <c r="B899" s="247" t="s">
        <v>3432</v>
      </c>
      <c r="C899" s="302" t="str">
        <f>"5005"</f>
        <v>5005</v>
      </c>
      <c r="D899" s="247" t="s">
        <v>18</v>
      </c>
      <c r="E899" s="248">
        <v>36</v>
      </c>
      <c r="F899" s="249">
        <v>39017</v>
      </c>
      <c r="G899" s="249">
        <v>40842</v>
      </c>
      <c r="H899" s="247" t="s">
        <v>24</v>
      </c>
      <c r="I899" s="250" t="s">
        <v>3386</v>
      </c>
    </row>
    <row r="900" spans="1:9">
      <c r="A900" s="246">
        <v>896</v>
      </c>
      <c r="B900" s="247" t="s">
        <v>3432</v>
      </c>
      <c r="C900" s="302" t="str">
        <f>"5006"</f>
        <v>5006</v>
      </c>
      <c r="D900" s="247" t="s">
        <v>18</v>
      </c>
      <c r="E900" s="248">
        <v>36</v>
      </c>
      <c r="F900" s="249">
        <v>39017</v>
      </c>
      <c r="G900" s="249">
        <v>40842</v>
      </c>
      <c r="H900" s="247" t="s">
        <v>24</v>
      </c>
      <c r="I900" s="250" t="s">
        <v>3386</v>
      </c>
    </row>
    <row r="901" spans="1:9">
      <c r="A901" s="246">
        <v>897</v>
      </c>
      <c r="B901" s="247" t="s">
        <v>3432</v>
      </c>
      <c r="C901" s="302" t="str">
        <f>"5007"</f>
        <v>5007</v>
      </c>
      <c r="D901" s="247" t="s">
        <v>18</v>
      </c>
      <c r="E901" s="248">
        <v>36</v>
      </c>
      <c r="F901" s="249">
        <v>39017</v>
      </c>
      <c r="G901" s="249">
        <v>40842</v>
      </c>
      <c r="H901" s="247" t="s">
        <v>25</v>
      </c>
      <c r="I901" s="250" t="s">
        <v>3386</v>
      </c>
    </row>
    <row r="902" spans="1:9">
      <c r="A902" s="246">
        <v>898</v>
      </c>
      <c r="B902" s="247" t="s">
        <v>3432</v>
      </c>
      <c r="C902" s="302" t="str">
        <f>"5008"</f>
        <v>5008</v>
      </c>
      <c r="D902" s="247" t="s">
        <v>18</v>
      </c>
      <c r="E902" s="248">
        <v>36</v>
      </c>
      <c r="F902" s="249">
        <v>39017</v>
      </c>
      <c r="G902" s="249">
        <v>40842</v>
      </c>
      <c r="H902" s="247" t="s">
        <v>24</v>
      </c>
      <c r="I902" s="250" t="s">
        <v>3386</v>
      </c>
    </row>
    <row r="903" spans="1:9">
      <c r="A903" s="246">
        <v>899</v>
      </c>
      <c r="B903" s="247" t="s">
        <v>3432</v>
      </c>
      <c r="C903" s="302" t="str">
        <f>"5009"</f>
        <v>5009</v>
      </c>
      <c r="D903" s="247" t="s">
        <v>18</v>
      </c>
      <c r="E903" s="248">
        <v>36</v>
      </c>
      <c r="F903" s="249">
        <v>39017</v>
      </c>
      <c r="G903" s="249">
        <v>40842</v>
      </c>
      <c r="H903" s="247" t="s">
        <v>24</v>
      </c>
      <c r="I903" s="250" t="s">
        <v>3386</v>
      </c>
    </row>
    <row r="904" spans="1:9">
      <c r="A904" s="246">
        <v>900</v>
      </c>
      <c r="B904" s="247" t="s">
        <v>3432</v>
      </c>
      <c r="C904" s="302" t="str">
        <f>"5010"</f>
        <v>5010</v>
      </c>
      <c r="D904" s="247" t="s">
        <v>18</v>
      </c>
      <c r="E904" s="248">
        <v>36</v>
      </c>
      <c r="F904" s="249">
        <v>39017</v>
      </c>
      <c r="G904" s="249">
        <v>40842</v>
      </c>
      <c r="H904" s="247" t="s">
        <v>24</v>
      </c>
      <c r="I904" s="250" t="s">
        <v>3386</v>
      </c>
    </row>
    <row r="905" spans="1:9">
      <c r="A905" s="246">
        <v>901</v>
      </c>
      <c r="B905" s="247" t="s">
        <v>3432</v>
      </c>
      <c r="C905" s="302" t="str">
        <f>"5020"</f>
        <v>5020</v>
      </c>
      <c r="D905" s="247" t="s">
        <v>18</v>
      </c>
      <c r="E905" s="248">
        <v>36</v>
      </c>
      <c r="F905" s="249">
        <v>39017</v>
      </c>
      <c r="G905" s="249">
        <v>40842</v>
      </c>
      <c r="H905" s="247" t="s">
        <v>24</v>
      </c>
      <c r="I905" s="250" t="s">
        <v>3386</v>
      </c>
    </row>
    <row r="906" spans="1:9">
      <c r="A906" s="246">
        <v>902</v>
      </c>
      <c r="B906" s="247" t="s">
        <v>3432</v>
      </c>
      <c r="C906" s="302" t="str">
        <f>"5021"</f>
        <v>5021</v>
      </c>
      <c r="D906" s="247" t="s">
        <v>18</v>
      </c>
      <c r="E906" s="248">
        <v>36</v>
      </c>
      <c r="F906" s="249">
        <v>39017</v>
      </c>
      <c r="G906" s="249">
        <v>40842</v>
      </c>
      <c r="H906" s="247" t="s">
        <v>24</v>
      </c>
      <c r="I906" s="250" t="s">
        <v>3386</v>
      </c>
    </row>
    <row r="907" spans="1:9">
      <c r="A907" s="246">
        <v>903</v>
      </c>
      <c r="B907" s="247" t="s">
        <v>3432</v>
      </c>
      <c r="C907" s="302" t="str">
        <f>"5022"</f>
        <v>5022</v>
      </c>
      <c r="D907" s="247" t="s">
        <v>18</v>
      </c>
      <c r="E907" s="248">
        <v>36</v>
      </c>
      <c r="F907" s="249">
        <v>39017</v>
      </c>
      <c r="G907" s="249">
        <v>40842</v>
      </c>
      <c r="H907" s="247" t="s">
        <v>24</v>
      </c>
      <c r="I907" s="250" t="s">
        <v>3386</v>
      </c>
    </row>
    <row r="908" spans="1:9">
      <c r="A908" s="246">
        <v>904</v>
      </c>
      <c r="B908" s="247" t="s">
        <v>3431</v>
      </c>
      <c r="C908" s="302" t="str">
        <f>"5023"</f>
        <v>5023</v>
      </c>
      <c r="D908" s="247" t="s">
        <v>18</v>
      </c>
      <c r="E908" s="248">
        <v>30</v>
      </c>
      <c r="F908" s="249">
        <v>39017</v>
      </c>
      <c r="G908" s="249">
        <v>44495</v>
      </c>
      <c r="H908" s="247" t="s">
        <v>31</v>
      </c>
      <c r="I908" s="250" t="s">
        <v>3351</v>
      </c>
    </row>
    <row r="909" spans="1:9">
      <c r="A909" s="246">
        <v>905</v>
      </c>
      <c r="B909" s="247" t="s">
        <v>3431</v>
      </c>
      <c r="C909" s="302" t="str">
        <f>"5024"</f>
        <v>5024</v>
      </c>
      <c r="D909" s="247" t="s">
        <v>18</v>
      </c>
      <c r="E909" s="248">
        <v>24</v>
      </c>
      <c r="F909" s="249">
        <v>39017</v>
      </c>
      <c r="G909" s="249">
        <v>44495</v>
      </c>
      <c r="H909" s="247" t="s">
        <v>31</v>
      </c>
      <c r="I909" s="250" t="s">
        <v>3351</v>
      </c>
    </row>
    <row r="910" spans="1:9">
      <c r="A910" s="246">
        <v>906</v>
      </c>
      <c r="B910" s="247" t="s">
        <v>3433</v>
      </c>
      <c r="C910" s="302" t="str">
        <f>"5034"</f>
        <v>5034</v>
      </c>
      <c r="D910" s="247" t="s">
        <v>30</v>
      </c>
      <c r="E910" s="248">
        <v>48</v>
      </c>
      <c r="F910" s="249">
        <v>43711</v>
      </c>
      <c r="G910" s="249">
        <v>45537</v>
      </c>
      <c r="H910" s="247" t="s">
        <v>14</v>
      </c>
      <c r="I910" s="250" t="s">
        <v>438</v>
      </c>
    </row>
    <row r="911" spans="1:9">
      <c r="A911" s="246">
        <v>907</v>
      </c>
      <c r="B911" s="247" t="s">
        <v>151</v>
      </c>
      <c r="C911" s="302" t="str">
        <f>"5035"</f>
        <v>5035</v>
      </c>
      <c r="D911" s="247" t="s">
        <v>18</v>
      </c>
      <c r="E911" s="248">
        <v>18</v>
      </c>
      <c r="F911" s="249">
        <v>38881</v>
      </c>
      <c r="G911" s="249">
        <v>40706</v>
      </c>
      <c r="H911" s="247" t="s">
        <v>14</v>
      </c>
      <c r="I911" s="250" t="s">
        <v>3351</v>
      </c>
    </row>
    <row r="912" spans="1:9">
      <c r="A912" s="246">
        <v>908</v>
      </c>
      <c r="B912" s="247" t="s">
        <v>29</v>
      </c>
      <c r="C912" s="302" t="str">
        <f>"5036"</f>
        <v>5036</v>
      </c>
      <c r="D912" s="247" t="s">
        <v>30</v>
      </c>
      <c r="E912" s="248">
        <v>57</v>
      </c>
      <c r="F912" s="249">
        <v>43567</v>
      </c>
      <c r="G912" s="249">
        <v>45393</v>
      </c>
      <c r="H912" s="247" t="s">
        <v>14</v>
      </c>
      <c r="I912" s="250" t="s">
        <v>3386</v>
      </c>
    </row>
    <row r="913" spans="1:9">
      <c r="A913" s="246">
        <v>909</v>
      </c>
      <c r="B913" s="247" t="s">
        <v>3433</v>
      </c>
      <c r="C913" s="302" t="str">
        <f>"5038"</f>
        <v>5038</v>
      </c>
      <c r="D913" s="247" t="s">
        <v>18</v>
      </c>
      <c r="E913" s="248">
        <v>10</v>
      </c>
      <c r="F913" s="249">
        <v>40707</v>
      </c>
      <c r="G913" s="249">
        <v>42533</v>
      </c>
      <c r="H913" s="247" t="s">
        <v>14</v>
      </c>
      <c r="I913" s="250" t="s">
        <v>438</v>
      </c>
    </row>
    <row r="914" spans="1:9">
      <c r="A914" s="246">
        <v>910</v>
      </c>
      <c r="B914" s="247" t="s">
        <v>29</v>
      </c>
      <c r="C914" s="302" t="str">
        <f>"5040"</f>
        <v>5040</v>
      </c>
      <c r="D914" s="247" t="s">
        <v>30</v>
      </c>
      <c r="E914" s="248">
        <v>13</v>
      </c>
      <c r="F914" s="249">
        <v>43567</v>
      </c>
      <c r="G914" s="249">
        <v>45393</v>
      </c>
      <c r="H914" s="247" t="s">
        <v>14</v>
      </c>
      <c r="I914" s="250" t="s">
        <v>3386</v>
      </c>
    </row>
    <row r="915" spans="1:9">
      <c r="A915" s="246">
        <v>911</v>
      </c>
      <c r="B915" s="247" t="s">
        <v>3433</v>
      </c>
      <c r="C915" s="302" t="str">
        <f>"5044"</f>
        <v>5044</v>
      </c>
      <c r="D915" s="247" t="s">
        <v>30</v>
      </c>
      <c r="E915" s="248">
        <v>12</v>
      </c>
      <c r="F915" s="249">
        <v>43567</v>
      </c>
      <c r="G915" s="249">
        <v>45393</v>
      </c>
      <c r="H915" s="247" t="s">
        <v>14</v>
      </c>
      <c r="I915" s="250" t="s">
        <v>438</v>
      </c>
    </row>
    <row r="916" spans="1:9">
      <c r="A916" s="246">
        <v>912</v>
      </c>
      <c r="B916" s="247" t="s">
        <v>134</v>
      </c>
      <c r="C916" s="302" t="str">
        <f>"5046"</f>
        <v>5046</v>
      </c>
      <c r="D916" s="247" t="s">
        <v>13</v>
      </c>
      <c r="E916" s="248">
        <v>213</v>
      </c>
      <c r="F916" s="249">
        <v>41771</v>
      </c>
      <c r="G916" s="249">
        <v>47249</v>
      </c>
      <c r="H916" s="247" t="s">
        <v>32</v>
      </c>
      <c r="I916" s="250" t="s">
        <v>79</v>
      </c>
    </row>
    <row r="917" spans="1:9">
      <c r="A917" s="246">
        <v>913</v>
      </c>
      <c r="B917" s="247" t="s">
        <v>3434</v>
      </c>
      <c r="C917" s="302" t="str">
        <f>"5047"</f>
        <v>5047</v>
      </c>
      <c r="D917" s="247" t="s">
        <v>13</v>
      </c>
      <c r="E917" s="248">
        <v>178</v>
      </c>
      <c r="F917" s="249">
        <v>39214</v>
      </c>
      <c r="G917" s="249">
        <v>41770</v>
      </c>
      <c r="H917" s="247" t="s">
        <v>32</v>
      </c>
      <c r="I917" s="250" t="s">
        <v>3359</v>
      </c>
    </row>
    <row r="918" spans="1:9">
      <c r="A918" s="246">
        <v>914</v>
      </c>
      <c r="B918" s="247" t="s">
        <v>134</v>
      </c>
      <c r="C918" s="302" t="str">
        <f>"5049"</f>
        <v>5049</v>
      </c>
      <c r="D918" s="247" t="s">
        <v>13</v>
      </c>
      <c r="E918" s="248">
        <v>369</v>
      </c>
      <c r="F918" s="249">
        <v>41041</v>
      </c>
      <c r="G918" s="249">
        <v>47249</v>
      </c>
      <c r="H918" s="247" t="s">
        <v>32</v>
      </c>
      <c r="I918" s="250" t="s">
        <v>79</v>
      </c>
    </row>
    <row r="919" spans="1:9">
      <c r="A919" s="246">
        <v>915</v>
      </c>
      <c r="B919" s="247" t="s">
        <v>135</v>
      </c>
      <c r="C919" s="302" t="str">
        <f>"5052"</f>
        <v>5052</v>
      </c>
      <c r="D919" s="247" t="s">
        <v>13</v>
      </c>
      <c r="E919" s="248">
        <v>356</v>
      </c>
      <c r="F919" s="249">
        <v>41771</v>
      </c>
      <c r="G919" s="249">
        <v>47249</v>
      </c>
      <c r="H919" s="247" t="s">
        <v>32</v>
      </c>
      <c r="I919" s="250" t="s">
        <v>79</v>
      </c>
    </row>
    <row r="920" spans="1:9">
      <c r="A920" s="246">
        <v>916</v>
      </c>
      <c r="B920" s="247" t="s">
        <v>3434</v>
      </c>
      <c r="C920" s="302" t="str">
        <f>"5057"</f>
        <v>5057</v>
      </c>
      <c r="D920" s="247" t="s">
        <v>13</v>
      </c>
      <c r="E920" s="248">
        <v>417</v>
      </c>
      <c r="F920" s="249">
        <v>41771</v>
      </c>
      <c r="G920" s="249">
        <v>47249</v>
      </c>
      <c r="H920" s="247" t="s">
        <v>32</v>
      </c>
      <c r="I920" s="250" t="s">
        <v>3359</v>
      </c>
    </row>
    <row r="921" spans="1:9">
      <c r="A921" s="246">
        <v>917</v>
      </c>
      <c r="B921" s="247" t="s">
        <v>135</v>
      </c>
      <c r="C921" s="302" t="str">
        <f>"5073"</f>
        <v>5073</v>
      </c>
      <c r="D921" s="247" t="s">
        <v>13</v>
      </c>
      <c r="E921" s="248">
        <v>470</v>
      </c>
      <c r="F921" s="249">
        <v>41771</v>
      </c>
      <c r="G921" s="249">
        <v>47249</v>
      </c>
      <c r="H921" s="247" t="s">
        <v>32</v>
      </c>
      <c r="I921" s="250" t="s">
        <v>79</v>
      </c>
    </row>
    <row r="922" spans="1:9">
      <c r="A922" s="246">
        <v>918</v>
      </c>
      <c r="B922" s="247" t="s">
        <v>136</v>
      </c>
      <c r="C922" s="302" t="str">
        <f>"5077"</f>
        <v>5077</v>
      </c>
      <c r="D922" s="247" t="s">
        <v>13</v>
      </c>
      <c r="E922" s="248">
        <v>471</v>
      </c>
      <c r="F922" s="249">
        <v>39214</v>
      </c>
      <c r="G922" s="249">
        <v>41770</v>
      </c>
      <c r="H922" s="247" t="s">
        <v>31</v>
      </c>
      <c r="I922" s="250" t="s">
        <v>79</v>
      </c>
    </row>
    <row r="923" spans="1:9">
      <c r="A923" s="246">
        <v>919</v>
      </c>
      <c r="B923" s="247" t="s">
        <v>137</v>
      </c>
      <c r="C923" s="302" t="str">
        <f>"5078"</f>
        <v>5078</v>
      </c>
      <c r="D923" s="247" t="s">
        <v>13</v>
      </c>
      <c r="E923" s="248">
        <v>417</v>
      </c>
      <c r="F923" s="249">
        <v>41792</v>
      </c>
      <c r="G923" s="249">
        <v>47270</v>
      </c>
      <c r="H923" s="247" t="s">
        <v>31</v>
      </c>
      <c r="I923" s="250" t="s">
        <v>79</v>
      </c>
    </row>
    <row r="924" spans="1:9">
      <c r="A924" s="246">
        <v>920</v>
      </c>
      <c r="B924" s="247" t="s">
        <v>137</v>
      </c>
      <c r="C924" s="302" t="str">
        <f>"5079"</f>
        <v>5079</v>
      </c>
      <c r="D924" s="247" t="s">
        <v>13</v>
      </c>
      <c r="E924" s="248">
        <v>461</v>
      </c>
      <c r="F924" s="249">
        <v>42004</v>
      </c>
      <c r="G924" s="249">
        <v>47482</v>
      </c>
      <c r="H924" s="247" t="s">
        <v>31</v>
      </c>
      <c r="I924" s="250" t="s">
        <v>79</v>
      </c>
    </row>
    <row r="925" spans="1:9">
      <c r="A925" s="246">
        <v>921</v>
      </c>
      <c r="B925" s="247" t="s">
        <v>136</v>
      </c>
      <c r="C925" s="302" t="str">
        <f>"5080"</f>
        <v>5080</v>
      </c>
      <c r="D925" s="247" t="s">
        <v>13</v>
      </c>
      <c r="E925" s="248">
        <v>471</v>
      </c>
      <c r="F925" s="249">
        <v>39447</v>
      </c>
      <c r="G925" s="249">
        <v>42003</v>
      </c>
      <c r="H925" s="247" t="s">
        <v>31</v>
      </c>
      <c r="I925" s="250" t="s">
        <v>438</v>
      </c>
    </row>
    <row r="926" spans="1:9">
      <c r="A926" s="246">
        <v>922</v>
      </c>
      <c r="B926" s="247" t="s">
        <v>137</v>
      </c>
      <c r="C926" s="302" t="str">
        <f>"5081"</f>
        <v>5081</v>
      </c>
      <c r="D926" s="247" t="s">
        <v>13</v>
      </c>
      <c r="E926" s="248">
        <v>385</v>
      </c>
      <c r="F926" s="249">
        <v>42004</v>
      </c>
      <c r="G926" s="249">
        <v>47482</v>
      </c>
      <c r="H926" s="247" t="s">
        <v>31</v>
      </c>
      <c r="I926" s="250" t="s">
        <v>79</v>
      </c>
    </row>
    <row r="927" spans="1:9">
      <c r="A927" s="246">
        <v>923</v>
      </c>
      <c r="B927" s="247" t="s">
        <v>136</v>
      </c>
      <c r="C927" s="302" t="str">
        <f>"5082"</f>
        <v>5082</v>
      </c>
      <c r="D927" s="247" t="s">
        <v>13</v>
      </c>
      <c r="E927" s="248">
        <v>436</v>
      </c>
      <c r="F927" s="249">
        <v>39447</v>
      </c>
      <c r="G927" s="249">
        <v>42003</v>
      </c>
      <c r="H927" s="247" t="s">
        <v>31</v>
      </c>
      <c r="I927" s="250" t="s">
        <v>438</v>
      </c>
    </row>
    <row r="928" spans="1:9">
      <c r="A928" s="246">
        <v>924</v>
      </c>
      <c r="B928" s="247" t="s">
        <v>136</v>
      </c>
      <c r="C928" s="302" t="str">
        <f>"5083"</f>
        <v>5083</v>
      </c>
      <c r="D928" s="247" t="s">
        <v>13</v>
      </c>
      <c r="E928" s="248">
        <v>471</v>
      </c>
      <c r="F928" s="249">
        <v>39447</v>
      </c>
      <c r="G928" s="249">
        <v>42003</v>
      </c>
      <c r="H928" s="247" t="s">
        <v>31</v>
      </c>
      <c r="I928" s="250" t="s">
        <v>438</v>
      </c>
    </row>
    <row r="929" spans="1:9">
      <c r="A929" s="246">
        <v>925</v>
      </c>
      <c r="B929" s="247" t="s">
        <v>136</v>
      </c>
      <c r="C929" s="302" t="str">
        <f>"5084"</f>
        <v>5084</v>
      </c>
      <c r="D929" s="247" t="s">
        <v>13</v>
      </c>
      <c r="E929" s="248">
        <v>471</v>
      </c>
      <c r="F929" s="249">
        <v>39447</v>
      </c>
      <c r="G929" s="249">
        <v>42003</v>
      </c>
      <c r="H929" s="247" t="s">
        <v>31</v>
      </c>
      <c r="I929" s="250" t="s">
        <v>438</v>
      </c>
    </row>
    <row r="930" spans="1:9">
      <c r="A930" s="246">
        <v>926</v>
      </c>
      <c r="B930" s="247" t="s">
        <v>136</v>
      </c>
      <c r="C930" s="302" t="str">
        <f>"5086"</f>
        <v>5086</v>
      </c>
      <c r="D930" s="247" t="s">
        <v>13</v>
      </c>
      <c r="E930" s="248">
        <v>379</v>
      </c>
      <c r="F930" s="249">
        <v>39603</v>
      </c>
      <c r="G930" s="249">
        <v>42158</v>
      </c>
      <c r="H930" s="247" t="s">
        <v>32</v>
      </c>
      <c r="I930" s="250" t="s">
        <v>437</v>
      </c>
    </row>
    <row r="931" spans="1:9">
      <c r="A931" s="246">
        <v>927</v>
      </c>
      <c r="B931" s="247" t="s">
        <v>135</v>
      </c>
      <c r="C931" s="302" t="str">
        <f>"5088"</f>
        <v>5088</v>
      </c>
      <c r="D931" s="247" t="s">
        <v>13</v>
      </c>
      <c r="E931" s="248">
        <v>344</v>
      </c>
      <c r="F931" s="249">
        <v>42159</v>
      </c>
      <c r="G931" s="249">
        <v>47637</v>
      </c>
      <c r="H931" s="247" t="s">
        <v>32</v>
      </c>
      <c r="I931" s="250" t="s">
        <v>79</v>
      </c>
    </row>
    <row r="932" spans="1:9">
      <c r="A932" s="246">
        <v>928</v>
      </c>
      <c r="B932" s="247" t="s">
        <v>519</v>
      </c>
      <c r="C932" s="302" t="str">
        <f>"5105"</f>
        <v>5105</v>
      </c>
      <c r="D932" s="247" t="s">
        <v>13</v>
      </c>
      <c r="E932" s="248">
        <v>462</v>
      </c>
      <c r="F932" s="249">
        <v>42004</v>
      </c>
      <c r="G932" s="249">
        <v>47482</v>
      </c>
      <c r="H932" s="247" t="s">
        <v>31</v>
      </c>
      <c r="I932" s="250" t="s">
        <v>3359</v>
      </c>
    </row>
    <row r="933" spans="1:9">
      <c r="A933" s="246">
        <v>929</v>
      </c>
      <c r="B933" s="247" t="s">
        <v>519</v>
      </c>
      <c r="C933" s="302" t="str">
        <f>"5106"</f>
        <v>5106</v>
      </c>
      <c r="D933" s="247" t="s">
        <v>13</v>
      </c>
      <c r="E933" s="248">
        <v>217</v>
      </c>
      <c r="F933" s="249">
        <v>42585</v>
      </c>
      <c r="G933" s="249">
        <v>48062</v>
      </c>
      <c r="H933" s="247" t="s">
        <v>31</v>
      </c>
      <c r="I933" s="250" t="s">
        <v>3359</v>
      </c>
    </row>
    <row r="934" spans="1:9">
      <c r="A934" s="246">
        <v>930</v>
      </c>
      <c r="B934" s="247" t="s">
        <v>519</v>
      </c>
      <c r="C934" s="302" t="str">
        <f>"5108"</f>
        <v>5108</v>
      </c>
      <c r="D934" s="247" t="s">
        <v>13</v>
      </c>
      <c r="E934" s="248">
        <v>471</v>
      </c>
      <c r="F934" s="249">
        <v>42004</v>
      </c>
      <c r="G934" s="249">
        <v>47482</v>
      </c>
      <c r="H934" s="247" t="s">
        <v>31</v>
      </c>
      <c r="I934" s="250" t="s">
        <v>3359</v>
      </c>
    </row>
    <row r="935" spans="1:9">
      <c r="A935" s="246">
        <v>931</v>
      </c>
      <c r="B935" s="247" t="s">
        <v>136</v>
      </c>
      <c r="C935" s="302" t="str">
        <f>"5110"</f>
        <v>5110</v>
      </c>
      <c r="D935" s="247" t="s">
        <v>13</v>
      </c>
      <c r="E935" s="248">
        <v>133</v>
      </c>
      <c r="F935" s="249">
        <v>39447</v>
      </c>
      <c r="G935" s="249">
        <v>42003</v>
      </c>
      <c r="H935" s="247" t="s">
        <v>31</v>
      </c>
      <c r="I935" s="250" t="s">
        <v>438</v>
      </c>
    </row>
    <row r="936" spans="1:9">
      <c r="A936" s="246">
        <v>932</v>
      </c>
      <c r="B936" s="247" t="s">
        <v>519</v>
      </c>
      <c r="C936" s="302" t="str">
        <f>"5114"</f>
        <v>5114</v>
      </c>
      <c r="D936" s="247" t="s">
        <v>13</v>
      </c>
      <c r="E936" s="248">
        <v>471</v>
      </c>
      <c r="F936" s="249">
        <v>41771</v>
      </c>
      <c r="G936" s="249">
        <v>47249</v>
      </c>
      <c r="H936" s="247" t="s">
        <v>31</v>
      </c>
      <c r="I936" s="250" t="s">
        <v>437</v>
      </c>
    </row>
    <row r="937" spans="1:9">
      <c r="A937" s="246">
        <v>933</v>
      </c>
      <c r="B937" s="247" t="s">
        <v>519</v>
      </c>
      <c r="C937" s="302" t="str">
        <f>"5119"</f>
        <v>5119</v>
      </c>
      <c r="D937" s="247" t="s">
        <v>13</v>
      </c>
      <c r="E937" s="248">
        <v>263</v>
      </c>
      <c r="F937" s="249">
        <v>41771</v>
      </c>
      <c r="G937" s="249">
        <v>47249</v>
      </c>
      <c r="H937" s="247" t="s">
        <v>31</v>
      </c>
      <c r="I937" s="250" t="s">
        <v>3359</v>
      </c>
    </row>
    <row r="938" spans="1:9">
      <c r="A938" s="246">
        <v>934</v>
      </c>
      <c r="B938" s="247" t="s">
        <v>519</v>
      </c>
      <c r="C938" s="302" t="str">
        <f>"5120"</f>
        <v>5120</v>
      </c>
      <c r="D938" s="247" t="s">
        <v>13</v>
      </c>
      <c r="E938" s="248">
        <v>471</v>
      </c>
      <c r="F938" s="249">
        <v>41771</v>
      </c>
      <c r="G938" s="249">
        <v>47249</v>
      </c>
      <c r="H938" s="247" t="s">
        <v>31</v>
      </c>
      <c r="I938" s="250" t="s">
        <v>3359</v>
      </c>
    </row>
    <row r="939" spans="1:9">
      <c r="A939" s="246">
        <v>935</v>
      </c>
      <c r="B939" s="247" t="s">
        <v>3435</v>
      </c>
      <c r="C939" s="302" t="str">
        <f>"5143"</f>
        <v>5143</v>
      </c>
      <c r="D939" s="247" t="s">
        <v>13</v>
      </c>
      <c r="E939" s="248">
        <v>40</v>
      </c>
      <c r="F939" s="249">
        <v>40826</v>
      </c>
      <c r="G939" s="249">
        <v>51783</v>
      </c>
      <c r="H939" s="247" t="s">
        <v>14</v>
      </c>
      <c r="I939" s="250" t="s">
        <v>438</v>
      </c>
    </row>
    <row r="940" spans="1:9">
      <c r="A940" s="246">
        <v>936</v>
      </c>
      <c r="B940" s="247" t="s">
        <v>3435</v>
      </c>
      <c r="C940" s="302" t="str">
        <f>"5144"</f>
        <v>5144</v>
      </c>
      <c r="D940" s="247" t="s">
        <v>13</v>
      </c>
      <c r="E940" s="248">
        <v>99</v>
      </c>
      <c r="F940" s="249">
        <v>40826</v>
      </c>
      <c r="G940" s="249">
        <v>51783</v>
      </c>
      <c r="H940" s="247" t="s">
        <v>14</v>
      </c>
      <c r="I940" s="250" t="s">
        <v>438</v>
      </c>
    </row>
    <row r="941" spans="1:9">
      <c r="A941" s="246">
        <v>937</v>
      </c>
      <c r="B941" s="247" t="s">
        <v>3435</v>
      </c>
      <c r="C941" s="302" t="str">
        <f>"5145"</f>
        <v>5145</v>
      </c>
      <c r="D941" s="247" t="s">
        <v>13</v>
      </c>
      <c r="E941" s="248">
        <v>132</v>
      </c>
      <c r="F941" s="249">
        <v>40826</v>
      </c>
      <c r="G941" s="249">
        <v>51783</v>
      </c>
      <c r="H941" s="247" t="s">
        <v>14</v>
      </c>
      <c r="I941" s="250" t="s">
        <v>438</v>
      </c>
    </row>
    <row r="942" spans="1:9">
      <c r="A942" s="246">
        <v>938</v>
      </c>
      <c r="B942" s="247" t="s">
        <v>3435</v>
      </c>
      <c r="C942" s="302" t="str">
        <f>"5146"</f>
        <v>5146</v>
      </c>
      <c r="D942" s="247" t="s">
        <v>13</v>
      </c>
      <c r="E942" s="248">
        <v>165</v>
      </c>
      <c r="F942" s="249">
        <v>40826</v>
      </c>
      <c r="G942" s="249">
        <v>51783</v>
      </c>
      <c r="H942" s="247" t="s">
        <v>14</v>
      </c>
      <c r="I942" s="250" t="s">
        <v>438</v>
      </c>
    </row>
    <row r="943" spans="1:9">
      <c r="A943" s="246">
        <v>939</v>
      </c>
      <c r="B943" s="247" t="s">
        <v>3433</v>
      </c>
      <c r="C943" s="302" t="str">
        <f>"5147"</f>
        <v>5147</v>
      </c>
      <c r="D943" s="247" t="s">
        <v>30</v>
      </c>
      <c r="E943" s="248">
        <v>42</v>
      </c>
      <c r="F943" s="249">
        <v>43567</v>
      </c>
      <c r="G943" s="249">
        <v>45393</v>
      </c>
      <c r="H943" s="247" t="s">
        <v>14</v>
      </c>
      <c r="I943" s="250" t="s">
        <v>438</v>
      </c>
    </row>
    <row r="944" spans="1:9">
      <c r="A944" s="246">
        <v>940</v>
      </c>
      <c r="B944" s="247" t="s">
        <v>138</v>
      </c>
      <c r="C944" s="302" t="str">
        <f>"5148"</f>
        <v>5148</v>
      </c>
      <c r="D944" s="247" t="s">
        <v>13</v>
      </c>
      <c r="E944" s="248">
        <v>3</v>
      </c>
      <c r="F944" s="249">
        <v>41663</v>
      </c>
      <c r="G944" s="249">
        <v>52619</v>
      </c>
      <c r="H944" s="247" t="s">
        <v>14</v>
      </c>
      <c r="I944" s="250" t="s">
        <v>79</v>
      </c>
    </row>
    <row r="945" spans="1:9">
      <c r="A945" s="246">
        <v>941</v>
      </c>
      <c r="B945" s="247" t="s">
        <v>139</v>
      </c>
      <c r="C945" s="302" t="str">
        <f>"5152"</f>
        <v>5152</v>
      </c>
      <c r="D945" s="247" t="s">
        <v>13</v>
      </c>
      <c r="E945" s="248">
        <v>3</v>
      </c>
      <c r="F945" s="249">
        <v>41663</v>
      </c>
      <c r="G945" s="249">
        <v>52619</v>
      </c>
      <c r="H945" s="247" t="s">
        <v>14</v>
      </c>
      <c r="I945" s="250" t="s">
        <v>79</v>
      </c>
    </row>
    <row r="946" spans="1:9">
      <c r="A946" s="246">
        <v>942</v>
      </c>
      <c r="B946" s="247" t="s">
        <v>140</v>
      </c>
      <c r="C946" s="302" t="str">
        <f>"5154"</f>
        <v>5154</v>
      </c>
      <c r="D946" s="247" t="s">
        <v>13</v>
      </c>
      <c r="E946" s="248">
        <v>222</v>
      </c>
      <c r="F946" s="249">
        <v>39855</v>
      </c>
      <c r="G946" s="249">
        <v>50811</v>
      </c>
      <c r="H946" s="247" t="s">
        <v>14</v>
      </c>
      <c r="I946" s="250" t="s">
        <v>79</v>
      </c>
    </row>
    <row r="947" spans="1:9">
      <c r="A947" s="246">
        <v>943</v>
      </c>
      <c r="B947" s="247" t="s">
        <v>141</v>
      </c>
      <c r="C947" s="302" t="str">
        <f>"5160"</f>
        <v>5160</v>
      </c>
      <c r="D947" s="247" t="s">
        <v>30</v>
      </c>
      <c r="E947" s="248">
        <v>9</v>
      </c>
      <c r="F947" s="249">
        <v>43220</v>
      </c>
      <c r="G947" s="249">
        <v>45045</v>
      </c>
      <c r="H947" s="247" t="s">
        <v>14</v>
      </c>
      <c r="I947" s="250" t="s">
        <v>3346</v>
      </c>
    </row>
    <row r="948" spans="1:9">
      <c r="A948" s="246">
        <v>944</v>
      </c>
      <c r="B948" s="247" t="s">
        <v>141</v>
      </c>
      <c r="C948" s="302" t="str">
        <f>"5162"</f>
        <v>5162</v>
      </c>
      <c r="D948" s="247" t="s">
        <v>30</v>
      </c>
      <c r="E948" s="248">
        <v>14</v>
      </c>
      <c r="F948" s="249">
        <v>43220</v>
      </c>
      <c r="G948" s="249">
        <v>45045</v>
      </c>
      <c r="H948" s="247" t="s">
        <v>14</v>
      </c>
      <c r="I948" s="250" t="s">
        <v>79</v>
      </c>
    </row>
    <row r="949" spans="1:9">
      <c r="A949" s="246">
        <v>945</v>
      </c>
      <c r="B949" s="247" t="s">
        <v>3436</v>
      </c>
      <c r="C949" s="302" t="str">
        <f>"5206"</f>
        <v>5206</v>
      </c>
      <c r="D949" s="247" t="s">
        <v>18</v>
      </c>
      <c r="E949" s="248">
        <v>55</v>
      </c>
      <c r="F949" s="249">
        <v>40734</v>
      </c>
      <c r="G949" s="249">
        <v>42560</v>
      </c>
      <c r="H949" s="247" t="s">
        <v>14</v>
      </c>
      <c r="I949" s="250" t="s">
        <v>438</v>
      </c>
    </row>
    <row r="950" spans="1:9">
      <c r="A950" s="246">
        <v>946</v>
      </c>
      <c r="B950" s="247" t="s">
        <v>3437</v>
      </c>
      <c r="C950" s="302" t="str">
        <f>"5208"</f>
        <v>5208</v>
      </c>
      <c r="D950" s="247" t="s">
        <v>18</v>
      </c>
      <c r="E950" s="248">
        <v>18</v>
      </c>
      <c r="F950" s="249">
        <v>39789</v>
      </c>
      <c r="G950" s="249">
        <v>41614</v>
      </c>
      <c r="H950" s="247" t="s">
        <v>14</v>
      </c>
      <c r="I950" s="250" t="s">
        <v>438</v>
      </c>
    </row>
    <row r="951" spans="1:9">
      <c r="A951" s="246">
        <v>947</v>
      </c>
      <c r="B951" s="247" t="s">
        <v>461</v>
      </c>
      <c r="C951" s="302" t="str">
        <f>"5210"</f>
        <v>5210</v>
      </c>
      <c r="D951" s="247" t="s">
        <v>18</v>
      </c>
      <c r="E951" s="248">
        <v>231</v>
      </c>
      <c r="F951" s="249">
        <v>42579</v>
      </c>
      <c r="G951" s="249">
        <v>44404</v>
      </c>
      <c r="H951" s="247" t="s">
        <v>59</v>
      </c>
      <c r="I951" s="250" t="s">
        <v>433</v>
      </c>
    </row>
    <row r="952" spans="1:9">
      <c r="A952" s="246">
        <v>948</v>
      </c>
      <c r="B952" s="247" t="s">
        <v>461</v>
      </c>
      <c r="C952" s="302" t="str">
        <f>"5213"</f>
        <v>5213</v>
      </c>
      <c r="D952" s="247" t="s">
        <v>18</v>
      </c>
      <c r="E952" s="248">
        <v>230</v>
      </c>
      <c r="F952" s="249">
        <v>42579</v>
      </c>
      <c r="G952" s="249">
        <v>44404</v>
      </c>
      <c r="H952" s="247" t="s">
        <v>59</v>
      </c>
      <c r="I952" s="250" t="s">
        <v>433</v>
      </c>
    </row>
    <row r="953" spans="1:9">
      <c r="A953" s="246">
        <v>949</v>
      </c>
      <c r="B953" s="247" t="s">
        <v>3438</v>
      </c>
      <c r="C953" s="302" t="str">
        <f>"5220"</f>
        <v>5220</v>
      </c>
      <c r="D953" s="247" t="s">
        <v>18</v>
      </c>
      <c r="E953" s="248">
        <v>23</v>
      </c>
      <c r="F953" s="249">
        <v>38940</v>
      </c>
      <c r="G953" s="249">
        <v>40765</v>
      </c>
      <c r="H953" s="247" t="s">
        <v>14</v>
      </c>
      <c r="I953" s="250" t="s">
        <v>438</v>
      </c>
    </row>
    <row r="954" spans="1:9">
      <c r="A954" s="246">
        <v>950</v>
      </c>
      <c r="B954" s="247" t="s">
        <v>36</v>
      </c>
      <c r="C954" s="302" t="str">
        <f>"5222"</f>
        <v>5222</v>
      </c>
      <c r="D954" s="247" t="s">
        <v>30</v>
      </c>
      <c r="E954" s="248">
        <v>8</v>
      </c>
      <c r="F954" s="249">
        <v>40970</v>
      </c>
      <c r="G954" s="249">
        <v>44621</v>
      </c>
      <c r="H954" s="247" t="s">
        <v>14</v>
      </c>
      <c r="I954" s="250" t="s">
        <v>3386</v>
      </c>
    </row>
    <row r="955" spans="1:9">
      <c r="A955" s="246">
        <v>951</v>
      </c>
      <c r="B955" s="247" t="s">
        <v>177</v>
      </c>
      <c r="C955" s="302" t="str">
        <f>"5227"</f>
        <v>5227</v>
      </c>
      <c r="D955" s="247" t="s">
        <v>18</v>
      </c>
      <c r="E955" s="248">
        <v>59</v>
      </c>
      <c r="F955" s="249">
        <v>38940</v>
      </c>
      <c r="G955" s="249">
        <v>40765</v>
      </c>
      <c r="H955" s="247" t="s">
        <v>70</v>
      </c>
      <c r="I955" s="250" t="s">
        <v>3412</v>
      </c>
    </row>
    <row r="956" spans="1:9">
      <c r="A956" s="246">
        <v>952</v>
      </c>
      <c r="B956" s="247" t="s">
        <v>115</v>
      </c>
      <c r="C956" s="302" t="str">
        <f>"5236"</f>
        <v>5236</v>
      </c>
      <c r="D956" s="247" t="s">
        <v>13</v>
      </c>
      <c r="E956" s="248">
        <v>30</v>
      </c>
      <c r="F956" s="249">
        <v>41934</v>
      </c>
      <c r="G956" s="249">
        <v>52891</v>
      </c>
      <c r="H956" s="247" t="s">
        <v>14</v>
      </c>
      <c r="I956" s="250" t="s">
        <v>79</v>
      </c>
    </row>
    <row r="957" spans="1:9">
      <c r="A957" s="246">
        <v>953</v>
      </c>
      <c r="B957" s="247" t="s">
        <v>17</v>
      </c>
      <c r="C957" s="302" t="str">
        <f>"5266"</f>
        <v>5266</v>
      </c>
      <c r="D957" s="247" t="s">
        <v>18</v>
      </c>
      <c r="E957" s="248">
        <v>42</v>
      </c>
      <c r="F957" s="249">
        <v>41967</v>
      </c>
      <c r="G957" s="249">
        <v>43792</v>
      </c>
      <c r="H957" s="247" t="s">
        <v>19</v>
      </c>
      <c r="I957" s="250" t="s">
        <v>3342</v>
      </c>
    </row>
    <row r="958" spans="1:9">
      <c r="A958" s="246">
        <v>954</v>
      </c>
      <c r="B958" s="247" t="s">
        <v>17</v>
      </c>
      <c r="C958" s="302" t="str">
        <f>"5267"</f>
        <v>5267</v>
      </c>
      <c r="D958" s="247" t="s">
        <v>18</v>
      </c>
      <c r="E958" s="248">
        <v>186</v>
      </c>
      <c r="F958" s="249">
        <v>40815</v>
      </c>
      <c r="G958" s="249">
        <v>43405</v>
      </c>
      <c r="H958" s="247" t="s">
        <v>19</v>
      </c>
      <c r="I958" s="250" t="s">
        <v>3342</v>
      </c>
    </row>
    <row r="959" spans="1:9">
      <c r="A959" s="246">
        <v>955</v>
      </c>
      <c r="B959" s="247" t="s">
        <v>17</v>
      </c>
      <c r="C959" s="302" t="str">
        <f>"5270"</f>
        <v>5270</v>
      </c>
      <c r="D959" s="247" t="s">
        <v>18</v>
      </c>
      <c r="E959" s="248">
        <v>220</v>
      </c>
      <c r="F959" s="249">
        <v>40815</v>
      </c>
      <c r="G959" s="249">
        <v>43405</v>
      </c>
      <c r="H959" s="247" t="s">
        <v>19</v>
      </c>
      <c r="I959" s="250" t="s">
        <v>3386</v>
      </c>
    </row>
    <row r="960" spans="1:9">
      <c r="A960" s="246">
        <v>956</v>
      </c>
      <c r="B960" s="247" t="s">
        <v>197</v>
      </c>
      <c r="C960" s="302" t="str">
        <f>"5271"</f>
        <v>5271</v>
      </c>
      <c r="D960" s="247" t="s">
        <v>18</v>
      </c>
      <c r="E960" s="248">
        <v>168</v>
      </c>
      <c r="F960" s="249">
        <v>40818</v>
      </c>
      <c r="G960" s="249">
        <v>42583</v>
      </c>
      <c r="H960" s="247" t="s">
        <v>84</v>
      </c>
      <c r="I960" s="250" t="s">
        <v>3359</v>
      </c>
    </row>
    <row r="961" spans="1:9">
      <c r="A961" s="246">
        <v>957</v>
      </c>
      <c r="B961" s="247" t="s">
        <v>197</v>
      </c>
      <c r="C961" s="302" t="str">
        <f>"5272"</f>
        <v>5272</v>
      </c>
      <c r="D961" s="247" t="s">
        <v>18</v>
      </c>
      <c r="E961" s="248">
        <v>187</v>
      </c>
      <c r="F961" s="249">
        <v>40818</v>
      </c>
      <c r="G961" s="249">
        <v>42583</v>
      </c>
      <c r="H961" s="247" t="s">
        <v>84</v>
      </c>
      <c r="I961" s="250" t="s">
        <v>3359</v>
      </c>
    </row>
    <row r="962" spans="1:9">
      <c r="A962" s="246">
        <v>958</v>
      </c>
      <c r="B962" s="247" t="s">
        <v>141</v>
      </c>
      <c r="C962" s="302" t="str">
        <f>"5273"</f>
        <v>5273</v>
      </c>
      <c r="D962" s="247" t="s">
        <v>30</v>
      </c>
      <c r="E962" s="248">
        <v>35</v>
      </c>
      <c r="F962" s="249">
        <v>43220</v>
      </c>
      <c r="G962" s="249">
        <v>45045</v>
      </c>
      <c r="H962" s="247" t="s">
        <v>14</v>
      </c>
      <c r="I962" s="250" t="s">
        <v>79</v>
      </c>
    </row>
    <row r="963" spans="1:9">
      <c r="A963" s="246">
        <v>959</v>
      </c>
      <c r="B963" s="247" t="s">
        <v>142</v>
      </c>
      <c r="C963" s="302" t="str">
        <f>"5276"</f>
        <v>5276</v>
      </c>
      <c r="D963" s="247" t="s">
        <v>13</v>
      </c>
      <c r="E963" s="248">
        <v>129</v>
      </c>
      <c r="F963" s="249">
        <v>42167</v>
      </c>
      <c r="G963" s="249">
        <v>53124</v>
      </c>
      <c r="H963" s="247" t="s">
        <v>14</v>
      </c>
      <c r="I963" s="250" t="s">
        <v>79</v>
      </c>
    </row>
    <row r="964" spans="1:9">
      <c r="A964" s="246">
        <v>960</v>
      </c>
      <c r="B964" s="247" t="s">
        <v>143</v>
      </c>
      <c r="C964" s="302" t="str">
        <f>"5278"</f>
        <v>5278</v>
      </c>
      <c r="D964" s="247" t="s">
        <v>13</v>
      </c>
      <c r="E964" s="248">
        <v>40</v>
      </c>
      <c r="F964" s="249">
        <v>43640</v>
      </c>
      <c r="G964" s="249">
        <v>52771</v>
      </c>
      <c r="H964" s="247" t="s">
        <v>14</v>
      </c>
      <c r="I964" s="250" t="s">
        <v>79</v>
      </c>
    </row>
    <row r="965" spans="1:9">
      <c r="A965" s="246">
        <v>961</v>
      </c>
      <c r="B965" s="247" t="s">
        <v>143</v>
      </c>
      <c r="C965" s="302" t="str">
        <f>"5279"</f>
        <v>5279</v>
      </c>
      <c r="D965" s="247" t="s">
        <v>18</v>
      </c>
      <c r="E965" s="248">
        <v>228</v>
      </c>
      <c r="F965" s="249">
        <v>38973</v>
      </c>
      <c r="G965" s="249">
        <v>44085</v>
      </c>
      <c r="H965" s="247" t="s">
        <v>14</v>
      </c>
      <c r="I965" s="250" t="s">
        <v>3351</v>
      </c>
    </row>
    <row r="966" spans="1:9">
      <c r="A966" s="246">
        <v>962</v>
      </c>
      <c r="B966" s="247" t="s">
        <v>461</v>
      </c>
      <c r="C966" s="302" t="str">
        <f>"5297"</f>
        <v>5297</v>
      </c>
      <c r="D966" s="247" t="s">
        <v>18</v>
      </c>
      <c r="E966" s="248">
        <v>41</v>
      </c>
      <c r="F966" s="249">
        <v>42654</v>
      </c>
      <c r="G966" s="249">
        <v>44479</v>
      </c>
      <c r="H966" s="247" t="s">
        <v>59</v>
      </c>
      <c r="I966" s="250" t="s">
        <v>438</v>
      </c>
    </row>
    <row r="967" spans="1:9">
      <c r="A967" s="246">
        <v>963</v>
      </c>
      <c r="B967" s="247" t="s">
        <v>461</v>
      </c>
      <c r="C967" s="302" t="str">
        <f>"5298"</f>
        <v>5298</v>
      </c>
      <c r="D967" s="247" t="s">
        <v>18</v>
      </c>
      <c r="E967" s="248">
        <v>40</v>
      </c>
      <c r="F967" s="249">
        <v>42654</v>
      </c>
      <c r="G967" s="249">
        <v>44479</v>
      </c>
      <c r="H967" s="247" t="s">
        <v>59</v>
      </c>
      <c r="I967" s="250" t="s">
        <v>438</v>
      </c>
    </row>
    <row r="968" spans="1:9">
      <c r="A968" s="246">
        <v>964</v>
      </c>
      <c r="B968" s="247" t="s">
        <v>473</v>
      </c>
      <c r="C968" s="302" t="str">
        <f>"5301"</f>
        <v>5301</v>
      </c>
      <c r="D968" s="247" t="s">
        <v>18</v>
      </c>
      <c r="E968" s="248">
        <v>161</v>
      </c>
      <c r="F968" s="249">
        <v>39001</v>
      </c>
      <c r="G968" s="249">
        <v>40826</v>
      </c>
      <c r="H968" s="247" t="s">
        <v>14</v>
      </c>
      <c r="I968" s="250" t="s">
        <v>433</v>
      </c>
    </row>
    <row r="969" spans="1:9">
      <c r="A969" s="246">
        <v>965</v>
      </c>
      <c r="B969" s="247" t="s">
        <v>3439</v>
      </c>
      <c r="C969" s="302" t="str">
        <f>"5320"</f>
        <v>5320</v>
      </c>
      <c r="D969" s="247" t="s">
        <v>13</v>
      </c>
      <c r="E969" s="248">
        <v>460</v>
      </c>
      <c r="F969" s="249">
        <v>42709</v>
      </c>
      <c r="G969" s="249">
        <v>53665</v>
      </c>
      <c r="H969" s="247" t="s">
        <v>56</v>
      </c>
      <c r="I969" s="250" t="s">
        <v>438</v>
      </c>
    </row>
    <row r="970" spans="1:9">
      <c r="A970" s="246">
        <v>966</v>
      </c>
      <c r="B970" s="247" t="s">
        <v>3439</v>
      </c>
      <c r="C970" s="302" t="str">
        <f>"5321"</f>
        <v>5321</v>
      </c>
      <c r="D970" s="247" t="s">
        <v>13</v>
      </c>
      <c r="E970" s="248">
        <v>349</v>
      </c>
      <c r="F970" s="249">
        <v>42709</v>
      </c>
      <c r="G970" s="249">
        <v>53665</v>
      </c>
      <c r="H970" s="247" t="s">
        <v>56</v>
      </c>
      <c r="I970" s="250" t="s">
        <v>438</v>
      </c>
    </row>
    <row r="971" spans="1:9">
      <c r="A971" s="246">
        <v>967</v>
      </c>
      <c r="B971" s="247" t="s">
        <v>156</v>
      </c>
      <c r="C971" s="302" t="str">
        <f>"5324"</f>
        <v>5324</v>
      </c>
      <c r="D971" s="247" t="s">
        <v>21</v>
      </c>
      <c r="E971" s="248">
        <v>3</v>
      </c>
      <c r="F971" s="249">
        <v>41435</v>
      </c>
      <c r="G971" s="249">
        <v>43260</v>
      </c>
      <c r="H971" s="247" t="s">
        <v>89</v>
      </c>
      <c r="I971" s="250" t="s">
        <v>3342</v>
      </c>
    </row>
    <row r="972" spans="1:9">
      <c r="A972" s="246">
        <v>968</v>
      </c>
      <c r="B972" s="247" t="s">
        <v>28</v>
      </c>
      <c r="C972" s="302" t="str">
        <f>"5338"</f>
        <v>5338</v>
      </c>
      <c r="D972" s="247" t="s">
        <v>13</v>
      </c>
      <c r="E972" s="248">
        <v>24</v>
      </c>
      <c r="F972" s="249">
        <v>41450</v>
      </c>
      <c r="G972" s="249">
        <v>52406</v>
      </c>
      <c r="H972" s="247" t="s">
        <v>14</v>
      </c>
      <c r="I972" s="250" t="s">
        <v>3386</v>
      </c>
    </row>
    <row r="973" spans="1:9">
      <c r="A973" s="246">
        <v>969</v>
      </c>
      <c r="B973" s="247" t="s">
        <v>474</v>
      </c>
      <c r="C973" s="302" t="str">
        <f>"5354"</f>
        <v>5354</v>
      </c>
      <c r="D973" s="247" t="s">
        <v>18</v>
      </c>
      <c r="E973" s="248">
        <v>46</v>
      </c>
      <c r="F973" s="249">
        <v>40937</v>
      </c>
      <c r="G973" s="249">
        <v>42763</v>
      </c>
      <c r="H973" s="247" t="s">
        <v>14</v>
      </c>
      <c r="I973" s="250" t="s">
        <v>437</v>
      </c>
    </row>
    <row r="974" spans="1:9">
      <c r="A974" s="246">
        <v>970</v>
      </c>
      <c r="B974" s="247" t="s">
        <v>475</v>
      </c>
      <c r="C974" s="302" t="str">
        <f>"5373"</f>
        <v>5373</v>
      </c>
      <c r="D974" s="247" t="s">
        <v>21</v>
      </c>
      <c r="E974" s="248">
        <v>1</v>
      </c>
      <c r="F974" s="249">
        <v>39891</v>
      </c>
      <c r="G974" s="249">
        <v>41716</v>
      </c>
      <c r="H974" s="247" t="s">
        <v>89</v>
      </c>
      <c r="I974" s="250" t="s">
        <v>437</v>
      </c>
    </row>
    <row r="975" spans="1:9">
      <c r="A975" s="246">
        <v>971</v>
      </c>
      <c r="B975" s="247" t="s">
        <v>144</v>
      </c>
      <c r="C975" s="302" t="str">
        <f>"5480"</f>
        <v>5480</v>
      </c>
      <c r="D975" s="247" t="s">
        <v>13</v>
      </c>
      <c r="E975" s="248">
        <v>6</v>
      </c>
      <c r="F975" s="249">
        <v>41450</v>
      </c>
      <c r="G975" s="249">
        <v>52406</v>
      </c>
      <c r="H975" s="247" t="s">
        <v>14</v>
      </c>
      <c r="I975" s="250" t="s">
        <v>79</v>
      </c>
    </row>
    <row r="976" spans="1:9">
      <c r="A976" s="246">
        <v>972</v>
      </c>
      <c r="B976" s="247" t="s">
        <v>3440</v>
      </c>
      <c r="C976" s="302" t="str">
        <f>"5542"</f>
        <v>5542</v>
      </c>
      <c r="D976" s="247" t="s">
        <v>18</v>
      </c>
      <c r="E976" s="248">
        <v>108</v>
      </c>
      <c r="F976" s="249">
        <v>40846</v>
      </c>
      <c r="G976" s="249">
        <v>42672</v>
      </c>
      <c r="H976" s="247" t="s">
        <v>59</v>
      </c>
      <c r="I976" s="250" t="s">
        <v>438</v>
      </c>
    </row>
    <row r="977" spans="1:9">
      <c r="A977" s="246">
        <v>973</v>
      </c>
      <c r="B977" s="247" t="s">
        <v>3441</v>
      </c>
      <c r="C977" s="302" t="str">
        <f>"5543"</f>
        <v>5543</v>
      </c>
      <c r="D977" s="247" t="s">
        <v>18</v>
      </c>
      <c r="E977" s="248">
        <v>39</v>
      </c>
      <c r="F977" s="249">
        <v>40846</v>
      </c>
      <c r="G977" s="249">
        <v>42672</v>
      </c>
      <c r="H977" s="247" t="s">
        <v>14</v>
      </c>
      <c r="I977" s="250" t="s">
        <v>438</v>
      </c>
    </row>
    <row r="978" spans="1:9">
      <c r="A978" s="246">
        <v>974</v>
      </c>
      <c r="B978" s="247" t="s">
        <v>476</v>
      </c>
      <c r="C978" s="302" t="str">
        <f>"5548"</f>
        <v>5548</v>
      </c>
      <c r="D978" s="247" t="s">
        <v>21</v>
      </c>
      <c r="E978" s="248">
        <v>2</v>
      </c>
      <c r="F978" s="249">
        <v>42501</v>
      </c>
      <c r="G978" s="249">
        <v>44326</v>
      </c>
      <c r="H978" s="247" t="s">
        <v>89</v>
      </c>
      <c r="I978" s="250" t="s">
        <v>3342</v>
      </c>
    </row>
    <row r="979" spans="1:9">
      <c r="A979" s="246">
        <v>975</v>
      </c>
      <c r="B979" s="247" t="s">
        <v>477</v>
      </c>
      <c r="C979" s="302" t="str">
        <f>"5601"</f>
        <v>5601</v>
      </c>
      <c r="D979" s="247" t="s">
        <v>21</v>
      </c>
      <c r="E979" s="248">
        <v>3</v>
      </c>
      <c r="F979" s="249">
        <v>41675</v>
      </c>
      <c r="G979" s="249">
        <v>43500</v>
      </c>
      <c r="H979" s="247" t="s">
        <v>89</v>
      </c>
      <c r="I979" s="250" t="s">
        <v>3342</v>
      </c>
    </row>
    <row r="980" spans="1:9">
      <c r="A980" s="246">
        <v>976</v>
      </c>
      <c r="B980" s="247" t="s">
        <v>3442</v>
      </c>
      <c r="C980" s="302" t="str">
        <f>"5694"</f>
        <v>5694</v>
      </c>
      <c r="D980" s="247" t="s">
        <v>18</v>
      </c>
      <c r="E980" s="248">
        <v>156</v>
      </c>
      <c r="F980" s="249">
        <v>40481</v>
      </c>
      <c r="G980" s="249">
        <v>41941</v>
      </c>
      <c r="H980" s="247" t="s">
        <v>56</v>
      </c>
      <c r="I980" s="250" t="s">
        <v>438</v>
      </c>
    </row>
    <row r="981" spans="1:9">
      <c r="A981" s="246">
        <v>977</v>
      </c>
      <c r="B981" s="247" t="s">
        <v>3442</v>
      </c>
      <c r="C981" s="302" t="str">
        <f>"5695"</f>
        <v>5695</v>
      </c>
      <c r="D981" s="247" t="s">
        <v>18</v>
      </c>
      <c r="E981" s="248">
        <v>187</v>
      </c>
      <c r="F981" s="249">
        <v>40481</v>
      </c>
      <c r="G981" s="249">
        <v>41941</v>
      </c>
      <c r="H981" s="247" t="s">
        <v>56</v>
      </c>
      <c r="I981" s="250" t="s">
        <v>438</v>
      </c>
    </row>
    <row r="982" spans="1:9">
      <c r="A982" s="246">
        <v>978</v>
      </c>
      <c r="B982" s="247" t="s">
        <v>145</v>
      </c>
      <c r="C982" s="302" t="str">
        <f>"5696"</f>
        <v>5696</v>
      </c>
      <c r="D982" s="247" t="s">
        <v>13</v>
      </c>
      <c r="E982" s="248">
        <v>126</v>
      </c>
      <c r="F982" s="249">
        <v>43725</v>
      </c>
      <c r="G982" s="249">
        <v>52856</v>
      </c>
      <c r="H982" s="247" t="s">
        <v>56</v>
      </c>
      <c r="I982" s="250" t="s">
        <v>79</v>
      </c>
    </row>
    <row r="983" spans="1:9">
      <c r="A983" s="246">
        <v>979</v>
      </c>
      <c r="B983" s="247" t="s">
        <v>145</v>
      </c>
      <c r="C983" s="302" t="str">
        <f>"5699"</f>
        <v>5699</v>
      </c>
      <c r="D983" s="247" t="s">
        <v>13</v>
      </c>
      <c r="E983" s="248">
        <v>192</v>
      </c>
      <c r="F983" s="249">
        <v>43725</v>
      </c>
      <c r="G983" s="249">
        <v>52856</v>
      </c>
      <c r="H983" s="247" t="s">
        <v>56</v>
      </c>
      <c r="I983" s="250" t="s">
        <v>79</v>
      </c>
    </row>
    <row r="984" spans="1:9">
      <c r="A984" s="246">
        <v>980</v>
      </c>
      <c r="B984" s="247" t="s">
        <v>478</v>
      </c>
      <c r="C984" s="302" t="str">
        <f>"5725"</f>
        <v>5725</v>
      </c>
      <c r="D984" s="247" t="s">
        <v>18</v>
      </c>
      <c r="E984" s="248">
        <v>100</v>
      </c>
      <c r="F984" s="249">
        <v>42712</v>
      </c>
      <c r="G984" s="249">
        <v>44537</v>
      </c>
      <c r="H984" s="247" t="s">
        <v>70</v>
      </c>
      <c r="I984" s="250" t="s">
        <v>448</v>
      </c>
    </row>
    <row r="985" spans="1:9">
      <c r="A985" s="246">
        <v>981</v>
      </c>
      <c r="B985" s="247" t="s">
        <v>479</v>
      </c>
      <c r="C985" s="302" t="str">
        <f>"5744"</f>
        <v>5744</v>
      </c>
      <c r="D985" s="247" t="s">
        <v>18</v>
      </c>
      <c r="E985" s="248">
        <v>9</v>
      </c>
      <c r="F985" s="249">
        <v>39044</v>
      </c>
      <c r="G985" s="249">
        <v>40504</v>
      </c>
      <c r="H985" s="247" t="s">
        <v>26</v>
      </c>
      <c r="I985" s="250" t="s">
        <v>3369</v>
      </c>
    </row>
    <row r="986" spans="1:9">
      <c r="A986" s="246">
        <v>982</v>
      </c>
      <c r="B986" s="247" t="s">
        <v>3443</v>
      </c>
      <c r="C986" s="302" t="str">
        <f>"5745"</f>
        <v>5745</v>
      </c>
      <c r="D986" s="247" t="s">
        <v>18</v>
      </c>
      <c r="E986" s="248">
        <v>28</v>
      </c>
      <c r="F986" s="249">
        <v>39044</v>
      </c>
      <c r="G986" s="249">
        <v>40504</v>
      </c>
      <c r="H986" s="247" t="s">
        <v>26</v>
      </c>
      <c r="I986" s="250" t="s">
        <v>438</v>
      </c>
    </row>
    <row r="987" spans="1:9">
      <c r="A987" s="246">
        <v>983</v>
      </c>
      <c r="B987" s="247" t="s">
        <v>3444</v>
      </c>
      <c r="C987" s="302" t="str">
        <f>"5756"</f>
        <v>5756</v>
      </c>
      <c r="D987" s="247" t="s">
        <v>18</v>
      </c>
      <c r="E987" s="248">
        <v>55</v>
      </c>
      <c r="F987" s="249">
        <v>41789</v>
      </c>
      <c r="G987" s="249">
        <v>41911</v>
      </c>
      <c r="H987" s="247" t="s">
        <v>24</v>
      </c>
      <c r="I987" s="250" t="s">
        <v>438</v>
      </c>
    </row>
    <row r="988" spans="1:9">
      <c r="A988" s="246">
        <v>984</v>
      </c>
      <c r="B988" s="247" t="s">
        <v>480</v>
      </c>
      <c r="C988" s="302" t="str">
        <f>"5763"</f>
        <v>5763</v>
      </c>
      <c r="D988" s="247" t="s">
        <v>21</v>
      </c>
      <c r="E988" s="248">
        <v>1</v>
      </c>
      <c r="F988" s="249">
        <v>41751</v>
      </c>
      <c r="G988" s="249">
        <v>43576</v>
      </c>
      <c r="H988" s="247" t="s">
        <v>22</v>
      </c>
      <c r="I988" s="250" t="s">
        <v>3342</v>
      </c>
    </row>
    <row r="989" spans="1:9">
      <c r="A989" s="246">
        <v>985</v>
      </c>
      <c r="B989" s="247" t="s">
        <v>3445</v>
      </c>
      <c r="C989" s="302" t="str">
        <f>"5839"</f>
        <v>5839</v>
      </c>
      <c r="D989" s="247" t="s">
        <v>18</v>
      </c>
      <c r="E989" s="248">
        <v>19</v>
      </c>
      <c r="F989" s="249">
        <v>39062</v>
      </c>
      <c r="G989" s="249">
        <v>40887</v>
      </c>
      <c r="H989" s="247" t="s">
        <v>19</v>
      </c>
      <c r="I989" s="250" t="s">
        <v>438</v>
      </c>
    </row>
    <row r="990" spans="1:9">
      <c r="A990" s="246">
        <v>986</v>
      </c>
      <c r="B990" s="247" t="s">
        <v>3445</v>
      </c>
      <c r="C990" s="302" t="str">
        <f>"5840"</f>
        <v>5840</v>
      </c>
      <c r="D990" s="247" t="s">
        <v>18</v>
      </c>
      <c r="E990" s="248">
        <v>35</v>
      </c>
      <c r="F990" s="249">
        <v>39062</v>
      </c>
      <c r="G990" s="249">
        <v>40887</v>
      </c>
      <c r="H990" s="247" t="s">
        <v>19</v>
      </c>
      <c r="I990" s="250" t="s">
        <v>438</v>
      </c>
    </row>
    <row r="991" spans="1:9">
      <c r="A991" s="246">
        <v>987</v>
      </c>
      <c r="B991" s="247" t="s">
        <v>3446</v>
      </c>
      <c r="C991" s="302" t="str">
        <f>"5960"</f>
        <v>5960</v>
      </c>
      <c r="D991" s="247" t="s">
        <v>21</v>
      </c>
      <c r="E991" s="248">
        <v>5</v>
      </c>
      <c r="F991" s="249">
        <v>39783</v>
      </c>
      <c r="G991" s="249">
        <v>41608</v>
      </c>
      <c r="H991" s="247" t="s">
        <v>89</v>
      </c>
      <c r="I991" s="250" t="s">
        <v>3342</v>
      </c>
    </row>
    <row r="992" spans="1:9">
      <c r="A992" s="246">
        <v>988</v>
      </c>
      <c r="B992" s="247" t="s">
        <v>3447</v>
      </c>
      <c r="C992" s="302" t="str">
        <f>"6136"</f>
        <v>6136</v>
      </c>
      <c r="D992" s="247" t="s">
        <v>30</v>
      </c>
      <c r="E992" s="248">
        <v>30</v>
      </c>
      <c r="F992" s="249">
        <v>42368</v>
      </c>
      <c r="G992" s="249">
        <v>44194</v>
      </c>
      <c r="H992" s="247" t="s">
        <v>19</v>
      </c>
      <c r="I992" s="250" t="s">
        <v>3342</v>
      </c>
    </row>
    <row r="993" spans="1:9">
      <c r="A993" s="246">
        <v>989</v>
      </c>
      <c r="B993" s="247" t="s">
        <v>3447</v>
      </c>
      <c r="C993" s="302" t="str">
        <f>"6137"</f>
        <v>6137</v>
      </c>
      <c r="D993" s="247" t="s">
        <v>30</v>
      </c>
      <c r="E993" s="248">
        <v>21</v>
      </c>
      <c r="F993" s="249">
        <v>42313</v>
      </c>
      <c r="G993" s="249">
        <v>44139</v>
      </c>
      <c r="H993" s="247" t="s">
        <v>56</v>
      </c>
      <c r="I993" s="250" t="s">
        <v>3342</v>
      </c>
    </row>
    <row r="994" spans="1:9">
      <c r="A994" s="246">
        <v>990</v>
      </c>
      <c r="B994" s="247" t="s">
        <v>3447</v>
      </c>
      <c r="C994" s="302" t="str">
        <f>"6139"</f>
        <v>6139</v>
      </c>
      <c r="D994" s="247" t="s">
        <v>30</v>
      </c>
      <c r="E994" s="248">
        <v>35</v>
      </c>
      <c r="F994" s="249">
        <v>42368</v>
      </c>
      <c r="G994" s="249">
        <v>44194</v>
      </c>
      <c r="H994" s="247" t="s">
        <v>19</v>
      </c>
      <c r="I994" s="250" t="s">
        <v>3342</v>
      </c>
    </row>
    <row r="995" spans="1:9">
      <c r="A995" s="246">
        <v>991</v>
      </c>
      <c r="B995" s="247" t="s">
        <v>3447</v>
      </c>
      <c r="C995" s="302" t="str">
        <f>"6140"</f>
        <v>6140</v>
      </c>
      <c r="D995" s="247" t="s">
        <v>30</v>
      </c>
      <c r="E995" s="248">
        <v>20</v>
      </c>
      <c r="F995" s="249">
        <v>42313</v>
      </c>
      <c r="G995" s="249">
        <v>44139</v>
      </c>
      <c r="H995" s="247" t="s">
        <v>56</v>
      </c>
      <c r="I995" s="250" t="s">
        <v>3342</v>
      </c>
    </row>
    <row r="996" spans="1:9">
      <c r="A996" s="246">
        <v>992</v>
      </c>
      <c r="B996" s="247" t="s">
        <v>3447</v>
      </c>
      <c r="C996" s="302" t="str">
        <f>"6141"</f>
        <v>6141</v>
      </c>
      <c r="D996" s="247" t="s">
        <v>30</v>
      </c>
      <c r="E996" s="248">
        <v>15</v>
      </c>
      <c r="F996" s="249">
        <v>42313</v>
      </c>
      <c r="G996" s="249">
        <v>44139</v>
      </c>
      <c r="H996" s="247" t="s">
        <v>56</v>
      </c>
      <c r="I996" s="250" t="s">
        <v>3342</v>
      </c>
    </row>
    <row r="997" spans="1:9">
      <c r="A997" s="246">
        <v>993</v>
      </c>
      <c r="B997" s="247" t="s">
        <v>3447</v>
      </c>
      <c r="C997" s="302" t="str">
        <f>"6142"</f>
        <v>6142</v>
      </c>
      <c r="D997" s="247" t="s">
        <v>30</v>
      </c>
      <c r="E997" s="248">
        <v>25</v>
      </c>
      <c r="F997" s="249">
        <v>42368</v>
      </c>
      <c r="G997" s="249">
        <v>44194</v>
      </c>
      <c r="H997" s="247" t="s">
        <v>19</v>
      </c>
      <c r="I997" s="250" t="s">
        <v>3342</v>
      </c>
    </row>
    <row r="998" spans="1:9">
      <c r="A998" s="246">
        <v>994</v>
      </c>
      <c r="B998" s="247" t="s">
        <v>3447</v>
      </c>
      <c r="C998" s="302" t="str">
        <f>"6313"</f>
        <v>6313</v>
      </c>
      <c r="D998" s="247" t="s">
        <v>30</v>
      </c>
      <c r="E998" s="248">
        <v>27</v>
      </c>
      <c r="F998" s="249">
        <v>42313</v>
      </c>
      <c r="G998" s="249">
        <v>44139</v>
      </c>
      <c r="H998" s="247" t="s">
        <v>14</v>
      </c>
      <c r="I998" s="250" t="s">
        <v>3342</v>
      </c>
    </row>
    <row r="999" spans="1:9">
      <c r="A999" s="246">
        <v>995</v>
      </c>
      <c r="B999" s="247" t="s">
        <v>143</v>
      </c>
      <c r="C999" s="302" t="str">
        <f>"6337"</f>
        <v>6337</v>
      </c>
      <c r="D999" s="247" t="s">
        <v>13</v>
      </c>
      <c r="E999" s="248">
        <v>148</v>
      </c>
      <c r="F999" s="249">
        <v>42159</v>
      </c>
      <c r="G999" s="249">
        <v>53116</v>
      </c>
      <c r="H999" s="247" t="s">
        <v>70</v>
      </c>
      <c r="I999" s="250" t="s">
        <v>438</v>
      </c>
    </row>
    <row r="1000" spans="1:9">
      <c r="A1000" s="246">
        <v>996</v>
      </c>
      <c r="B1000" s="247" t="s">
        <v>3448</v>
      </c>
      <c r="C1000" s="302" t="str">
        <f>"6392"</f>
        <v>6392</v>
      </c>
      <c r="D1000" s="247" t="s">
        <v>30</v>
      </c>
      <c r="E1000" s="248">
        <v>10</v>
      </c>
      <c r="F1000" s="249">
        <v>39118</v>
      </c>
      <c r="G1000" s="249">
        <v>40943</v>
      </c>
      <c r="H1000" s="247" t="s">
        <v>14</v>
      </c>
      <c r="I1000" s="250" t="s">
        <v>438</v>
      </c>
    </row>
    <row r="1001" spans="1:9">
      <c r="A1001" s="246">
        <v>997</v>
      </c>
      <c r="B1001" s="247" t="s">
        <v>481</v>
      </c>
      <c r="C1001" s="302" t="str">
        <f>"6445"</f>
        <v>6445</v>
      </c>
      <c r="D1001" s="247" t="s">
        <v>13</v>
      </c>
      <c r="E1001" s="248">
        <v>116</v>
      </c>
      <c r="F1001" s="249">
        <v>40987</v>
      </c>
      <c r="G1001" s="249">
        <v>42508</v>
      </c>
      <c r="H1001" s="247" t="s">
        <v>70</v>
      </c>
      <c r="I1001" s="250" t="s">
        <v>3449</v>
      </c>
    </row>
    <row r="1002" spans="1:9">
      <c r="A1002" s="246">
        <v>998</v>
      </c>
      <c r="B1002" s="247" t="s">
        <v>3450</v>
      </c>
      <c r="C1002" s="302" t="str">
        <f>"6476"</f>
        <v>6476</v>
      </c>
      <c r="D1002" s="247" t="s">
        <v>18</v>
      </c>
      <c r="E1002" s="248">
        <v>460</v>
      </c>
      <c r="F1002" s="249">
        <v>39236</v>
      </c>
      <c r="G1002" s="249">
        <v>43161</v>
      </c>
      <c r="H1002" s="247" t="s">
        <v>56</v>
      </c>
      <c r="I1002" s="250" t="s">
        <v>3351</v>
      </c>
    </row>
    <row r="1003" spans="1:9">
      <c r="A1003" s="246">
        <v>999</v>
      </c>
      <c r="B1003" s="247" t="s">
        <v>482</v>
      </c>
      <c r="C1003" s="302" t="str">
        <f>"6483"</f>
        <v>6483</v>
      </c>
      <c r="D1003" s="247" t="s">
        <v>18</v>
      </c>
      <c r="E1003" s="248">
        <v>468</v>
      </c>
      <c r="F1003" s="249">
        <v>40395</v>
      </c>
      <c r="G1003" s="249">
        <v>42220</v>
      </c>
      <c r="H1003" s="247" t="s">
        <v>59</v>
      </c>
      <c r="I1003" s="250" t="s">
        <v>438</v>
      </c>
    </row>
    <row r="1004" spans="1:9">
      <c r="A1004" s="246">
        <v>1000</v>
      </c>
      <c r="B1004" s="247" t="s">
        <v>482</v>
      </c>
      <c r="C1004" s="302" t="str">
        <f>"6484"</f>
        <v>6484</v>
      </c>
      <c r="D1004" s="247" t="s">
        <v>18</v>
      </c>
      <c r="E1004" s="248">
        <v>230</v>
      </c>
      <c r="F1004" s="249">
        <v>39588</v>
      </c>
      <c r="G1004" s="249">
        <v>41413</v>
      </c>
      <c r="H1004" s="247" t="s">
        <v>59</v>
      </c>
      <c r="I1004" s="250" t="s">
        <v>3417</v>
      </c>
    </row>
    <row r="1005" spans="1:9">
      <c r="A1005" s="246">
        <v>1001</v>
      </c>
      <c r="B1005" s="247" t="s">
        <v>482</v>
      </c>
      <c r="C1005" s="302" t="str">
        <f>"6487"</f>
        <v>6487</v>
      </c>
      <c r="D1005" s="247" t="s">
        <v>18</v>
      </c>
      <c r="E1005" s="248">
        <v>235</v>
      </c>
      <c r="F1005" s="249">
        <v>39588</v>
      </c>
      <c r="G1005" s="249">
        <v>41413</v>
      </c>
      <c r="H1005" s="247" t="s">
        <v>59</v>
      </c>
      <c r="I1005" s="250" t="s">
        <v>3417</v>
      </c>
    </row>
    <row r="1006" spans="1:9">
      <c r="A1006" s="246">
        <v>1002</v>
      </c>
      <c r="B1006" s="247" t="s">
        <v>482</v>
      </c>
      <c r="C1006" s="302" t="str">
        <f>"6491"</f>
        <v>6491</v>
      </c>
      <c r="D1006" s="247" t="s">
        <v>18</v>
      </c>
      <c r="E1006" s="248">
        <v>386</v>
      </c>
      <c r="F1006" s="249">
        <v>40395</v>
      </c>
      <c r="G1006" s="249">
        <v>42220</v>
      </c>
      <c r="H1006" s="247" t="s">
        <v>59</v>
      </c>
      <c r="I1006" s="250" t="s">
        <v>438</v>
      </c>
    </row>
    <row r="1007" spans="1:9">
      <c r="A1007" s="246">
        <v>1003</v>
      </c>
      <c r="B1007" s="247" t="s">
        <v>28</v>
      </c>
      <c r="C1007" s="302" t="str">
        <f>"6533"</f>
        <v>6533</v>
      </c>
      <c r="D1007" s="247" t="s">
        <v>18</v>
      </c>
      <c r="E1007" s="248">
        <v>85</v>
      </c>
      <c r="F1007" s="249">
        <v>41003</v>
      </c>
      <c r="G1007" s="249">
        <v>42828</v>
      </c>
      <c r="H1007" s="247" t="s">
        <v>14</v>
      </c>
      <c r="I1007" s="250" t="s">
        <v>3386</v>
      </c>
    </row>
    <row r="1008" spans="1:9">
      <c r="A1008" s="246">
        <v>1004</v>
      </c>
      <c r="B1008" s="247" t="s">
        <v>3347</v>
      </c>
      <c r="C1008" s="302" t="str">
        <f>"6556"</f>
        <v>6556</v>
      </c>
      <c r="D1008" s="247" t="s">
        <v>18</v>
      </c>
      <c r="E1008" s="248">
        <v>400</v>
      </c>
      <c r="F1008" s="249">
        <v>41036</v>
      </c>
      <c r="G1008" s="249">
        <v>42680</v>
      </c>
      <c r="H1008" s="247" t="s">
        <v>24</v>
      </c>
      <c r="I1008" s="250" t="s">
        <v>438</v>
      </c>
    </row>
    <row r="1009" spans="1:9">
      <c r="A1009" s="246">
        <v>1005</v>
      </c>
      <c r="B1009" s="247" t="s">
        <v>3347</v>
      </c>
      <c r="C1009" s="302" t="str">
        <f>"6558"</f>
        <v>6558</v>
      </c>
      <c r="D1009" s="247" t="s">
        <v>18</v>
      </c>
      <c r="E1009" s="248">
        <v>460</v>
      </c>
      <c r="F1009" s="249">
        <v>39209</v>
      </c>
      <c r="G1009" s="249">
        <v>42314</v>
      </c>
      <c r="H1009" s="247" t="s">
        <v>56</v>
      </c>
      <c r="I1009" s="250" t="s">
        <v>438</v>
      </c>
    </row>
    <row r="1010" spans="1:9">
      <c r="A1010" s="246">
        <v>1006</v>
      </c>
      <c r="B1010" s="247" t="s">
        <v>3347</v>
      </c>
      <c r="C1010" s="302" t="str">
        <f>"6559"</f>
        <v>6559</v>
      </c>
      <c r="D1010" s="247" t="s">
        <v>18</v>
      </c>
      <c r="E1010" s="248">
        <v>400</v>
      </c>
      <c r="F1010" s="249">
        <v>39209</v>
      </c>
      <c r="G1010" s="249">
        <v>42314</v>
      </c>
      <c r="H1010" s="247" t="s">
        <v>56</v>
      </c>
      <c r="I1010" s="250" t="s">
        <v>438</v>
      </c>
    </row>
    <row r="1011" spans="1:9">
      <c r="A1011" s="246">
        <v>1007</v>
      </c>
      <c r="B1011" s="247" t="s">
        <v>3347</v>
      </c>
      <c r="C1011" s="302" t="str">
        <f>"6560"</f>
        <v>6560</v>
      </c>
      <c r="D1011" s="247" t="s">
        <v>18</v>
      </c>
      <c r="E1011" s="248">
        <v>126</v>
      </c>
      <c r="F1011" s="249">
        <v>39209</v>
      </c>
      <c r="G1011" s="249">
        <v>41035</v>
      </c>
      <c r="H1011" s="247" t="s">
        <v>19</v>
      </c>
      <c r="I1011" s="250" t="s">
        <v>438</v>
      </c>
    </row>
    <row r="1012" spans="1:9">
      <c r="A1012" s="246">
        <v>1008</v>
      </c>
      <c r="B1012" s="247" t="s">
        <v>3347</v>
      </c>
      <c r="C1012" s="302" t="str">
        <f>"6561"</f>
        <v>6561</v>
      </c>
      <c r="D1012" s="247" t="s">
        <v>18</v>
      </c>
      <c r="E1012" s="248">
        <v>255</v>
      </c>
      <c r="F1012" s="249">
        <v>39209</v>
      </c>
      <c r="G1012" s="249">
        <v>42314</v>
      </c>
      <c r="H1012" s="247" t="s">
        <v>56</v>
      </c>
      <c r="I1012" s="250" t="s">
        <v>438</v>
      </c>
    </row>
    <row r="1013" spans="1:9">
      <c r="A1013" s="246">
        <v>1009</v>
      </c>
      <c r="B1013" s="247" t="s">
        <v>3347</v>
      </c>
      <c r="C1013" s="302" t="str">
        <f>"6562"</f>
        <v>6562</v>
      </c>
      <c r="D1013" s="247" t="s">
        <v>18</v>
      </c>
      <c r="E1013" s="248">
        <v>400</v>
      </c>
      <c r="F1013" s="249">
        <v>41036</v>
      </c>
      <c r="G1013" s="249">
        <v>42680</v>
      </c>
      <c r="H1013" s="247" t="s">
        <v>56</v>
      </c>
      <c r="I1013" s="250" t="s">
        <v>438</v>
      </c>
    </row>
    <row r="1014" spans="1:9">
      <c r="A1014" s="246">
        <v>1010</v>
      </c>
      <c r="B1014" s="247" t="s">
        <v>3347</v>
      </c>
      <c r="C1014" s="302" t="str">
        <f>"6563"</f>
        <v>6563</v>
      </c>
      <c r="D1014" s="247" t="s">
        <v>18</v>
      </c>
      <c r="E1014" s="248">
        <v>460</v>
      </c>
      <c r="F1014" s="249">
        <v>39209</v>
      </c>
      <c r="G1014" s="249">
        <v>42314</v>
      </c>
      <c r="H1014" s="247" t="s">
        <v>56</v>
      </c>
      <c r="I1014" s="250" t="s">
        <v>438</v>
      </c>
    </row>
    <row r="1015" spans="1:9">
      <c r="A1015" s="246">
        <v>1011</v>
      </c>
      <c r="B1015" s="247" t="s">
        <v>3347</v>
      </c>
      <c r="C1015" s="302" t="str">
        <f>"6564"</f>
        <v>6564</v>
      </c>
      <c r="D1015" s="247" t="s">
        <v>18</v>
      </c>
      <c r="E1015" s="248">
        <v>240</v>
      </c>
      <c r="F1015" s="249">
        <v>39209</v>
      </c>
      <c r="G1015" s="249">
        <v>42314</v>
      </c>
      <c r="H1015" s="247" t="s">
        <v>56</v>
      </c>
      <c r="I1015" s="250" t="s">
        <v>438</v>
      </c>
    </row>
    <row r="1016" spans="1:9">
      <c r="A1016" s="246">
        <v>1012</v>
      </c>
      <c r="B1016" s="247" t="s">
        <v>3441</v>
      </c>
      <c r="C1016" s="302" t="str">
        <f>"6568"</f>
        <v>6568</v>
      </c>
      <c r="D1016" s="247" t="s">
        <v>18</v>
      </c>
      <c r="E1016" s="248">
        <v>98</v>
      </c>
      <c r="F1016" s="249">
        <v>39240</v>
      </c>
      <c r="G1016" s="249">
        <v>41066</v>
      </c>
      <c r="H1016" s="247" t="s">
        <v>59</v>
      </c>
      <c r="I1016" s="250" t="s">
        <v>437</v>
      </c>
    </row>
    <row r="1017" spans="1:9">
      <c r="A1017" s="246">
        <v>1013</v>
      </c>
      <c r="B1017" s="247" t="s">
        <v>146</v>
      </c>
      <c r="C1017" s="302" t="str">
        <f>"6575"</f>
        <v>6575</v>
      </c>
      <c r="D1017" s="247" t="s">
        <v>21</v>
      </c>
      <c r="E1017" s="248">
        <v>4</v>
      </c>
      <c r="F1017" s="249">
        <v>43650</v>
      </c>
      <c r="G1017" s="249">
        <v>45476</v>
      </c>
      <c r="H1017" s="247" t="s">
        <v>16</v>
      </c>
      <c r="I1017" s="250" t="s">
        <v>79</v>
      </c>
    </row>
    <row r="1018" spans="1:9">
      <c r="A1018" s="246">
        <v>1014</v>
      </c>
      <c r="B1018" s="247" t="s">
        <v>67</v>
      </c>
      <c r="C1018" s="302" t="str">
        <f>"6585"</f>
        <v>6585</v>
      </c>
      <c r="D1018" s="247" t="s">
        <v>21</v>
      </c>
      <c r="E1018" s="248">
        <v>4</v>
      </c>
      <c r="F1018" s="249">
        <v>44090</v>
      </c>
      <c r="G1018" s="249">
        <v>45915</v>
      </c>
      <c r="H1018" s="247" t="s">
        <v>16</v>
      </c>
      <c r="I1018" s="250" t="s">
        <v>79</v>
      </c>
    </row>
    <row r="1019" spans="1:9">
      <c r="A1019" s="246">
        <v>1015</v>
      </c>
      <c r="B1019" s="247" t="s">
        <v>156</v>
      </c>
      <c r="C1019" s="302" t="str">
        <f>"6587"</f>
        <v>6587</v>
      </c>
      <c r="D1019" s="247" t="s">
        <v>21</v>
      </c>
      <c r="E1019" s="248">
        <v>5</v>
      </c>
      <c r="F1019" s="249">
        <v>42328</v>
      </c>
      <c r="G1019" s="249">
        <v>44154</v>
      </c>
      <c r="H1019" s="247" t="s">
        <v>16</v>
      </c>
      <c r="I1019" s="250" t="s">
        <v>3342</v>
      </c>
    </row>
    <row r="1020" spans="1:9">
      <c r="A1020" s="246">
        <v>1016</v>
      </c>
      <c r="B1020" s="247" t="s">
        <v>156</v>
      </c>
      <c r="C1020" s="302" t="str">
        <f>"6588"</f>
        <v>6588</v>
      </c>
      <c r="D1020" s="247" t="s">
        <v>21</v>
      </c>
      <c r="E1020" s="248">
        <v>5</v>
      </c>
      <c r="F1020" s="249">
        <v>42328</v>
      </c>
      <c r="G1020" s="249">
        <v>44154</v>
      </c>
      <c r="H1020" s="247" t="s">
        <v>16</v>
      </c>
      <c r="I1020" s="250" t="s">
        <v>3342</v>
      </c>
    </row>
    <row r="1021" spans="1:9">
      <c r="A1021" s="246">
        <v>1017</v>
      </c>
      <c r="B1021" s="247" t="s">
        <v>156</v>
      </c>
      <c r="C1021" s="302" t="str">
        <f>"6589"</f>
        <v>6589</v>
      </c>
      <c r="D1021" s="247" t="s">
        <v>21</v>
      </c>
      <c r="E1021" s="248">
        <v>4</v>
      </c>
      <c r="F1021" s="249">
        <v>42328</v>
      </c>
      <c r="G1021" s="249">
        <v>44154</v>
      </c>
      <c r="H1021" s="247" t="s">
        <v>16</v>
      </c>
      <c r="I1021" s="250" t="s">
        <v>3342</v>
      </c>
    </row>
    <row r="1022" spans="1:9">
      <c r="A1022" s="246">
        <v>1018</v>
      </c>
      <c r="B1022" s="247" t="s">
        <v>156</v>
      </c>
      <c r="C1022" s="302" t="str">
        <f>"6590"</f>
        <v>6590</v>
      </c>
      <c r="D1022" s="247" t="s">
        <v>21</v>
      </c>
      <c r="E1022" s="248">
        <v>3</v>
      </c>
      <c r="F1022" s="249">
        <v>42327</v>
      </c>
      <c r="G1022" s="249">
        <v>44153</v>
      </c>
      <c r="H1022" s="247" t="s">
        <v>16</v>
      </c>
      <c r="I1022" s="250" t="s">
        <v>3342</v>
      </c>
    </row>
    <row r="1023" spans="1:9">
      <c r="A1023" s="246">
        <v>1019</v>
      </c>
      <c r="B1023" s="247" t="s">
        <v>3451</v>
      </c>
      <c r="C1023" s="302" t="str">
        <f>"6646"</f>
        <v>6646</v>
      </c>
      <c r="D1023" s="247" t="s">
        <v>13</v>
      </c>
      <c r="E1023" s="248">
        <v>471</v>
      </c>
      <c r="F1023" s="249">
        <v>40082</v>
      </c>
      <c r="G1023" s="249">
        <v>51038</v>
      </c>
      <c r="H1023" s="247" t="s">
        <v>70</v>
      </c>
      <c r="I1023" s="250" t="s">
        <v>438</v>
      </c>
    </row>
    <row r="1024" spans="1:9">
      <c r="A1024" s="246">
        <v>1020</v>
      </c>
      <c r="B1024" s="247" t="s">
        <v>416</v>
      </c>
      <c r="C1024" s="302" t="str">
        <f>"6770"</f>
        <v>6770</v>
      </c>
      <c r="D1024" s="247" t="s">
        <v>21</v>
      </c>
      <c r="E1024" s="248">
        <v>4</v>
      </c>
      <c r="F1024" s="249">
        <v>43917</v>
      </c>
      <c r="G1024" s="249">
        <v>45742</v>
      </c>
      <c r="H1024" s="247" t="s">
        <v>84</v>
      </c>
      <c r="I1024" s="250" t="s">
        <v>3346</v>
      </c>
    </row>
    <row r="1025" spans="1:9">
      <c r="A1025" s="246">
        <v>1021</v>
      </c>
      <c r="B1025" s="247" t="s">
        <v>3452</v>
      </c>
      <c r="C1025" s="302" t="str">
        <f>"6901"</f>
        <v>6901</v>
      </c>
      <c r="D1025" s="247" t="s">
        <v>18</v>
      </c>
      <c r="E1025" s="248">
        <v>40</v>
      </c>
      <c r="F1025" s="249">
        <v>41592</v>
      </c>
      <c r="G1025" s="249">
        <v>42321</v>
      </c>
      <c r="H1025" s="247" t="s">
        <v>24</v>
      </c>
      <c r="I1025" s="250" t="s">
        <v>437</v>
      </c>
    </row>
    <row r="1026" spans="1:9">
      <c r="A1026" s="246">
        <v>1022</v>
      </c>
      <c r="B1026" s="247" t="s">
        <v>483</v>
      </c>
      <c r="C1026" s="302" t="str">
        <f>"6957"</f>
        <v>6957</v>
      </c>
      <c r="D1026" s="247" t="s">
        <v>23</v>
      </c>
      <c r="E1026" s="248">
        <v>5</v>
      </c>
      <c r="F1026" s="249">
        <v>39303</v>
      </c>
      <c r="G1026" s="249">
        <v>39668</v>
      </c>
      <c r="H1026" s="247" t="s">
        <v>89</v>
      </c>
      <c r="I1026" s="250" t="s">
        <v>3413</v>
      </c>
    </row>
    <row r="1027" spans="1:9">
      <c r="A1027" s="246">
        <v>1023</v>
      </c>
      <c r="B1027" s="247" t="s">
        <v>147</v>
      </c>
      <c r="C1027" s="302" t="str">
        <f>"6968"</f>
        <v>6968</v>
      </c>
      <c r="D1027" s="247" t="s">
        <v>13</v>
      </c>
      <c r="E1027" s="248">
        <v>10</v>
      </c>
      <c r="F1027" s="249">
        <v>42811</v>
      </c>
      <c r="G1027" s="249">
        <v>53767</v>
      </c>
      <c r="H1027" s="247" t="s">
        <v>84</v>
      </c>
      <c r="I1027" s="250" t="s">
        <v>79</v>
      </c>
    </row>
    <row r="1028" spans="1:9">
      <c r="A1028" s="246">
        <v>1024</v>
      </c>
      <c r="B1028" s="247" t="s">
        <v>147</v>
      </c>
      <c r="C1028" s="302" t="str">
        <f>"6969"</f>
        <v>6969</v>
      </c>
      <c r="D1028" s="247" t="s">
        <v>13</v>
      </c>
      <c r="E1028" s="248">
        <v>20</v>
      </c>
      <c r="F1028" s="249">
        <v>42811</v>
      </c>
      <c r="G1028" s="249">
        <v>53767</v>
      </c>
      <c r="H1028" s="247" t="s">
        <v>84</v>
      </c>
      <c r="I1028" s="250" t="s">
        <v>79</v>
      </c>
    </row>
    <row r="1029" spans="1:9">
      <c r="A1029" s="246">
        <v>1025</v>
      </c>
      <c r="B1029" s="247" t="s">
        <v>147</v>
      </c>
      <c r="C1029" s="302" t="str">
        <f>"6970"</f>
        <v>6970</v>
      </c>
      <c r="D1029" s="247" t="s">
        <v>13</v>
      </c>
      <c r="E1029" s="248">
        <v>20</v>
      </c>
      <c r="F1029" s="249">
        <v>42811</v>
      </c>
      <c r="G1029" s="249">
        <v>53767</v>
      </c>
      <c r="H1029" s="247" t="s">
        <v>84</v>
      </c>
      <c r="I1029" s="250" t="s">
        <v>79</v>
      </c>
    </row>
    <row r="1030" spans="1:9">
      <c r="A1030" s="246">
        <v>1026</v>
      </c>
      <c r="B1030" s="247" t="s">
        <v>3347</v>
      </c>
      <c r="C1030" s="302" t="str">
        <f>"6994"</f>
        <v>6994</v>
      </c>
      <c r="D1030" s="247" t="s">
        <v>18</v>
      </c>
      <c r="E1030" s="248">
        <v>400</v>
      </c>
      <c r="F1030" s="249">
        <v>40715</v>
      </c>
      <c r="G1030" s="249">
        <v>42358</v>
      </c>
      <c r="H1030" s="247" t="s">
        <v>56</v>
      </c>
      <c r="I1030" s="250" t="s">
        <v>3369</v>
      </c>
    </row>
    <row r="1031" spans="1:9">
      <c r="A1031" s="246">
        <v>1027</v>
      </c>
      <c r="B1031" s="247" t="s">
        <v>3347</v>
      </c>
      <c r="C1031" s="302" t="str">
        <f>"6995"</f>
        <v>6995</v>
      </c>
      <c r="D1031" s="247" t="s">
        <v>18</v>
      </c>
      <c r="E1031" s="248">
        <v>400</v>
      </c>
      <c r="F1031" s="249">
        <v>40715</v>
      </c>
      <c r="G1031" s="249">
        <v>42358</v>
      </c>
      <c r="H1031" s="247" t="s">
        <v>56</v>
      </c>
      <c r="I1031" s="250" t="s">
        <v>3369</v>
      </c>
    </row>
    <row r="1032" spans="1:9">
      <c r="A1032" s="246">
        <v>1028</v>
      </c>
      <c r="B1032" s="247" t="s">
        <v>3347</v>
      </c>
      <c r="C1032" s="302" t="str">
        <f>"6996"</f>
        <v>6996</v>
      </c>
      <c r="D1032" s="247" t="s">
        <v>18</v>
      </c>
      <c r="E1032" s="248">
        <v>340</v>
      </c>
      <c r="F1032" s="249">
        <v>39254</v>
      </c>
      <c r="G1032" s="249">
        <v>42358</v>
      </c>
      <c r="H1032" s="247" t="s">
        <v>56</v>
      </c>
      <c r="I1032" s="250" t="s">
        <v>3369</v>
      </c>
    </row>
    <row r="1033" spans="1:9">
      <c r="A1033" s="246">
        <v>1029</v>
      </c>
      <c r="B1033" s="247" t="s">
        <v>484</v>
      </c>
      <c r="C1033" s="302" t="str">
        <f>"6997"</f>
        <v>6997</v>
      </c>
      <c r="D1033" s="247" t="s">
        <v>21</v>
      </c>
      <c r="E1033" s="248">
        <v>5</v>
      </c>
      <c r="F1033" s="249">
        <v>41327</v>
      </c>
      <c r="G1033" s="249">
        <v>43152</v>
      </c>
      <c r="H1033" s="247" t="s">
        <v>14</v>
      </c>
      <c r="I1033" s="250" t="s">
        <v>3342</v>
      </c>
    </row>
    <row r="1034" spans="1:9">
      <c r="A1034" s="246">
        <v>1030</v>
      </c>
      <c r="B1034" s="247" t="s">
        <v>114</v>
      </c>
      <c r="C1034" s="302" t="str">
        <f>"7039"</f>
        <v>7039</v>
      </c>
      <c r="D1034" s="247" t="s">
        <v>18</v>
      </c>
      <c r="E1034" s="248">
        <v>188</v>
      </c>
      <c r="F1034" s="249">
        <v>39254</v>
      </c>
      <c r="G1034" s="249">
        <v>41080</v>
      </c>
      <c r="H1034" s="247" t="s">
        <v>59</v>
      </c>
      <c r="I1034" s="250" t="s">
        <v>3359</v>
      </c>
    </row>
    <row r="1035" spans="1:9">
      <c r="A1035" s="246">
        <v>1031</v>
      </c>
      <c r="B1035" s="247" t="s">
        <v>43</v>
      </c>
      <c r="C1035" s="302" t="str">
        <f>"7044"</f>
        <v>7044</v>
      </c>
      <c r="D1035" s="247" t="s">
        <v>13</v>
      </c>
      <c r="E1035" s="248">
        <v>70</v>
      </c>
      <c r="F1035" s="249">
        <v>39300</v>
      </c>
      <c r="G1035" s="249">
        <v>44688</v>
      </c>
      <c r="H1035" s="247" t="s">
        <v>16</v>
      </c>
      <c r="I1035" s="250" t="s">
        <v>3342</v>
      </c>
    </row>
    <row r="1036" spans="1:9">
      <c r="A1036" s="246">
        <v>1032</v>
      </c>
      <c r="B1036" s="247" t="s">
        <v>3453</v>
      </c>
      <c r="C1036" s="302" t="str">
        <f>"7053"</f>
        <v>7053</v>
      </c>
      <c r="D1036" s="247" t="s">
        <v>18</v>
      </c>
      <c r="E1036" s="248">
        <v>272</v>
      </c>
      <c r="F1036" s="249">
        <v>39172</v>
      </c>
      <c r="G1036" s="249">
        <v>40632</v>
      </c>
      <c r="H1036" s="247" t="s">
        <v>14</v>
      </c>
      <c r="I1036" s="250" t="s">
        <v>438</v>
      </c>
    </row>
    <row r="1037" spans="1:9">
      <c r="A1037" s="246">
        <v>1033</v>
      </c>
      <c r="B1037" s="247" t="s">
        <v>485</v>
      </c>
      <c r="C1037" s="302" t="str">
        <f>"7054"</f>
        <v>7054</v>
      </c>
      <c r="D1037" s="247" t="s">
        <v>18</v>
      </c>
      <c r="E1037" s="248">
        <v>42</v>
      </c>
      <c r="F1037" s="249">
        <v>39169</v>
      </c>
      <c r="G1037" s="249">
        <v>40995</v>
      </c>
      <c r="H1037" s="247" t="s">
        <v>56</v>
      </c>
      <c r="I1037" s="250" t="s">
        <v>438</v>
      </c>
    </row>
    <row r="1038" spans="1:9">
      <c r="A1038" s="246">
        <v>1034</v>
      </c>
      <c r="B1038" s="247" t="s">
        <v>485</v>
      </c>
      <c r="C1038" s="302" t="str">
        <f>"7055"</f>
        <v>7055</v>
      </c>
      <c r="D1038" s="247" t="s">
        <v>18</v>
      </c>
      <c r="E1038" s="248">
        <v>48</v>
      </c>
      <c r="F1038" s="249">
        <v>39169</v>
      </c>
      <c r="G1038" s="249">
        <v>40995</v>
      </c>
      <c r="H1038" s="247" t="s">
        <v>56</v>
      </c>
      <c r="I1038" s="250" t="s">
        <v>438</v>
      </c>
    </row>
    <row r="1039" spans="1:9">
      <c r="A1039" s="246">
        <v>1035</v>
      </c>
      <c r="B1039" s="247" t="s">
        <v>3454</v>
      </c>
      <c r="C1039" s="302" t="str">
        <f>"7056"</f>
        <v>7056</v>
      </c>
      <c r="D1039" s="247" t="s">
        <v>18</v>
      </c>
      <c r="E1039" s="248">
        <v>6</v>
      </c>
      <c r="F1039" s="249">
        <v>39169</v>
      </c>
      <c r="G1039" s="249">
        <v>44153</v>
      </c>
      <c r="H1039" s="247" t="s">
        <v>19</v>
      </c>
      <c r="I1039" s="250" t="s">
        <v>3369</v>
      </c>
    </row>
    <row r="1040" spans="1:9">
      <c r="A1040" s="246">
        <v>1036</v>
      </c>
      <c r="B1040" s="247" t="s">
        <v>485</v>
      </c>
      <c r="C1040" s="302" t="str">
        <f>"7057"</f>
        <v>7057</v>
      </c>
      <c r="D1040" s="247" t="s">
        <v>30</v>
      </c>
      <c r="E1040" s="248">
        <v>36</v>
      </c>
      <c r="F1040" s="249">
        <v>43000</v>
      </c>
      <c r="G1040" s="249">
        <v>44825</v>
      </c>
      <c r="H1040" s="247" t="s">
        <v>84</v>
      </c>
      <c r="I1040" s="250" t="s">
        <v>438</v>
      </c>
    </row>
    <row r="1041" spans="1:9">
      <c r="A1041" s="246">
        <v>1037</v>
      </c>
      <c r="B1041" s="247" t="s">
        <v>485</v>
      </c>
      <c r="C1041" s="302" t="str">
        <f>"7058"</f>
        <v>7058</v>
      </c>
      <c r="D1041" s="247" t="s">
        <v>30</v>
      </c>
      <c r="E1041" s="248">
        <v>21</v>
      </c>
      <c r="F1041" s="249">
        <v>43000</v>
      </c>
      <c r="G1041" s="249">
        <v>44825</v>
      </c>
      <c r="H1041" s="247" t="s">
        <v>84</v>
      </c>
      <c r="I1041" s="250" t="s">
        <v>438</v>
      </c>
    </row>
    <row r="1042" spans="1:9">
      <c r="A1042" s="246">
        <v>1038</v>
      </c>
      <c r="B1042" s="247" t="s">
        <v>3455</v>
      </c>
      <c r="C1042" s="302" t="str">
        <f>"7073"</f>
        <v>7073</v>
      </c>
      <c r="D1042" s="247" t="s">
        <v>21</v>
      </c>
      <c r="E1042" s="248">
        <v>5</v>
      </c>
      <c r="F1042" s="249">
        <v>43413</v>
      </c>
      <c r="G1042" s="249">
        <v>45238</v>
      </c>
      <c r="H1042" s="247" t="s">
        <v>14</v>
      </c>
      <c r="I1042" s="250" t="s">
        <v>437</v>
      </c>
    </row>
    <row r="1043" spans="1:9">
      <c r="A1043" s="246">
        <v>1039</v>
      </c>
      <c r="B1043" s="247" t="s">
        <v>3456</v>
      </c>
      <c r="C1043" s="302" t="str">
        <f>"7085"</f>
        <v>7085</v>
      </c>
      <c r="D1043" s="247" t="s">
        <v>18</v>
      </c>
      <c r="E1043" s="248">
        <v>2</v>
      </c>
      <c r="F1043" s="249">
        <v>39249</v>
      </c>
      <c r="G1043" s="249">
        <v>41075</v>
      </c>
      <c r="H1043" s="247" t="s">
        <v>16</v>
      </c>
      <c r="I1043" s="250" t="s">
        <v>448</v>
      </c>
    </row>
    <row r="1044" spans="1:9">
      <c r="A1044" s="246">
        <v>1040</v>
      </c>
      <c r="B1044" s="247" t="s">
        <v>2043</v>
      </c>
      <c r="C1044" s="302" t="str">
        <f>"7113"</f>
        <v>7113</v>
      </c>
      <c r="D1044" s="247" t="s">
        <v>13</v>
      </c>
      <c r="E1044" s="248">
        <v>9</v>
      </c>
      <c r="F1044" s="249">
        <v>40900</v>
      </c>
      <c r="G1044" s="249">
        <v>51857</v>
      </c>
      <c r="H1044" s="247" t="s">
        <v>14</v>
      </c>
      <c r="I1044" s="250" t="s">
        <v>438</v>
      </c>
    </row>
    <row r="1045" spans="1:9">
      <c r="A1045" s="246">
        <v>1041</v>
      </c>
      <c r="B1045" s="247" t="s">
        <v>114</v>
      </c>
      <c r="C1045" s="302" t="str">
        <f>"7121"</f>
        <v>7121</v>
      </c>
      <c r="D1045" s="247" t="s">
        <v>30</v>
      </c>
      <c r="E1045" s="248">
        <v>190</v>
      </c>
      <c r="F1045" s="249">
        <v>43510</v>
      </c>
      <c r="G1045" s="249">
        <v>45342</v>
      </c>
      <c r="H1045" s="247" t="s">
        <v>56</v>
      </c>
      <c r="I1045" s="250" t="s">
        <v>79</v>
      </c>
    </row>
    <row r="1046" spans="1:9">
      <c r="A1046" s="246">
        <v>1042</v>
      </c>
      <c r="B1046" s="247" t="s">
        <v>114</v>
      </c>
      <c r="C1046" s="302" t="str">
        <f>"7122"</f>
        <v>7122</v>
      </c>
      <c r="D1046" s="247" t="s">
        <v>18</v>
      </c>
      <c r="E1046" s="248">
        <v>304</v>
      </c>
      <c r="F1046" s="249">
        <v>39254</v>
      </c>
      <c r="G1046" s="249">
        <v>41080</v>
      </c>
      <c r="H1046" s="247" t="s">
        <v>84</v>
      </c>
      <c r="I1046" s="250" t="s">
        <v>3359</v>
      </c>
    </row>
    <row r="1047" spans="1:9">
      <c r="A1047" s="246">
        <v>1043</v>
      </c>
      <c r="B1047" s="247" t="s">
        <v>114</v>
      </c>
      <c r="C1047" s="302" t="str">
        <f>"7123"</f>
        <v>7123</v>
      </c>
      <c r="D1047" s="247" t="s">
        <v>18</v>
      </c>
      <c r="E1047" s="248">
        <v>260</v>
      </c>
      <c r="F1047" s="249">
        <v>39254</v>
      </c>
      <c r="G1047" s="249">
        <v>41080</v>
      </c>
      <c r="H1047" s="247" t="s">
        <v>84</v>
      </c>
      <c r="I1047" s="250" t="s">
        <v>3359</v>
      </c>
    </row>
    <row r="1048" spans="1:9">
      <c r="A1048" s="246">
        <v>1044</v>
      </c>
      <c r="B1048" s="247" t="s">
        <v>114</v>
      </c>
      <c r="C1048" s="302" t="str">
        <f>"7124"</f>
        <v>7124</v>
      </c>
      <c r="D1048" s="247" t="s">
        <v>18</v>
      </c>
      <c r="E1048" s="248">
        <v>280</v>
      </c>
      <c r="F1048" s="249">
        <v>39254</v>
      </c>
      <c r="G1048" s="249">
        <v>41080</v>
      </c>
      <c r="H1048" s="247" t="s">
        <v>84</v>
      </c>
      <c r="I1048" s="250" t="s">
        <v>3359</v>
      </c>
    </row>
    <row r="1049" spans="1:9">
      <c r="A1049" s="246">
        <v>1045</v>
      </c>
      <c r="B1049" s="247" t="s">
        <v>114</v>
      </c>
      <c r="C1049" s="302" t="str">
        <f>"7125"</f>
        <v>7125</v>
      </c>
      <c r="D1049" s="247" t="s">
        <v>30</v>
      </c>
      <c r="E1049" s="248">
        <v>248</v>
      </c>
      <c r="F1049" s="249">
        <v>41684</v>
      </c>
      <c r="G1049" s="249">
        <v>43509</v>
      </c>
      <c r="H1049" s="247" t="s">
        <v>84</v>
      </c>
      <c r="I1049" s="250" t="s">
        <v>3359</v>
      </c>
    </row>
    <row r="1050" spans="1:9">
      <c r="A1050" s="246">
        <v>1046</v>
      </c>
      <c r="B1050" s="247" t="s">
        <v>3457</v>
      </c>
      <c r="C1050" s="302" t="str">
        <f>"7127"</f>
        <v>7127</v>
      </c>
      <c r="D1050" s="247" t="s">
        <v>18</v>
      </c>
      <c r="E1050" s="248">
        <v>403</v>
      </c>
      <c r="F1050" s="249">
        <v>39176</v>
      </c>
      <c r="G1050" s="249">
        <v>40636</v>
      </c>
      <c r="H1050" s="247" t="s">
        <v>14</v>
      </c>
      <c r="I1050" s="250" t="s">
        <v>438</v>
      </c>
    </row>
    <row r="1051" spans="1:9">
      <c r="A1051" s="246">
        <v>1047</v>
      </c>
      <c r="B1051" s="247" t="s">
        <v>3457</v>
      </c>
      <c r="C1051" s="302" t="str">
        <f>"7128"</f>
        <v>7128</v>
      </c>
      <c r="D1051" s="247" t="s">
        <v>18</v>
      </c>
      <c r="E1051" s="248">
        <v>291</v>
      </c>
      <c r="F1051" s="249">
        <v>39176</v>
      </c>
      <c r="G1051" s="249">
        <v>40636</v>
      </c>
      <c r="H1051" s="247" t="s">
        <v>14</v>
      </c>
      <c r="I1051" s="250" t="s">
        <v>438</v>
      </c>
    </row>
    <row r="1052" spans="1:9">
      <c r="A1052" s="246">
        <v>1048</v>
      </c>
      <c r="B1052" s="247" t="s">
        <v>3458</v>
      </c>
      <c r="C1052" s="302" t="str">
        <f>"7196"</f>
        <v>7196</v>
      </c>
      <c r="D1052" s="247" t="s">
        <v>18</v>
      </c>
      <c r="E1052" s="248">
        <v>12</v>
      </c>
      <c r="F1052" s="249">
        <v>39254</v>
      </c>
      <c r="G1052" s="249">
        <v>41080</v>
      </c>
      <c r="H1052" s="247" t="s">
        <v>14</v>
      </c>
      <c r="I1052" s="250" t="s">
        <v>438</v>
      </c>
    </row>
    <row r="1053" spans="1:9">
      <c r="A1053" s="246">
        <v>1049</v>
      </c>
      <c r="B1053" s="247" t="s">
        <v>3445</v>
      </c>
      <c r="C1053" s="302" t="str">
        <f>"7199"</f>
        <v>7199</v>
      </c>
      <c r="D1053" s="247" t="s">
        <v>18</v>
      </c>
      <c r="E1053" s="248">
        <v>4</v>
      </c>
      <c r="F1053" s="249">
        <v>39254</v>
      </c>
      <c r="G1053" s="249">
        <v>40714</v>
      </c>
      <c r="H1053" s="247" t="s">
        <v>26</v>
      </c>
      <c r="I1053" s="250" t="s">
        <v>437</v>
      </c>
    </row>
    <row r="1054" spans="1:9">
      <c r="A1054" s="246">
        <v>1050</v>
      </c>
      <c r="B1054" s="247" t="s">
        <v>3459</v>
      </c>
      <c r="C1054" s="302" t="str">
        <f>"7214"</f>
        <v>7214</v>
      </c>
      <c r="D1054" s="247" t="s">
        <v>23</v>
      </c>
      <c r="E1054" s="248">
        <v>4</v>
      </c>
      <c r="F1054" s="249">
        <v>40486</v>
      </c>
      <c r="G1054" s="249">
        <v>40850</v>
      </c>
      <c r="H1054" s="247" t="s">
        <v>14</v>
      </c>
      <c r="I1054" s="250" t="s">
        <v>437</v>
      </c>
    </row>
    <row r="1055" spans="1:9">
      <c r="A1055" s="246">
        <v>1051</v>
      </c>
      <c r="B1055" s="247" t="s">
        <v>3460</v>
      </c>
      <c r="C1055" s="302" t="str">
        <f>"7235"</f>
        <v>7235</v>
      </c>
      <c r="D1055" s="247" t="s">
        <v>18</v>
      </c>
      <c r="E1055" s="248">
        <v>406</v>
      </c>
      <c r="F1055" s="249">
        <v>40717</v>
      </c>
      <c r="G1055" s="249">
        <v>42410</v>
      </c>
      <c r="H1055" s="247" t="s">
        <v>84</v>
      </c>
      <c r="I1055" s="250" t="s">
        <v>437</v>
      </c>
    </row>
    <row r="1056" spans="1:9">
      <c r="A1056" s="246">
        <v>1052</v>
      </c>
      <c r="B1056" s="247" t="s">
        <v>3450</v>
      </c>
      <c r="C1056" s="302" t="str">
        <f>"7302"</f>
        <v>7302</v>
      </c>
      <c r="D1056" s="247" t="s">
        <v>18</v>
      </c>
      <c r="E1056" s="248">
        <v>49</v>
      </c>
      <c r="F1056" s="249">
        <v>40242</v>
      </c>
      <c r="G1056" s="249">
        <v>43162</v>
      </c>
      <c r="H1056" s="247" t="s">
        <v>56</v>
      </c>
      <c r="I1056" s="250" t="s">
        <v>3351</v>
      </c>
    </row>
    <row r="1057" spans="1:9">
      <c r="A1057" s="246">
        <v>1053</v>
      </c>
      <c r="B1057" s="247" t="s">
        <v>3450</v>
      </c>
      <c r="C1057" s="302" t="str">
        <f>"7305"</f>
        <v>7305</v>
      </c>
      <c r="D1057" s="247" t="s">
        <v>18</v>
      </c>
      <c r="E1057" s="248">
        <v>400</v>
      </c>
      <c r="F1057" s="249">
        <v>40242</v>
      </c>
      <c r="G1057" s="249">
        <v>43161</v>
      </c>
      <c r="H1057" s="247" t="s">
        <v>84</v>
      </c>
      <c r="I1057" s="250" t="s">
        <v>3351</v>
      </c>
    </row>
    <row r="1058" spans="1:9">
      <c r="A1058" s="246">
        <v>1054</v>
      </c>
      <c r="B1058" s="247" t="s">
        <v>3450</v>
      </c>
      <c r="C1058" s="302" t="str">
        <f>"7307"</f>
        <v>7307</v>
      </c>
      <c r="D1058" s="247" t="s">
        <v>18</v>
      </c>
      <c r="E1058" s="248">
        <v>313</v>
      </c>
      <c r="F1058" s="249">
        <v>40242</v>
      </c>
      <c r="G1058" s="249">
        <v>43161</v>
      </c>
      <c r="H1058" s="247" t="s">
        <v>56</v>
      </c>
      <c r="I1058" s="250" t="s">
        <v>3351</v>
      </c>
    </row>
    <row r="1059" spans="1:9">
      <c r="A1059" s="246">
        <v>1055</v>
      </c>
      <c r="B1059" s="247" t="s">
        <v>3450</v>
      </c>
      <c r="C1059" s="302" t="str">
        <f>"7321"</f>
        <v>7321</v>
      </c>
      <c r="D1059" s="247" t="s">
        <v>18</v>
      </c>
      <c r="E1059" s="248">
        <v>353</v>
      </c>
      <c r="F1059" s="249">
        <v>40242</v>
      </c>
      <c r="G1059" s="249">
        <v>43161</v>
      </c>
      <c r="H1059" s="247" t="s">
        <v>56</v>
      </c>
      <c r="I1059" s="250" t="s">
        <v>3351</v>
      </c>
    </row>
    <row r="1060" spans="1:9">
      <c r="A1060" s="246">
        <v>1056</v>
      </c>
      <c r="B1060" s="247" t="s">
        <v>3450</v>
      </c>
      <c r="C1060" s="302" t="str">
        <f>"7331"</f>
        <v>7331</v>
      </c>
      <c r="D1060" s="247" t="s">
        <v>18</v>
      </c>
      <c r="E1060" s="248">
        <v>306</v>
      </c>
      <c r="F1060" s="249">
        <v>40242</v>
      </c>
      <c r="G1060" s="249">
        <v>43161</v>
      </c>
      <c r="H1060" s="247" t="s">
        <v>84</v>
      </c>
      <c r="I1060" s="250" t="s">
        <v>3351</v>
      </c>
    </row>
    <row r="1061" spans="1:9">
      <c r="A1061" s="246">
        <v>1057</v>
      </c>
      <c r="B1061" s="247" t="s">
        <v>148</v>
      </c>
      <c r="C1061" s="302" t="str">
        <f>"7373"</f>
        <v>7373</v>
      </c>
      <c r="D1061" s="247" t="s">
        <v>30</v>
      </c>
      <c r="E1061" s="248">
        <v>15</v>
      </c>
      <c r="F1061" s="249">
        <v>43634</v>
      </c>
      <c r="G1061" s="249">
        <v>45460</v>
      </c>
      <c r="H1061" s="247" t="s">
        <v>84</v>
      </c>
      <c r="I1061" s="250" t="s">
        <v>79</v>
      </c>
    </row>
    <row r="1062" spans="1:9">
      <c r="A1062" s="246">
        <v>1058</v>
      </c>
      <c r="B1062" s="247" t="s">
        <v>412</v>
      </c>
      <c r="C1062" s="302" t="str">
        <f>"7381"</f>
        <v>7381</v>
      </c>
      <c r="D1062" s="247" t="s">
        <v>21</v>
      </c>
      <c r="E1062" s="248">
        <v>4</v>
      </c>
      <c r="F1062" s="249">
        <v>42684</v>
      </c>
      <c r="G1062" s="249">
        <v>44509</v>
      </c>
      <c r="H1062" s="247" t="s">
        <v>16</v>
      </c>
      <c r="I1062" s="250" t="s">
        <v>3342</v>
      </c>
    </row>
    <row r="1063" spans="1:9">
      <c r="A1063" s="246">
        <v>1059</v>
      </c>
      <c r="B1063" s="247" t="s">
        <v>412</v>
      </c>
      <c r="C1063" s="302" t="str">
        <f>"7383"</f>
        <v>7383</v>
      </c>
      <c r="D1063" s="247" t="s">
        <v>21</v>
      </c>
      <c r="E1063" s="248">
        <v>4</v>
      </c>
      <c r="F1063" s="249">
        <v>42694</v>
      </c>
      <c r="G1063" s="249">
        <v>44519</v>
      </c>
      <c r="H1063" s="247" t="s">
        <v>16</v>
      </c>
      <c r="I1063" s="250" t="s">
        <v>3342</v>
      </c>
    </row>
    <row r="1064" spans="1:9">
      <c r="A1064" s="246">
        <v>1060</v>
      </c>
      <c r="B1064" s="247" t="s">
        <v>412</v>
      </c>
      <c r="C1064" s="302" t="str">
        <f>"7385"</f>
        <v>7385</v>
      </c>
      <c r="D1064" s="247" t="s">
        <v>21</v>
      </c>
      <c r="E1064" s="248">
        <v>4</v>
      </c>
      <c r="F1064" s="249">
        <v>42684</v>
      </c>
      <c r="G1064" s="249">
        <v>44509</v>
      </c>
      <c r="H1064" s="247" t="s">
        <v>16</v>
      </c>
      <c r="I1064" s="250" t="s">
        <v>3342</v>
      </c>
    </row>
    <row r="1065" spans="1:9">
      <c r="A1065" s="246">
        <v>1061</v>
      </c>
      <c r="B1065" s="247" t="s">
        <v>412</v>
      </c>
      <c r="C1065" s="302" t="str">
        <f>"7386"</f>
        <v>7386</v>
      </c>
      <c r="D1065" s="247" t="s">
        <v>21</v>
      </c>
      <c r="E1065" s="248">
        <v>4</v>
      </c>
      <c r="F1065" s="249">
        <v>42684</v>
      </c>
      <c r="G1065" s="249">
        <v>44509</v>
      </c>
      <c r="H1065" s="247" t="s">
        <v>16</v>
      </c>
      <c r="I1065" s="250" t="s">
        <v>3342</v>
      </c>
    </row>
    <row r="1066" spans="1:9">
      <c r="A1066" s="246">
        <v>1062</v>
      </c>
      <c r="B1066" s="247" t="s">
        <v>223</v>
      </c>
      <c r="C1066" s="302" t="str">
        <f>"7422"</f>
        <v>7422</v>
      </c>
      <c r="D1066" s="247" t="s">
        <v>21</v>
      </c>
      <c r="E1066" s="248">
        <v>5</v>
      </c>
      <c r="F1066" s="249">
        <v>40305</v>
      </c>
      <c r="G1066" s="249">
        <v>42130</v>
      </c>
      <c r="H1066" s="247" t="s">
        <v>219</v>
      </c>
      <c r="I1066" s="250" t="s">
        <v>438</v>
      </c>
    </row>
    <row r="1067" spans="1:9">
      <c r="A1067" s="246">
        <v>1063</v>
      </c>
      <c r="B1067" s="247" t="s">
        <v>223</v>
      </c>
      <c r="C1067" s="302" t="str">
        <f>"7423"</f>
        <v>7423</v>
      </c>
      <c r="D1067" s="247" t="s">
        <v>21</v>
      </c>
      <c r="E1067" s="248">
        <v>5</v>
      </c>
      <c r="F1067" s="249">
        <v>40305</v>
      </c>
      <c r="G1067" s="249">
        <v>42130</v>
      </c>
      <c r="H1067" s="247" t="s">
        <v>219</v>
      </c>
      <c r="I1067" s="250" t="s">
        <v>438</v>
      </c>
    </row>
    <row r="1068" spans="1:9">
      <c r="A1068" s="246">
        <v>1064</v>
      </c>
      <c r="B1068" s="247" t="s">
        <v>223</v>
      </c>
      <c r="C1068" s="302" t="str">
        <f>"7424"</f>
        <v>7424</v>
      </c>
      <c r="D1068" s="247" t="s">
        <v>21</v>
      </c>
      <c r="E1068" s="248">
        <v>4</v>
      </c>
      <c r="F1068" s="249">
        <v>40283</v>
      </c>
      <c r="G1068" s="249">
        <v>42108</v>
      </c>
      <c r="H1068" s="247" t="s">
        <v>22</v>
      </c>
      <c r="I1068" s="250" t="s">
        <v>3417</v>
      </c>
    </row>
    <row r="1069" spans="1:9">
      <c r="A1069" s="246">
        <v>1065</v>
      </c>
      <c r="B1069" s="247" t="s">
        <v>3461</v>
      </c>
      <c r="C1069" s="302" t="str">
        <f>"7428"</f>
        <v>7428</v>
      </c>
      <c r="D1069" s="247" t="s">
        <v>18</v>
      </c>
      <c r="E1069" s="248">
        <v>50</v>
      </c>
      <c r="F1069" s="249">
        <v>39258</v>
      </c>
      <c r="G1069" s="249">
        <v>42026</v>
      </c>
      <c r="H1069" s="247" t="s">
        <v>24</v>
      </c>
      <c r="I1069" s="250" t="s">
        <v>438</v>
      </c>
    </row>
    <row r="1070" spans="1:9">
      <c r="A1070" s="246">
        <v>1066</v>
      </c>
      <c r="B1070" s="247" t="s">
        <v>3457</v>
      </c>
      <c r="C1070" s="302" t="str">
        <f>"7463"</f>
        <v>7463</v>
      </c>
      <c r="D1070" s="247" t="s">
        <v>18</v>
      </c>
      <c r="E1070" s="248">
        <v>128</v>
      </c>
      <c r="F1070" s="249">
        <v>39330</v>
      </c>
      <c r="G1070" s="249">
        <v>41156</v>
      </c>
      <c r="H1070" s="247" t="s">
        <v>14</v>
      </c>
      <c r="I1070" s="250" t="s">
        <v>438</v>
      </c>
    </row>
    <row r="1071" spans="1:9">
      <c r="A1071" s="246">
        <v>1067</v>
      </c>
      <c r="B1071" s="247" t="s">
        <v>3462</v>
      </c>
      <c r="C1071" s="302" t="str">
        <f>"7501"</f>
        <v>7501</v>
      </c>
      <c r="D1071" s="247" t="s">
        <v>18</v>
      </c>
      <c r="E1071" s="248">
        <v>78</v>
      </c>
      <c r="F1071" s="249">
        <v>39211</v>
      </c>
      <c r="G1071" s="249">
        <v>43654</v>
      </c>
      <c r="H1071" s="247" t="s">
        <v>31</v>
      </c>
      <c r="I1071" s="250" t="s">
        <v>3386</v>
      </c>
    </row>
    <row r="1072" spans="1:9">
      <c r="A1072" s="246">
        <v>1068</v>
      </c>
      <c r="B1072" s="247" t="s">
        <v>3462</v>
      </c>
      <c r="C1072" s="302" t="str">
        <f>"7507"</f>
        <v>7507</v>
      </c>
      <c r="D1072" s="247" t="s">
        <v>18</v>
      </c>
      <c r="E1072" s="248">
        <v>24</v>
      </c>
      <c r="F1072" s="249">
        <v>39211</v>
      </c>
      <c r="G1072" s="249">
        <v>43315</v>
      </c>
      <c r="H1072" s="247" t="s">
        <v>32</v>
      </c>
      <c r="I1072" s="250" t="s">
        <v>3386</v>
      </c>
    </row>
    <row r="1073" spans="1:9">
      <c r="A1073" s="246">
        <v>1069</v>
      </c>
      <c r="B1073" s="247" t="s">
        <v>3462</v>
      </c>
      <c r="C1073" s="302" t="str">
        <f>"7508"</f>
        <v>7508</v>
      </c>
      <c r="D1073" s="247" t="s">
        <v>18</v>
      </c>
      <c r="E1073" s="248">
        <v>400</v>
      </c>
      <c r="F1073" s="249">
        <v>39211</v>
      </c>
      <c r="G1073" s="249">
        <v>43680</v>
      </c>
      <c r="H1073" s="247" t="s">
        <v>32</v>
      </c>
      <c r="I1073" s="250" t="s">
        <v>3386</v>
      </c>
    </row>
    <row r="1074" spans="1:9">
      <c r="A1074" s="246">
        <v>1070</v>
      </c>
      <c r="B1074" s="247" t="s">
        <v>3462</v>
      </c>
      <c r="C1074" s="302" t="str">
        <f>"7509"</f>
        <v>7509</v>
      </c>
      <c r="D1074" s="247" t="s">
        <v>18</v>
      </c>
      <c r="E1074" s="248">
        <v>21</v>
      </c>
      <c r="F1074" s="249">
        <v>39211</v>
      </c>
      <c r="G1074" s="249">
        <v>43680</v>
      </c>
      <c r="H1074" s="247" t="s">
        <v>32</v>
      </c>
      <c r="I1074" s="250" t="s">
        <v>3386</v>
      </c>
    </row>
    <row r="1075" spans="1:9">
      <c r="A1075" s="246">
        <v>1071</v>
      </c>
      <c r="B1075" s="247" t="s">
        <v>3462</v>
      </c>
      <c r="C1075" s="302" t="str">
        <f>"7510"</f>
        <v>7510</v>
      </c>
      <c r="D1075" s="247" t="s">
        <v>18</v>
      </c>
      <c r="E1075" s="248">
        <v>54</v>
      </c>
      <c r="F1075" s="249">
        <v>39211</v>
      </c>
      <c r="G1075" s="249">
        <v>43680</v>
      </c>
      <c r="H1075" s="247" t="s">
        <v>31</v>
      </c>
      <c r="I1075" s="250" t="s">
        <v>3386</v>
      </c>
    </row>
    <row r="1076" spans="1:9">
      <c r="A1076" s="246">
        <v>1072</v>
      </c>
      <c r="B1076" s="247" t="s">
        <v>3462</v>
      </c>
      <c r="C1076" s="302" t="str">
        <f>"7511"</f>
        <v>7511</v>
      </c>
      <c r="D1076" s="247" t="s">
        <v>18</v>
      </c>
      <c r="E1076" s="248">
        <v>96</v>
      </c>
      <c r="F1076" s="249">
        <v>39211</v>
      </c>
      <c r="G1076" s="249">
        <v>43315</v>
      </c>
      <c r="H1076" s="247" t="s">
        <v>32</v>
      </c>
      <c r="I1076" s="250" t="s">
        <v>3386</v>
      </c>
    </row>
    <row r="1077" spans="1:9">
      <c r="A1077" s="246">
        <v>1073</v>
      </c>
      <c r="B1077" s="247" t="s">
        <v>3462</v>
      </c>
      <c r="C1077" s="302" t="str">
        <f>"7512"</f>
        <v>7512</v>
      </c>
      <c r="D1077" s="247" t="s">
        <v>18</v>
      </c>
      <c r="E1077" s="248">
        <v>151</v>
      </c>
      <c r="F1077" s="249">
        <v>39211</v>
      </c>
      <c r="G1077" s="249">
        <v>43680</v>
      </c>
      <c r="H1077" s="247" t="s">
        <v>32</v>
      </c>
      <c r="I1077" s="250" t="s">
        <v>3386</v>
      </c>
    </row>
    <row r="1078" spans="1:9">
      <c r="A1078" s="246">
        <v>1074</v>
      </c>
      <c r="B1078" s="247" t="s">
        <v>3462</v>
      </c>
      <c r="C1078" s="302" t="str">
        <f>"7513"</f>
        <v>7513</v>
      </c>
      <c r="D1078" s="247" t="s">
        <v>18</v>
      </c>
      <c r="E1078" s="248">
        <v>110</v>
      </c>
      <c r="F1078" s="249">
        <v>39211</v>
      </c>
      <c r="G1078" s="249">
        <v>43315</v>
      </c>
      <c r="H1078" s="247" t="s">
        <v>32</v>
      </c>
      <c r="I1078" s="250" t="s">
        <v>3386</v>
      </c>
    </row>
    <row r="1079" spans="1:9">
      <c r="A1079" s="246">
        <v>1075</v>
      </c>
      <c r="B1079" s="247" t="s">
        <v>3462</v>
      </c>
      <c r="C1079" s="302" t="str">
        <f>"7514"</f>
        <v>7514</v>
      </c>
      <c r="D1079" s="247" t="s">
        <v>18</v>
      </c>
      <c r="E1079" s="248">
        <v>412</v>
      </c>
      <c r="F1079" s="249">
        <v>39211</v>
      </c>
      <c r="G1079" s="249">
        <v>43680</v>
      </c>
      <c r="H1079" s="247" t="s">
        <v>32</v>
      </c>
      <c r="I1079" s="250" t="s">
        <v>3386</v>
      </c>
    </row>
    <row r="1080" spans="1:9">
      <c r="A1080" s="246">
        <v>1076</v>
      </c>
      <c r="B1080" s="247" t="s">
        <v>3462</v>
      </c>
      <c r="C1080" s="302" t="str">
        <f>"7515"</f>
        <v>7515</v>
      </c>
      <c r="D1080" s="247" t="s">
        <v>18</v>
      </c>
      <c r="E1080" s="248">
        <v>442</v>
      </c>
      <c r="F1080" s="249">
        <v>39211</v>
      </c>
      <c r="G1080" s="249">
        <v>43680</v>
      </c>
      <c r="H1080" s="247" t="s">
        <v>32</v>
      </c>
      <c r="I1080" s="250" t="s">
        <v>3386</v>
      </c>
    </row>
    <row r="1081" spans="1:9">
      <c r="A1081" s="246">
        <v>1077</v>
      </c>
      <c r="B1081" s="247" t="s">
        <v>223</v>
      </c>
      <c r="C1081" s="302" t="str">
        <f>"7530"</f>
        <v>7530</v>
      </c>
      <c r="D1081" s="247" t="s">
        <v>21</v>
      </c>
      <c r="E1081" s="248">
        <v>5</v>
      </c>
      <c r="F1081" s="249">
        <v>40225</v>
      </c>
      <c r="G1081" s="249">
        <v>42050</v>
      </c>
      <c r="H1081" s="247" t="s">
        <v>16</v>
      </c>
      <c r="I1081" s="250" t="s">
        <v>438</v>
      </c>
    </row>
    <row r="1082" spans="1:9">
      <c r="A1082" s="246">
        <v>1078</v>
      </c>
      <c r="B1082" s="247" t="s">
        <v>223</v>
      </c>
      <c r="C1082" s="302" t="str">
        <f>"7531"</f>
        <v>7531</v>
      </c>
      <c r="D1082" s="247" t="s">
        <v>21</v>
      </c>
      <c r="E1082" s="248">
        <v>5</v>
      </c>
      <c r="F1082" s="249">
        <v>40225</v>
      </c>
      <c r="G1082" s="249">
        <v>42050</v>
      </c>
      <c r="H1082" s="247" t="s">
        <v>16</v>
      </c>
      <c r="I1082" s="250" t="s">
        <v>3417</v>
      </c>
    </row>
    <row r="1083" spans="1:9">
      <c r="A1083" s="246">
        <v>1079</v>
      </c>
      <c r="B1083" s="247" t="s">
        <v>149</v>
      </c>
      <c r="C1083" s="302" t="str">
        <f>"7570"</f>
        <v>7570</v>
      </c>
      <c r="D1083" s="247" t="s">
        <v>44</v>
      </c>
      <c r="E1083" s="248">
        <v>6</v>
      </c>
      <c r="F1083" s="249">
        <v>43543</v>
      </c>
      <c r="G1083" s="249">
        <v>45369</v>
      </c>
      <c r="H1083" s="247" t="s">
        <v>16</v>
      </c>
      <c r="I1083" s="250" t="s">
        <v>79</v>
      </c>
    </row>
    <row r="1084" spans="1:9">
      <c r="A1084" s="246">
        <v>1080</v>
      </c>
      <c r="B1084" s="247" t="s">
        <v>43</v>
      </c>
      <c r="C1084" s="302" t="str">
        <f>"7571"</f>
        <v>7571</v>
      </c>
      <c r="D1084" s="247" t="s">
        <v>13</v>
      </c>
      <c r="E1084" s="248">
        <v>373</v>
      </c>
      <c r="F1084" s="249">
        <v>40610</v>
      </c>
      <c r="G1084" s="249">
        <v>51567</v>
      </c>
      <c r="H1084" s="247" t="s">
        <v>14</v>
      </c>
      <c r="I1084" s="250" t="s">
        <v>79</v>
      </c>
    </row>
    <row r="1085" spans="1:9">
      <c r="A1085" s="246">
        <v>1081</v>
      </c>
      <c r="B1085" s="247" t="s">
        <v>3458</v>
      </c>
      <c r="C1085" s="302" t="str">
        <f>"7608"</f>
        <v>7608</v>
      </c>
      <c r="D1085" s="247" t="s">
        <v>18</v>
      </c>
      <c r="E1085" s="248">
        <v>57</v>
      </c>
      <c r="F1085" s="249">
        <v>39274</v>
      </c>
      <c r="G1085" s="249">
        <v>41100</v>
      </c>
      <c r="H1085" s="247" t="s">
        <v>14</v>
      </c>
      <c r="I1085" s="250" t="s">
        <v>438</v>
      </c>
    </row>
    <row r="1086" spans="1:9">
      <c r="A1086" s="246">
        <v>1082</v>
      </c>
      <c r="B1086" s="247" t="s">
        <v>67</v>
      </c>
      <c r="C1086" s="302" t="str">
        <f>"7619"</f>
        <v>7619</v>
      </c>
      <c r="D1086" s="247" t="s">
        <v>21</v>
      </c>
      <c r="E1086" s="248">
        <v>5</v>
      </c>
      <c r="F1086" s="249">
        <v>44090</v>
      </c>
      <c r="G1086" s="249">
        <v>45915</v>
      </c>
      <c r="H1086" s="247" t="s">
        <v>16</v>
      </c>
      <c r="I1086" s="250" t="s">
        <v>3342</v>
      </c>
    </row>
    <row r="1087" spans="1:9">
      <c r="A1087" s="246">
        <v>1083</v>
      </c>
      <c r="B1087" s="247" t="s">
        <v>150</v>
      </c>
      <c r="C1087" s="302" t="str">
        <f>"7626"</f>
        <v>7626</v>
      </c>
      <c r="D1087" s="247" t="s">
        <v>13</v>
      </c>
      <c r="E1087" s="248">
        <v>32</v>
      </c>
      <c r="F1087" s="249">
        <v>40964</v>
      </c>
      <c r="G1087" s="249">
        <v>51921</v>
      </c>
      <c r="H1087" s="247" t="s">
        <v>24</v>
      </c>
      <c r="I1087" s="250" t="s">
        <v>79</v>
      </c>
    </row>
    <row r="1088" spans="1:9">
      <c r="A1088" s="246">
        <v>1084</v>
      </c>
      <c r="B1088" s="247" t="s">
        <v>486</v>
      </c>
      <c r="C1088" s="302" t="str">
        <f>"7649"</f>
        <v>7649</v>
      </c>
      <c r="D1088" s="247" t="s">
        <v>21</v>
      </c>
      <c r="E1088" s="248">
        <v>5</v>
      </c>
      <c r="F1088" s="249">
        <v>42525</v>
      </c>
      <c r="G1088" s="249">
        <v>44350</v>
      </c>
      <c r="H1088" s="247" t="s">
        <v>22</v>
      </c>
      <c r="I1088" s="250" t="s">
        <v>3342</v>
      </c>
    </row>
    <row r="1089" spans="1:9">
      <c r="A1089" s="246">
        <v>1085</v>
      </c>
      <c r="B1089" s="247" t="s">
        <v>151</v>
      </c>
      <c r="C1089" s="302" t="str">
        <f>"7651"</f>
        <v>7651</v>
      </c>
      <c r="D1089" s="247" t="s">
        <v>13</v>
      </c>
      <c r="E1089" s="248">
        <v>24</v>
      </c>
      <c r="F1089" s="249">
        <v>44145</v>
      </c>
      <c r="G1089" s="249">
        <v>53275</v>
      </c>
      <c r="H1089" s="247" t="s">
        <v>31</v>
      </c>
      <c r="I1089" s="250" t="s">
        <v>79</v>
      </c>
    </row>
    <row r="1090" spans="1:9">
      <c r="A1090" s="246">
        <v>1086</v>
      </c>
      <c r="B1090" s="247" t="s">
        <v>151</v>
      </c>
      <c r="C1090" s="302" t="str">
        <f>"7657"</f>
        <v>7657</v>
      </c>
      <c r="D1090" s="247" t="s">
        <v>13</v>
      </c>
      <c r="E1090" s="248">
        <v>27</v>
      </c>
      <c r="F1090" s="249">
        <v>44145</v>
      </c>
      <c r="G1090" s="249">
        <v>53275</v>
      </c>
      <c r="H1090" s="247" t="s">
        <v>31</v>
      </c>
      <c r="I1090" s="250" t="s">
        <v>79</v>
      </c>
    </row>
    <row r="1091" spans="1:9">
      <c r="A1091" s="246">
        <v>1087</v>
      </c>
      <c r="B1091" s="247" t="s">
        <v>67</v>
      </c>
      <c r="C1091" s="302" t="str">
        <f>"7659"</f>
        <v>7659</v>
      </c>
      <c r="D1091" s="247" t="s">
        <v>21</v>
      </c>
      <c r="E1091" s="248">
        <v>2</v>
      </c>
      <c r="F1091" s="249">
        <v>42263</v>
      </c>
      <c r="G1091" s="249">
        <v>44089</v>
      </c>
      <c r="H1091" s="247" t="s">
        <v>16</v>
      </c>
      <c r="I1091" s="250" t="s">
        <v>3342</v>
      </c>
    </row>
    <row r="1092" spans="1:9">
      <c r="A1092" s="246">
        <v>1088</v>
      </c>
      <c r="B1092" s="247" t="s">
        <v>3463</v>
      </c>
      <c r="C1092" s="302" t="str">
        <f>"7689"</f>
        <v>7689</v>
      </c>
      <c r="D1092" s="247" t="s">
        <v>23</v>
      </c>
      <c r="E1092" s="248">
        <v>5</v>
      </c>
      <c r="F1092" s="249">
        <v>39562</v>
      </c>
      <c r="G1092" s="249">
        <v>39926</v>
      </c>
      <c r="H1092" s="247" t="s">
        <v>22</v>
      </c>
      <c r="I1092" s="250" t="s">
        <v>3413</v>
      </c>
    </row>
    <row r="1093" spans="1:9">
      <c r="A1093" s="246">
        <v>1089</v>
      </c>
      <c r="B1093" s="247" t="s">
        <v>3463</v>
      </c>
      <c r="C1093" s="302" t="str">
        <f>"7690"</f>
        <v>7690</v>
      </c>
      <c r="D1093" s="247" t="s">
        <v>23</v>
      </c>
      <c r="E1093" s="248">
        <v>5</v>
      </c>
      <c r="F1093" s="249">
        <v>39562</v>
      </c>
      <c r="G1093" s="249">
        <v>39926</v>
      </c>
      <c r="H1093" s="247" t="s">
        <v>22</v>
      </c>
      <c r="I1093" s="250" t="s">
        <v>3413</v>
      </c>
    </row>
    <row r="1094" spans="1:9">
      <c r="A1094" s="246">
        <v>1090</v>
      </c>
      <c r="B1094" s="247" t="s">
        <v>487</v>
      </c>
      <c r="C1094" s="302" t="str">
        <f>"7709"</f>
        <v>7709</v>
      </c>
      <c r="D1094" s="247" t="s">
        <v>18</v>
      </c>
      <c r="E1094" s="248">
        <v>3</v>
      </c>
      <c r="F1094" s="249">
        <v>41091</v>
      </c>
      <c r="G1094" s="249">
        <v>41814</v>
      </c>
      <c r="H1094" s="247" t="s">
        <v>14</v>
      </c>
      <c r="I1094" s="250" t="s">
        <v>438</v>
      </c>
    </row>
    <row r="1095" spans="1:9">
      <c r="A1095" s="246">
        <v>1091</v>
      </c>
      <c r="B1095" s="247" t="s">
        <v>3464</v>
      </c>
      <c r="C1095" s="302" t="str">
        <f>"7757"</f>
        <v>7757</v>
      </c>
      <c r="D1095" s="247" t="s">
        <v>13</v>
      </c>
      <c r="E1095" s="248">
        <v>400</v>
      </c>
      <c r="F1095" s="249">
        <v>43169</v>
      </c>
      <c r="G1095" s="249">
        <v>54126</v>
      </c>
      <c r="H1095" s="247" t="s">
        <v>25</v>
      </c>
      <c r="I1095" s="250" t="s">
        <v>438</v>
      </c>
    </row>
    <row r="1096" spans="1:9">
      <c r="A1096" s="246">
        <v>1092</v>
      </c>
      <c r="B1096" s="247" t="s">
        <v>3464</v>
      </c>
      <c r="C1096" s="302" t="str">
        <f>"7758"</f>
        <v>7758</v>
      </c>
      <c r="D1096" s="247" t="s">
        <v>13</v>
      </c>
      <c r="E1096" s="248">
        <v>384</v>
      </c>
      <c r="F1096" s="249">
        <v>43169</v>
      </c>
      <c r="G1096" s="249">
        <v>54126</v>
      </c>
      <c r="H1096" s="247" t="s">
        <v>25</v>
      </c>
      <c r="I1096" s="250" t="s">
        <v>438</v>
      </c>
    </row>
    <row r="1097" spans="1:9">
      <c r="A1097" s="246">
        <v>1093</v>
      </c>
      <c r="B1097" s="247" t="s">
        <v>488</v>
      </c>
      <c r="C1097" s="302" t="str">
        <f>"7812"</f>
        <v>7812</v>
      </c>
      <c r="D1097" s="247" t="s">
        <v>30</v>
      </c>
      <c r="E1097" s="248">
        <v>36</v>
      </c>
      <c r="F1097" s="249">
        <v>41670</v>
      </c>
      <c r="G1097" s="249">
        <v>43495</v>
      </c>
      <c r="H1097" s="247" t="s">
        <v>32</v>
      </c>
      <c r="I1097" s="250" t="s">
        <v>3353</v>
      </c>
    </row>
    <row r="1098" spans="1:9">
      <c r="A1098" s="246">
        <v>1094</v>
      </c>
      <c r="B1098" s="247" t="s">
        <v>3465</v>
      </c>
      <c r="C1098" s="302" t="str">
        <f>"7938"</f>
        <v>7938</v>
      </c>
      <c r="D1098" s="247" t="s">
        <v>18</v>
      </c>
      <c r="E1098" s="248">
        <v>300</v>
      </c>
      <c r="F1098" s="249">
        <v>39264</v>
      </c>
      <c r="G1098" s="249">
        <v>40724</v>
      </c>
      <c r="H1098" s="247" t="s">
        <v>3350</v>
      </c>
      <c r="I1098" s="250" t="s">
        <v>438</v>
      </c>
    </row>
    <row r="1099" spans="1:9">
      <c r="A1099" s="246">
        <v>1095</v>
      </c>
      <c r="B1099" s="247" t="s">
        <v>3453</v>
      </c>
      <c r="C1099" s="302" t="str">
        <f>"7940"</f>
        <v>7940</v>
      </c>
      <c r="D1099" s="247" t="s">
        <v>18</v>
      </c>
      <c r="E1099" s="248">
        <v>300</v>
      </c>
      <c r="F1099" s="249">
        <v>39264</v>
      </c>
      <c r="G1099" s="249">
        <v>40724</v>
      </c>
      <c r="H1099" s="247" t="s">
        <v>3350</v>
      </c>
      <c r="I1099" s="250" t="s">
        <v>438</v>
      </c>
    </row>
    <row r="1100" spans="1:9">
      <c r="A1100" s="246">
        <v>1096</v>
      </c>
      <c r="B1100" s="247" t="s">
        <v>3453</v>
      </c>
      <c r="C1100" s="302" t="str">
        <f>"7941"</f>
        <v>7941</v>
      </c>
      <c r="D1100" s="247" t="s">
        <v>18</v>
      </c>
      <c r="E1100" s="248">
        <v>180</v>
      </c>
      <c r="F1100" s="249">
        <v>39264</v>
      </c>
      <c r="G1100" s="249">
        <v>40724</v>
      </c>
      <c r="H1100" s="247" t="s">
        <v>3350</v>
      </c>
      <c r="I1100" s="250" t="s">
        <v>438</v>
      </c>
    </row>
    <row r="1101" spans="1:9">
      <c r="A1101" s="246">
        <v>1097</v>
      </c>
      <c r="B1101" s="247" t="s">
        <v>3453</v>
      </c>
      <c r="C1101" s="302" t="str">
        <f>"7942"</f>
        <v>7942</v>
      </c>
      <c r="D1101" s="247" t="s">
        <v>18</v>
      </c>
      <c r="E1101" s="248">
        <v>300</v>
      </c>
      <c r="F1101" s="249">
        <v>39264</v>
      </c>
      <c r="G1101" s="249">
        <v>40724</v>
      </c>
      <c r="H1101" s="247" t="s">
        <v>3350</v>
      </c>
      <c r="I1101" s="250" t="s">
        <v>438</v>
      </c>
    </row>
    <row r="1102" spans="1:9">
      <c r="A1102" s="246">
        <v>1098</v>
      </c>
      <c r="B1102" s="247" t="s">
        <v>3453</v>
      </c>
      <c r="C1102" s="302" t="str">
        <f>"7943"</f>
        <v>7943</v>
      </c>
      <c r="D1102" s="247" t="s">
        <v>18</v>
      </c>
      <c r="E1102" s="248">
        <v>300</v>
      </c>
      <c r="F1102" s="249">
        <v>39264</v>
      </c>
      <c r="G1102" s="249">
        <v>40724</v>
      </c>
      <c r="H1102" s="247" t="s">
        <v>3350</v>
      </c>
      <c r="I1102" s="250" t="s">
        <v>438</v>
      </c>
    </row>
    <row r="1103" spans="1:9">
      <c r="A1103" s="246">
        <v>1099</v>
      </c>
      <c r="B1103" s="247" t="s">
        <v>3466</v>
      </c>
      <c r="C1103" s="302" t="str">
        <f>"7946"</f>
        <v>7946</v>
      </c>
      <c r="D1103" s="247" t="s">
        <v>18</v>
      </c>
      <c r="E1103" s="248">
        <v>300</v>
      </c>
      <c r="F1103" s="249">
        <v>39264</v>
      </c>
      <c r="G1103" s="249">
        <v>40724</v>
      </c>
      <c r="H1103" s="247" t="s">
        <v>3350</v>
      </c>
      <c r="I1103" s="250" t="s">
        <v>438</v>
      </c>
    </row>
    <row r="1104" spans="1:9">
      <c r="A1104" s="246">
        <v>1100</v>
      </c>
      <c r="B1104" s="247" t="s">
        <v>3466</v>
      </c>
      <c r="C1104" s="302" t="str">
        <f>"7947"</f>
        <v>7947</v>
      </c>
      <c r="D1104" s="247" t="s">
        <v>18</v>
      </c>
      <c r="E1104" s="248">
        <v>300</v>
      </c>
      <c r="F1104" s="249">
        <v>39264</v>
      </c>
      <c r="G1104" s="249">
        <v>40724</v>
      </c>
      <c r="H1104" s="247" t="s">
        <v>3350</v>
      </c>
      <c r="I1104" s="250" t="s">
        <v>438</v>
      </c>
    </row>
    <row r="1105" spans="1:9">
      <c r="A1105" s="246">
        <v>1101</v>
      </c>
      <c r="B1105" s="247" t="s">
        <v>3457</v>
      </c>
      <c r="C1105" s="302" t="str">
        <f>"7961"</f>
        <v>7961</v>
      </c>
      <c r="D1105" s="247" t="s">
        <v>18</v>
      </c>
      <c r="E1105" s="248">
        <v>254</v>
      </c>
      <c r="F1105" s="249">
        <v>39265</v>
      </c>
      <c r="G1105" s="249">
        <v>41091</v>
      </c>
      <c r="H1105" s="247" t="s">
        <v>14</v>
      </c>
      <c r="I1105" s="250" t="s">
        <v>437</v>
      </c>
    </row>
    <row r="1106" spans="1:9">
      <c r="A1106" s="246">
        <v>1102</v>
      </c>
      <c r="B1106" s="247" t="s">
        <v>3467</v>
      </c>
      <c r="C1106" s="302" t="str">
        <f>"7971"</f>
        <v>7971</v>
      </c>
      <c r="D1106" s="247" t="s">
        <v>18</v>
      </c>
      <c r="E1106" s="248">
        <v>34</v>
      </c>
      <c r="F1106" s="249">
        <v>39269</v>
      </c>
      <c r="G1106" s="249">
        <v>41095</v>
      </c>
      <c r="H1106" s="247" t="s">
        <v>56</v>
      </c>
      <c r="I1106" s="250" t="s">
        <v>438</v>
      </c>
    </row>
    <row r="1107" spans="1:9">
      <c r="A1107" s="246">
        <v>1103</v>
      </c>
      <c r="B1107" s="247" t="s">
        <v>3468</v>
      </c>
      <c r="C1107" s="302" t="str">
        <f>"7972"</f>
        <v>7972</v>
      </c>
      <c r="D1107" s="247" t="s">
        <v>18</v>
      </c>
      <c r="E1107" s="248">
        <v>8</v>
      </c>
      <c r="F1107" s="249">
        <v>39269</v>
      </c>
      <c r="G1107" s="249">
        <v>41095</v>
      </c>
      <c r="H1107" s="247" t="s">
        <v>19</v>
      </c>
      <c r="I1107" s="250" t="s">
        <v>437</v>
      </c>
    </row>
    <row r="1108" spans="1:9">
      <c r="A1108" s="246">
        <v>1104</v>
      </c>
      <c r="B1108" s="247" t="s">
        <v>3469</v>
      </c>
      <c r="C1108" s="302" t="str">
        <f>"7975"</f>
        <v>7975</v>
      </c>
      <c r="D1108" s="247" t="s">
        <v>18</v>
      </c>
      <c r="E1108" s="248">
        <v>400</v>
      </c>
      <c r="F1108" s="249">
        <v>39282</v>
      </c>
      <c r="G1108" s="249">
        <v>41109</v>
      </c>
      <c r="H1108" s="247" t="s">
        <v>22</v>
      </c>
      <c r="I1108" s="250" t="s">
        <v>438</v>
      </c>
    </row>
    <row r="1109" spans="1:9">
      <c r="A1109" s="246">
        <v>1105</v>
      </c>
      <c r="B1109" s="247" t="s">
        <v>3470</v>
      </c>
      <c r="C1109" s="302" t="str">
        <f>"8038"</f>
        <v>8038</v>
      </c>
      <c r="D1109" s="247" t="s">
        <v>23</v>
      </c>
      <c r="E1109" s="248">
        <v>4</v>
      </c>
      <c r="F1109" s="249">
        <v>39259</v>
      </c>
      <c r="G1109" s="249">
        <v>39624</v>
      </c>
      <c r="H1109" s="247" t="s">
        <v>22</v>
      </c>
      <c r="I1109" s="250" t="s">
        <v>437</v>
      </c>
    </row>
    <row r="1110" spans="1:9">
      <c r="A1110" s="246">
        <v>1106</v>
      </c>
      <c r="B1110" s="247" t="s">
        <v>489</v>
      </c>
      <c r="C1110" s="302" t="str">
        <f>"8039"</f>
        <v>8039</v>
      </c>
      <c r="D1110" s="247" t="s">
        <v>21</v>
      </c>
      <c r="E1110" s="248">
        <v>4</v>
      </c>
      <c r="F1110" s="249">
        <v>42629</v>
      </c>
      <c r="G1110" s="249">
        <v>44454</v>
      </c>
      <c r="H1110" s="247" t="s">
        <v>22</v>
      </c>
      <c r="I1110" s="250" t="s">
        <v>3342</v>
      </c>
    </row>
    <row r="1111" spans="1:9">
      <c r="A1111" s="246">
        <v>1107</v>
      </c>
      <c r="B1111" s="247" t="s">
        <v>489</v>
      </c>
      <c r="C1111" s="302" t="str">
        <f>"8040"</f>
        <v>8040</v>
      </c>
      <c r="D1111" s="247" t="s">
        <v>21</v>
      </c>
      <c r="E1111" s="248">
        <v>4</v>
      </c>
      <c r="F1111" s="249">
        <v>42629</v>
      </c>
      <c r="G1111" s="249">
        <v>44454</v>
      </c>
      <c r="H1111" s="247" t="s">
        <v>22</v>
      </c>
      <c r="I1111" s="250" t="s">
        <v>3342</v>
      </c>
    </row>
    <row r="1112" spans="1:9">
      <c r="A1112" s="246">
        <v>1108</v>
      </c>
      <c r="B1112" s="247" t="s">
        <v>3470</v>
      </c>
      <c r="C1112" s="302" t="str">
        <f>"8041"</f>
        <v>8041</v>
      </c>
      <c r="D1112" s="247" t="s">
        <v>23</v>
      </c>
      <c r="E1112" s="248">
        <v>4</v>
      </c>
      <c r="F1112" s="249">
        <v>39259</v>
      </c>
      <c r="G1112" s="249">
        <v>39624</v>
      </c>
      <c r="H1112" s="247" t="s">
        <v>22</v>
      </c>
      <c r="I1112" s="250" t="s">
        <v>437</v>
      </c>
    </row>
    <row r="1113" spans="1:9">
      <c r="A1113" s="246">
        <v>1109</v>
      </c>
      <c r="B1113" s="247" t="s">
        <v>3470</v>
      </c>
      <c r="C1113" s="302" t="str">
        <f>"8042"</f>
        <v>8042</v>
      </c>
      <c r="D1113" s="247" t="s">
        <v>23</v>
      </c>
      <c r="E1113" s="248">
        <v>4</v>
      </c>
      <c r="F1113" s="249">
        <v>39259</v>
      </c>
      <c r="G1113" s="249">
        <v>39624</v>
      </c>
      <c r="H1113" s="247" t="s">
        <v>22</v>
      </c>
      <c r="I1113" s="250" t="s">
        <v>437</v>
      </c>
    </row>
    <row r="1114" spans="1:9">
      <c r="A1114" s="246">
        <v>1110</v>
      </c>
      <c r="B1114" s="247" t="s">
        <v>3470</v>
      </c>
      <c r="C1114" s="302" t="str">
        <f>"8043"</f>
        <v>8043</v>
      </c>
      <c r="D1114" s="247" t="s">
        <v>23</v>
      </c>
      <c r="E1114" s="248">
        <v>4</v>
      </c>
      <c r="F1114" s="249">
        <v>39259</v>
      </c>
      <c r="G1114" s="249">
        <v>39624</v>
      </c>
      <c r="H1114" s="247" t="s">
        <v>22</v>
      </c>
      <c r="I1114" s="250" t="s">
        <v>437</v>
      </c>
    </row>
    <row r="1115" spans="1:9">
      <c r="A1115" s="246">
        <v>1111</v>
      </c>
      <c r="B1115" s="247" t="s">
        <v>3470</v>
      </c>
      <c r="C1115" s="302" t="str">
        <f>"8044"</f>
        <v>8044</v>
      </c>
      <c r="D1115" s="247" t="s">
        <v>23</v>
      </c>
      <c r="E1115" s="248">
        <v>4</v>
      </c>
      <c r="F1115" s="249">
        <v>39259</v>
      </c>
      <c r="G1115" s="249">
        <v>39624</v>
      </c>
      <c r="H1115" s="247" t="s">
        <v>22</v>
      </c>
      <c r="I1115" s="250" t="s">
        <v>437</v>
      </c>
    </row>
    <row r="1116" spans="1:9">
      <c r="A1116" s="246">
        <v>1112</v>
      </c>
      <c r="B1116" s="247" t="s">
        <v>3470</v>
      </c>
      <c r="C1116" s="302" t="str">
        <f>"8045"</f>
        <v>8045</v>
      </c>
      <c r="D1116" s="247" t="s">
        <v>23</v>
      </c>
      <c r="E1116" s="248">
        <v>4</v>
      </c>
      <c r="F1116" s="249">
        <v>39259</v>
      </c>
      <c r="G1116" s="249">
        <v>39624</v>
      </c>
      <c r="H1116" s="247" t="s">
        <v>22</v>
      </c>
      <c r="I1116" s="250" t="s">
        <v>437</v>
      </c>
    </row>
    <row r="1117" spans="1:9">
      <c r="A1117" s="246">
        <v>1113</v>
      </c>
      <c r="B1117" s="247" t="s">
        <v>3470</v>
      </c>
      <c r="C1117" s="302" t="str">
        <f>"8046"</f>
        <v>8046</v>
      </c>
      <c r="D1117" s="247" t="s">
        <v>23</v>
      </c>
      <c r="E1117" s="248">
        <v>4</v>
      </c>
      <c r="F1117" s="249">
        <v>39259</v>
      </c>
      <c r="G1117" s="249">
        <v>39624</v>
      </c>
      <c r="H1117" s="247" t="s">
        <v>22</v>
      </c>
      <c r="I1117" s="250" t="s">
        <v>437</v>
      </c>
    </row>
    <row r="1118" spans="1:9">
      <c r="A1118" s="246">
        <v>1114</v>
      </c>
      <c r="B1118" s="247" t="s">
        <v>3470</v>
      </c>
      <c r="C1118" s="302" t="str">
        <f>"8047"</f>
        <v>8047</v>
      </c>
      <c r="D1118" s="247" t="s">
        <v>23</v>
      </c>
      <c r="E1118" s="248">
        <v>4</v>
      </c>
      <c r="F1118" s="249">
        <v>39259</v>
      </c>
      <c r="G1118" s="249">
        <v>39624</v>
      </c>
      <c r="H1118" s="247" t="s">
        <v>22</v>
      </c>
      <c r="I1118" s="250" t="s">
        <v>437</v>
      </c>
    </row>
    <row r="1119" spans="1:9">
      <c r="A1119" s="246">
        <v>1115</v>
      </c>
      <c r="B1119" s="247" t="s">
        <v>2614</v>
      </c>
      <c r="C1119" s="302" t="str">
        <f>"8064"</f>
        <v>8064</v>
      </c>
      <c r="D1119" s="247" t="s">
        <v>21</v>
      </c>
      <c r="E1119" s="248">
        <v>1</v>
      </c>
      <c r="F1119" s="249">
        <v>43112</v>
      </c>
      <c r="G1119" s="249">
        <v>44937</v>
      </c>
      <c r="H1119" s="247" t="s">
        <v>14</v>
      </c>
      <c r="I1119" s="250" t="s">
        <v>3342</v>
      </c>
    </row>
    <row r="1120" spans="1:9">
      <c r="A1120" s="246">
        <v>1116</v>
      </c>
      <c r="B1120" s="247" t="s">
        <v>3471</v>
      </c>
      <c r="C1120" s="302" t="str">
        <f>"8065"</f>
        <v>8065</v>
      </c>
      <c r="D1120" s="247" t="s">
        <v>21</v>
      </c>
      <c r="E1120" s="248">
        <v>5</v>
      </c>
      <c r="F1120" s="249">
        <v>39459</v>
      </c>
      <c r="G1120" s="249">
        <v>41285</v>
      </c>
      <c r="H1120" s="247" t="s">
        <v>14</v>
      </c>
      <c r="I1120" s="250" t="s">
        <v>438</v>
      </c>
    </row>
    <row r="1121" spans="1:9">
      <c r="A1121" s="246">
        <v>1117</v>
      </c>
      <c r="B1121" s="247" t="s">
        <v>2614</v>
      </c>
      <c r="C1121" s="302" t="str">
        <f>"8066"</f>
        <v>8066</v>
      </c>
      <c r="D1121" s="247" t="s">
        <v>21</v>
      </c>
      <c r="E1121" s="248">
        <v>5</v>
      </c>
      <c r="F1121" s="249">
        <v>43112</v>
      </c>
      <c r="G1121" s="249">
        <v>44937</v>
      </c>
      <c r="H1121" s="247" t="s">
        <v>14</v>
      </c>
      <c r="I1121" s="250" t="s">
        <v>3342</v>
      </c>
    </row>
    <row r="1122" spans="1:9">
      <c r="A1122" s="246">
        <v>1118</v>
      </c>
      <c r="B1122" s="247" t="s">
        <v>490</v>
      </c>
      <c r="C1122" s="302" t="str">
        <f>"8126"</f>
        <v>8126</v>
      </c>
      <c r="D1122" s="247" t="s">
        <v>18</v>
      </c>
      <c r="E1122" s="248">
        <v>20</v>
      </c>
      <c r="F1122" s="249">
        <v>39425</v>
      </c>
      <c r="G1122" s="249">
        <v>39425</v>
      </c>
      <c r="H1122" s="247" t="s">
        <v>22</v>
      </c>
      <c r="I1122" s="250" t="s">
        <v>438</v>
      </c>
    </row>
    <row r="1123" spans="1:9">
      <c r="A1123" s="246">
        <v>1119</v>
      </c>
      <c r="B1123" s="247" t="s">
        <v>118</v>
      </c>
      <c r="C1123" s="302" t="str">
        <f>"8132"</f>
        <v>8132</v>
      </c>
      <c r="D1123" s="247" t="s">
        <v>18</v>
      </c>
      <c r="E1123" s="248">
        <v>78</v>
      </c>
      <c r="F1123" s="249">
        <v>39289</v>
      </c>
      <c r="G1123" s="249">
        <v>41115</v>
      </c>
      <c r="H1123" s="247" t="s">
        <v>14</v>
      </c>
      <c r="I1123" s="250" t="s">
        <v>3417</v>
      </c>
    </row>
    <row r="1124" spans="1:9">
      <c r="A1124" s="246">
        <v>1120</v>
      </c>
      <c r="B1124" s="247" t="s">
        <v>118</v>
      </c>
      <c r="C1124" s="302" t="str">
        <f>"8134"</f>
        <v>8134</v>
      </c>
      <c r="D1124" s="247" t="s">
        <v>18</v>
      </c>
      <c r="E1124" s="248">
        <v>37</v>
      </c>
      <c r="F1124" s="249">
        <v>39289</v>
      </c>
      <c r="G1124" s="249">
        <v>41115</v>
      </c>
      <c r="H1124" s="247" t="s">
        <v>14</v>
      </c>
      <c r="I1124" s="250" t="s">
        <v>3417</v>
      </c>
    </row>
    <row r="1125" spans="1:9">
      <c r="A1125" s="246">
        <v>1121</v>
      </c>
      <c r="B1125" s="247" t="s">
        <v>118</v>
      </c>
      <c r="C1125" s="302" t="str">
        <f>"8135"</f>
        <v>8135</v>
      </c>
      <c r="D1125" s="247" t="s">
        <v>18</v>
      </c>
      <c r="E1125" s="248">
        <v>58</v>
      </c>
      <c r="F1125" s="249">
        <v>39289</v>
      </c>
      <c r="G1125" s="249">
        <v>41115</v>
      </c>
      <c r="H1125" s="247" t="s">
        <v>14</v>
      </c>
      <c r="I1125" s="250" t="s">
        <v>3417</v>
      </c>
    </row>
    <row r="1126" spans="1:9">
      <c r="A1126" s="246">
        <v>1122</v>
      </c>
      <c r="B1126" s="247" t="s">
        <v>118</v>
      </c>
      <c r="C1126" s="302" t="str">
        <f>"8136"</f>
        <v>8136</v>
      </c>
      <c r="D1126" s="247" t="s">
        <v>18</v>
      </c>
      <c r="E1126" s="248">
        <v>30</v>
      </c>
      <c r="F1126" s="249">
        <v>39289</v>
      </c>
      <c r="G1126" s="249">
        <v>41115</v>
      </c>
      <c r="H1126" s="247" t="s">
        <v>14</v>
      </c>
      <c r="I1126" s="250" t="s">
        <v>3417</v>
      </c>
    </row>
    <row r="1127" spans="1:9">
      <c r="A1127" s="246">
        <v>1123</v>
      </c>
      <c r="B1127" s="247" t="s">
        <v>118</v>
      </c>
      <c r="C1127" s="302" t="str">
        <f>"8137"</f>
        <v>8137</v>
      </c>
      <c r="D1127" s="247" t="s">
        <v>18</v>
      </c>
      <c r="E1127" s="248">
        <v>85</v>
      </c>
      <c r="F1127" s="249">
        <v>39289</v>
      </c>
      <c r="G1127" s="249">
        <v>41115</v>
      </c>
      <c r="H1127" s="247" t="s">
        <v>14</v>
      </c>
      <c r="I1127" s="250" t="s">
        <v>3417</v>
      </c>
    </row>
    <row r="1128" spans="1:9">
      <c r="A1128" s="246">
        <v>1124</v>
      </c>
      <c r="B1128" s="247" t="s">
        <v>141</v>
      </c>
      <c r="C1128" s="302" t="str">
        <f>"8139"</f>
        <v>8139</v>
      </c>
      <c r="D1128" s="247" t="s">
        <v>30</v>
      </c>
      <c r="E1128" s="248">
        <v>8</v>
      </c>
      <c r="F1128" s="249">
        <v>43142</v>
      </c>
      <c r="G1128" s="249">
        <v>44967</v>
      </c>
      <c r="H1128" s="247" t="s">
        <v>14</v>
      </c>
      <c r="I1128" s="250" t="s">
        <v>79</v>
      </c>
    </row>
    <row r="1129" spans="1:9">
      <c r="A1129" s="246">
        <v>1125</v>
      </c>
      <c r="B1129" s="247" t="s">
        <v>3451</v>
      </c>
      <c r="C1129" s="302" t="str">
        <f>"8184"</f>
        <v>8184</v>
      </c>
      <c r="D1129" s="247" t="s">
        <v>13</v>
      </c>
      <c r="E1129" s="248">
        <v>5</v>
      </c>
      <c r="F1129" s="249">
        <v>40082</v>
      </c>
      <c r="G1129" s="249">
        <v>51038</v>
      </c>
      <c r="H1129" s="247" t="s">
        <v>19</v>
      </c>
      <c r="I1129" s="250" t="s">
        <v>438</v>
      </c>
    </row>
    <row r="1130" spans="1:9">
      <c r="A1130" s="246">
        <v>1126</v>
      </c>
      <c r="B1130" s="247" t="s">
        <v>491</v>
      </c>
      <c r="C1130" s="302" t="str">
        <f>"8205"</f>
        <v>8205</v>
      </c>
      <c r="D1130" s="247" t="s">
        <v>18</v>
      </c>
      <c r="E1130" s="248">
        <v>3</v>
      </c>
      <c r="F1130" s="249">
        <v>39288</v>
      </c>
      <c r="G1130" s="249">
        <v>40748</v>
      </c>
      <c r="H1130" s="247" t="s">
        <v>14</v>
      </c>
      <c r="I1130" s="250" t="s">
        <v>438</v>
      </c>
    </row>
    <row r="1131" spans="1:9">
      <c r="A1131" s="246">
        <v>1127</v>
      </c>
      <c r="B1131" s="247" t="s">
        <v>491</v>
      </c>
      <c r="C1131" s="302" t="str">
        <f>"8208"</f>
        <v>8208</v>
      </c>
      <c r="D1131" s="247" t="s">
        <v>18</v>
      </c>
      <c r="E1131" s="248">
        <v>4</v>
      </c>
      <c r="F1131" s="249">
        <v>39288</v>
      </c>
      <c r="G1131" s="249">
        <v>40748</v>
      </c>
      <c r="H1131" s="247" t="s">
        <v>14</v>
      </c>
      <c r="I1131" s="250" t="s">
        <v>438</v>
      </c>
    </row>
    <row r="1132" spans="1:9">
      <c r="A1132" s="246">
        <v>1128</v>
      </c>
      <c r="B1132" s="247" t="s">
        <v>2011</v>
      </c>
      <c r="C1132" s="302" t="str">
        <f>"8209"</f>
        <v>8209</v>
      </c>
      <c r="D1132" s="247" t="s">
        <v>30</v>
      </c>
      <c r="E1132" s="248">
        <v>48</v>
      </c>
      <c r="F1132" s="249">
        <v>42202</v>
      </c>
      <c r="G1132" s="249">
        <v>45854</v>
      </c>
      <c r="H1132" s="247" t="s">
        <v>14</v>
      </c>
      <c r="I1132" s="250" t="s">
        <v>438</v>
      </c>
    </row>
    <row r="1133" spans="1:9">
      <c r="A1133" s="246">
        <v>1129</v>
      </c>
      <c r="B1133" s="247" t="s">
        <v>62</v>
      </c>
      <c r="C1133" s="302" t="str">
        <f>"8210"</f>
        <v>8210</v>
      </c>
      <c r="D1133" s="247" t="s">
        <v>30</v>
      </c>
      <c r="E1133" s="248">
        <v>3</v>
      </c>
      <c r="F1133" s="249">
        <v>42202</v>
      </c>
      <c r="G1133" s="249">
        <v>45854</v>
      </c>
      <c r="H1133" s="247" t="s">
        <v>14</v>
      </c>
      <c r="I1133" s="250" t="s">
        <v>455</v>
      </c>
    </row>
    <row r="1134" spans="1:9">
      <c r="A1134" s="246">
        <v>1130</v>
      </c>
      <c r="B1134" s="247" t="s">
        <v>492</v>
      </c>
      <c r="C1134" s="302" t="str">
        <f>"8217"</f>
        <v>8217</v>
      </c>
      <c r="D1134" s="247" t="s">
        <v>18</v>
      </c>
      <c r="E1134" s="248">
        <v>9</v>
      </c>
      <c r="F1134" s="249">
        <v>42643</v>
      </c>
      <c r="G1134" s="249">
        <v>44468</v>
      </c>
      <c r="H1134" s="247" t="s">
        <v>16</v>
      </c>
      <c r="I1134" s="250" t="s">
        <v>438</v>
      </c>
    </row>
    <row r="1135" spans="1:9">
      <c r="A1135" s="246">
        <v>1131</v>
      </c>
      <c r="B1135" s="247" t="s">
        <v>3472</v>
      </c>
      <c r="C1135" s="302" t="str">
        <f>"8251"</f>
        <v>8251</v>
      </c>
      <c r="D1135" s="247" t="s">
        <v>13</v>
      </c>
      <c r="E1135" s="248">
        <v>35</v>
      </c>
      <c r="F1135" s="249">
        <v>42095</v>
      </c>
      <c r="G1135" s="249">
        <v>53052</v>
      </c>
      <c r="H1135" s="247" t="s">
        <v>59</v>
      </c>
      <c r="I1135" s="250" t="s">
        <v>438</v>
      </c>
    </row>
    <row r="1136" spans="1:9">
      <c r="A1136" s="246">
        <v>1132</v>
      </c>
      <c r="B1136" s="247" t="s">
        <v>3473</v>
      </c>
      <c r="C1136" s="302" t="str">
        <f>"8252"</f>
        <v>8252</v>
      </c>
      <c r="D1136" s="247" t="s">
        <v>30</v>
      </c>
      <c r="E1136" s="248">
        <v>104</v>
      </c>
      <c r="F1136" s="249">
        <v>41484</v>
      </c>
      <c r="G1136" s="249">
        <v>43309</v>
      </c>
      <c r="H1136" s="247" t="s">
        <v>59</v>
      </c>
      <c r="I1136" s="250" t="s">
        <v>3351</v>
      </c>
    </row>
    <row r="1137" spans="1:9">
      <c r="A1137" s="246">
        <v>1133</v>
      </c>
      <c r="B1137" s="247" t="s">
        <v>152</v>
      </c>
      <c r="C1137" s="302" t="str">
        <f>"8348"</f>
        <v>8348</v>
      </c>
      <c r="D1137" s="247" t="s">
        <v>30</v>
      </c>
      <c r="E1137" s="248">
        <v>128</v>
      </c>
      <c r="F1137" s="249">
        <v>43998</v>
      </c>
      <c r="G1137" s="249">
        <v>45823</v>
      </c>
      <c r="H1137" s="247" t="s">
        <v>31</v>
      </c>
      <c r="I1137" s="250" t="s">
        <v>79</v>
      </c>
    </row>
    <row r="1138" spans="1:9">
      <c r="A1138" s="246">
        <v>1134</v>
      </c>
      <c r="B1138" s="247" t="s">
        <v>491</v>
      </c>
      <c r="C1138" s="302" t="str">
        <f>"8349"</f>
        <v>8349</v>
      </c>
      <c r="D1138" s="247" t="s">
        <v>18</v>
      </c>
      <c r="E1138" s="248">
        <v>85</v>
      </c>
      <c r="F1138" s="249">
        <v>39304</v>
      </c>
      <c r="G1138" s="249">
        <v>40764</v>
      </c>
      <c r="H1138" s="247" t="s">
        <v>56</v>
      </c>
      <c r="I1138" s="250" t="s">
        <v>438</v>
      </c>
    </row>
    <row r="1139" spans="1:9">
      <c r="A1139" s="246">
        <v>1135</v>
      </c>
      <c r="B1139" s="247" t="s">
        <v>152</v>
      </c>
      <c r="C1139" s="302" t="str">
        <f>"8350"</f>
        <v>8350</v>
      </c>
      <c r="D1139" s="247" t="s">
        <v>30</v>
      </c>
      <c r="E1139" s="248">
        <v>99</v>
      </c>
      <c r="F1139" s="249">
        <v>43998</v>
      </c>
      <c r="G1139" s="249">
        <v>45823</v>
      </c>
      <c r="H1139" s="247" t="s">
        <v>31</v>
      </c>
      <c r="I1139" s="250" t="s">
        <v>79</v>
      </c>
    </row>
    <row r="1140" spans="1:9">
      <c r="A1140" s="246">
        <v>1136</v>
      </c>
      <c r="B1140" s="247" t="s">
        <v>491</v>
      </c>
      <c r="C1140" s="302" t="str">
        <f>"8352"</f>
        <v>8352</v>
      </c>
      <c r="D1140" s="247" t="s">
        <v>30</v>
      </c>
      <c r="E1140" s="248">
        <v>349</v>
      </c>
      <c r="F1140" s="249">
        <v>41227</v>
      </c>
      <c r="G1140" s="249">
        <v>43052</v>
      </c>
      <c r="H1140" s="247" t="s">
        <v>59</v>
      </c>
      <c r="I1140" s="250" t="s">
        <v>3359</v>
      </c>
    </row>
    <row r="1141" spans="1:9">
      <c r="A1141" s="246">
        <v>1137</v>
      </c>
      <c r="B1141" s="247" t="s">
        <v>491</v>
      </c>
      <c r="C1141" s="302" t="str">
        <f>"8353"</f>
        <v>8353</v>
      </c>
      <c r="D1141" s="247" t="s">
        <v>30</v>
      </c>
      <c r="E1141" s="248">
        <v>133</v>
      </c>
      <c r="F1141" s="249">
        <v>41227</v>
      </c>
      <c r="G1141" s="249">
        <v>43052</v>
      </c>
      <c r="H1141" s="247" t="s">
        <v>59</v>
      </c>
      <c r="I1141" s="250" t="s">
        <v>3359</v>
      </c>
    </row>
    <row r="1142" spans="1:9">
      <c r="A1142" s="246">
        <v>1138</v>
      </c>
      <c r="B1142" s="247" t="s">
        <v>3474</v>
      </c>
      <c r="C1142" s="302" t="str">
        <f>"8386"</f>
        <v>8386</v>
      </c>
      <c r="D1142" s="247" t="s">
        <v>30</v>
      </c>
      <c r="E1142" s="248">
        <v>27</v>
      </c>
      <c r="F1142" s="249">
        <v>40632</v>
      </c>
      <c r="G1142" s="249">
        <v>44284</v>
      </c>
      <c r="H1142" s="247" t="s">
        <v>84</v>
      </c>
      <c r="I1142" s="250" t="s">
        <v>3351</v>
      </c>
    </row>
    <row r="1143" spans="1:9">
      <c r="A1143" s="246">
        <v>1139</v>
      </c>
      <c r="B1143" s="247" t="s">
        <v>3474</v>
      </c>
      <c r="C1143" s="302" t="str">
        <f>"8388"</f>
        <v>8388</v>
      </c>
      <c r="D1143" s="247" t="s">
        <v>30</v>
      </c>
      <c r="E1143" s="248">
        <v>56</v>
      </c>
      <c r="F1143" s="249">
        <v>40632</v>
      </c>
      <c r="G1143" s="249">
        <v>46079</v>
      </c>
      <c r="H1143" s="247" t="s">
        <v>84</v>
      </c>
      <c r="I1143" s="250" t="s">
        <v>3351</v>
      </c>
    </row>
    <row r="1144" spans="1:9">
      <c r="A1144" s="246">
        <v>1140</v>
      </c>
      <c r="B1144" s="247" t="s">
        <v>3475</v>
      </c>
      <c r="C1144" s="302" t="str">
        <f>"8413"</f>
        <v>8413</v>
      </c>
      <c r="D1144" s="247" t="s">
        <v>18</v>
      </c>
      <c r="E1144" s="248">
        <v>220</v>
      </c>
      <c r="F1144" s="249">
        <v>39304</v>
      </c>
      <c r="G1144" s="249">
        <v>41130</v>
      </c>
      <c r="H1144" s="247" t="s">
        <v>70</v>
      </c>
      <c r="I1144" s="250" t="s">
        <v>437</v>
      </c>
    </row>
    <row r="1145" spans="1:9">
      <c r="A1145" s="246">
        <v>1141</v>
      </c>
      <c r="B1145" s="247" t="s">
        <v>3475</v>
      </c>
      <c r="C1145" s="302" t="str">
        <f>"8414"</f>
        <v>8414</v>
      </c>
      <c r="D1145" s="247" t="s">
        <v>18</v>
      </c>
      <c r="E1145" s="248">
        <v>200</v>
      </c>
      <c r="F1145" s="249">
        <v>39304</v>
      </c>
      <c r="G1145" s="249">
        <v>41130</v>
      </c>
      <c r="H1145" s="247" t="s">
        <v>59</v>
      </c>
      <c r="I1145" s="250" t="s">
        <v>437</v>
      </c>
    </row>
    <row r="1146" spans="1:9">
      <c r="A1146" s="246">
        <v>1142</v>
      </c>
      <c r="B1146" s="247" t="s">
        <v>3475</v>
      </c>
      <c r="C1146" s="302" t="str">
        <f>"8416"</f>
        <v>8416</v>
      </c>
      <c r="D1146" s="247" t="s">
        <v>18</v>
      </c>
      <c r="E1146" s="248">
        <v>176</v>
      </c>
      <c r="F1146" s="249">
        <v>39304</v>
      </c>
      <c r="G1146" s="249">
        <v>41130</v>
      </c>
      <c r="H1146" s="247" t="s">
        <v>70</v>
      </c>
      <c r="I1146" s="250" t="s">
        <v>437</v>
      </c>
    </row>
    <row r="1147" spans="1:9">
      <c r="A1147" s="246">
        <v>1143</v>
      </c>
      <c r="B1147" s="247" t="s">
        <v>3476</v>
      </c>
      <c r="C1147" s="302" t="str">
        <f>"8422"</f>
        <v>8422</v>
      </c>
      <c r="D1147" s="247" t="s">
        <v>18</v>
      </c>
      <c r="E1147" s="248">
        <v>10</v>
      </c>
      <c r="F1147" s="249">
        <v>39292</v>
      </c>
      <c r="G1147" s="249">
        <v>41109</v>
      </c>
      <c r="H1147" s="247" t="s">
        <v>22</v>
      </c>
      <c r="I1147" s="250" t="s">
        <v>438</v>
      </c>
    </row>
    <row r="1148" spans="1:9">
      <c r="A1148" s="246">
        <v>1144</v>
      </c>
      <c r="B1148" s="247" t="s">
        <v>493</v>
      </c>
      <c r="C1148" s="302" t="str">
        <f>"8440"</f>
        <v>8440</v>
      </c>
      <c r="D1148" s="247" t="s">
        <v>21</v>
      </c>
      <c r="E1148" s="248">
        <v>5</v>
      </c>
      <c r="F1148" s="249">
        <v>42349</v>
      </c>
      <c r="G1148" s="249">
        <v>44175</v>
      </c>
      <c r="H1148" s="247" t="s">
        <v>59</v>
      </c>
      <c r="I1148" s="250" t="s">
        <v>3342</v>
      </c>
    </row>
    <row r="1149" spans="1:9">
      <c r="A1149" s="246">
        <v>1145</v>
      </c>
      <c r="B1149" s="247" t="s">
        <v>493</v>
      </c>
      <c r="C1149" s="302" t="str">
        <f>"8441"</f>
        <v>8441</v>
      </c>
      <c r="D1149" s="247" t="s">
        <v>21</v>
      </c>
      <c r="E1149" s="248">
        <v>5</v>
      </c>
      <c r="F1149" s="249">
        <v>42349</v>
      </c>
      <c r="G1149" s="249">
        <v>44175</v>
      </c>
      <c r="H1149" s="247" t="s">
        <v>59</v>
      </c>
      <c r="I1149" s="250" t="s">
        <v>3342</v>
      </c>
    </row>
    <row r="1150" spans="1:9">
      <c r="A1150" s="246">
        <v>1146</v>
      </c>
      <c r="B1150" s="247" t="s">
        <v>493</v>
      </c>
      <c r="C1150" s="302" t="str">
        <f>"8446"</f>
        <v>8446</v>
      </c>
      <c r="D1150" s="247" t="s">
        <v>21</v>
      </c>
      <c r="E1150" s="248">
        <v>5</v>
      </c>
      <c r="F1150" s="249">
        <v>42349</v>
      </c>
      <c r="G1150" s="249">
        <v>44175</v>
      </c>
      <c r="H1150" s="247" t="s">
        <v>59</v>
      </c>
      <c r="I1150" s="250" t="s">
        <v>3342</v>
      </c>
    </row>
    <row r="1151" spans="1:9">
      <c r="A1151" s="246">
        <v>1147</v>
      </c>
      <c r="B1151" s="247" t="s">
        <v>3477</v>
      </c>
      <c r="C1151" s="302" t="str">
        <f>"8460"</f>
        <v>8460</v>
      </c>
      <c r="D1151" s="247" t="s">
        <v>18</v>
      </c>
      <c r="E1151" s="248">
        <v>77</v>
      </c>
      <c r="F1151" s="249">
        <v>41131</v>
      </c>
      <c r="G1151" s="249">
        <v>42956</v>
      </c>
      <c r="H1151" s="247" t="s">
        <v>59</v>
      </c>
      <c r="I1151" s="250" t="s">
        <v>438</v>
      </c>
    </row>
    <row r="1152" spans="1:9">
      <c r="A1152" s="246">
        <v>1148</v>
      </c>
      <c r="B1152" s="247" t="s">
        <v>3468</v>
      </c>
      <c r="C1152" s="302" t="str">
        <f>"8501"</f>
        <v>8501</v>
      </c>
      <c r="D1152" s="247" t="s">
        <v>18</v>
      </c>
      <c r="E1152" s="248">
        <v>7</v>
      </c>
      <c r="F1152" s="249">
        <v>39312</v>
      </c>
      <c r="G1152" s="249">
        <v>41138</v>
      </c>
      <c r="H1152" s="247" t="s">
        <v>84</v>
      </c>
      <c r="I1152" s="250" t="s">
        <v>437</v>
      </c>
    </row>
    <row r="1153" spans="1:9">
      <c r="A1153" s="246">
        <v>1149</v>
      </c>
      <c r="B1153" s="247" t="s">
        <v>177</v>
      </c>
      <c r="C1153" s="302" t="str">
        <f>"8509"</f>
        <v>8509</v>
      </c>
      <c r="D1153" s="247" t="s">
        <v>18</v>
      </c>
      <c r="E1153" s="248">
        <v>58</v>
      </c>
      <c r="F1153" s="249">
        <v>41139</v>
      </c>
      <c r="G1153" s="249">
        <v>42964</v>
      </c>
      <c r="H1153" s="247" t="s">
        <v>59</v>
      </c>
      <c r="I1153" s="250" t="s">
        <v>438</v>
      </c>
    </row>
    <row r="1154" spans="1:9">
      <c r="A1154" s="246">
        <v>1150</v>
      </c>
      <c r="B1154" s="247" t="s">
        <v>177</v>
      </c>
      <c r="C1154" s="302" t="str">
        <f>"8510"</f>
        <v>8510</v>
      </c>
      <c r="D1154" s="247" t="s">
        <v>18</v>
      </c>
      <c r="E1154" s="248">
        <v>64</v>
      </c>
      <c r="F1154" s="249">
        <v>39312</v>
      </c>
      <c r="G1154" s="249">
        <v>41138</v>
      </c>
      <c r="H1154" s="247" t="s">
        <v>59</v>
      </c>
      <c r="I1154" s="250" t="s">
        <v>438</v>
      </c>
    </row>
    <row r="1155" spans="1:9">
      <c r="A1155" s="246">
        <v>1151</v>
      </c>
      <c r="B1155" s="247" t="s">
        <v>177</v>
      </c>
      <c r="C1155" s="302" t="str">
        <f>"8511"</f>
        <v>8511</v>
      </c>
      <c r="D1155" s="247" t="s">
        <v>18</v>
      </c>
      <c r="E1155" s="248">
        <v>75</v>
      </c>
      <c r="F1155" s="249">
        <v>41229</v>
      </c>
      <c r="G1155" s="249">
        <v>43054</v>
      </c>
      <c r="H1155" s="247" t="s">
        <v>59</v>
      </c>
      <c r="I1155" s="250" t="s">
        <v>438</v>
      </c>
    </row>
    <row r="1156" spans="1:9">
      <c r="A1156" s="246">
        <v>1152</v>
      </c>
      <c r="B1156" s="247" t="s">
        <v>177</v>
      </c>
      <c r="C1156" s="302" t="str">
        <f>"8512"</f>
        <v>8512</v>
      </c>
      <c r="D1156" s="247" t="s">
        <v>18</v>
      </c>
      <c r="E1156" s="248">
        <v>29</v>
      </c>
      <c r="F1156" s="249">
        <v>41139</v>
      </c>
      <c r="G1156" s="249">
        <v>42964</v>
      </c>
      <c r="H1156" s="247" t="s">
        <v>59</v>
      </c>
      <c r="I1156" s="250" t="s">
        <v>438</v>
      </c>
    </row>
    <row r="1157" spans="1:9">
      <c r="A1157" s="246">
        <v>1153</v>
      </c>
      <c r="B1157" s="247" t="s">
        <v>177</v>
      </c>
      <c r="C1157" s="302" t="str">
        <f>"8513"</f>
        <v>8513</v>
      </c>
      <c r="D1157" s="247" t="s">
        <v>18</v>
      </c>
      <c r="E1157" s="248">
        <v>21</v>
      </c>
      <c r="F1157" s="249">
        <v>41141</v>
      </c>
      <c r="G1157" s="249">
        <v>42966</v>
      </c>
      <c r="H1157" s="247" t="s">
        <v>59</v>
      </c>
      <c r="I1157" s="250" t="s">
        <v>438</v>
      </c>
    </row>
    <row r="1158" spans="1:9">
      <c r="A1158" s="246">
        <v>1154</v>
      </c>
      <c r="B1158" s="247" t="s">
        <v>177</v>
      </c>
      <c r="C1158" s="302" t="str">
        <f>"8514"</f>
        <v>8514</v>
      </c>
      <c r="D1158" s="247" t="s">
        <v>18</v>
      </c>
      <c r="E1158" s="248">
        <v>27</v>
      </c>
      <c r="F1158" s="249">
        <v>41229</v>
      </c>
      <c r="G1158" s="249">
        <v>43054</v>
      </c>
      <c r="H1158" s="247" t="s">
        <v>59</v>
      </c>
      <c r="I1158" s="250" t="s">
        <v>438</v>
      </c>
    </row>
    <row r="1159" spans="1:9">
      <c r="A1159" s="246">
        <v>1155</v>
      </c>
      <c r="B1159" s="247" t="s">
        <v>177</v>
      </c>
      <c r="C1159" s="302" t="str">
        <f>"8516"</f>
        <v>8516</v>
      </c>
      <c r="D1159" s="247" t="s">
        <v>18</v>
      </c>
      <c r="E1159" s="248">
        <v>26</v>
      </c>
      <c r="F1159" s="249">
        <v>39312</v>
      </c>
      <c r="G1159" s="249">
        <v>40772</v>
      </c>
      <c r="H1159" s="247" t="s">
        <v>16</v>
      </c>
      <c r="I1159" s="250" t="s">
        <v>438</v>
      </c>
    </row>
    <row r="1160" spans="1:9">
      <c r="A1160" s="246">
        <v>1156</v>
      </c>
      <c r="B1160" s="247" t="s">
        <v>177</v>
      </c>
      <c r="C1160" s="302" t="str">
        <f>"8565"</f>
        <v>8565</v>
      </c>
      <c r="D1160" s="247" t="s">
        <v>18</v>
      </c>
      <c r="E1160" s="248">
        <v>69</v>
      </c>
      <c r="F1160" s="249">
        <v>41147</v>
      </c>
      <c r="G1160" s="249">
        <v>42972</v>
      </c>
      <c r="H1160" s="247" t="s">
        <v>59</v>
      </c>
      <c r="I1160" s="250" t="s">
        <v>448</v>
      </c>
    </row>
    <row r="1161" spans="1:9">
      <c r="A1161" s="246">
        <v>1157</v>
      </c>
      <c r="B1161" s="247" t="s">
        <v>177</v>
      </c>
      <c r="C1161" s="302" t="str">
        <f>"8566"</f>
        <v>8566</v>
      </c>
      <c r="D1161" s="247" t="s">
        <v>18</v>
      </c>
      <c r="E1161" s="248">
        <v>46</v>
      </c>
      <c r="F1161" s="249">
        <v>39320</v>
      </c>
      <c r="G1161" s="249">
        <v>41146</v>
      </c>
      <c r="H1161" s="247" t="s">
        <v>59</v>
      </c>
      <c r="I1161" s="250" t="s">
        <v>438</v>
      </c>
    </row>
    <row r="1162" spans="1:9">
      <c r="A1162" s="246">
        <v>1158</v>
      </c>
      <c r="B1162" s="247" t="s">
        <v>177</v>
      </c>
      <c r="C1162" s="302" t="str">
        <f>"8567"</f>
        <v>8567</v>
      </c>
      <c r="D1162" s="247" t="s">
        <v>18</v>
      </c>
      <c r="E1162" s="248">
        <v>38</v>
      </c>
      <c r="F1162" s="249">
        <v>41163</v>
      </c>
      <c r="G1162" s="249">
        <v>42988</v>
      </c>
      <c r="H1162" s="247" t="s">
        <v>59</v>
      </c>
      <c r="I1162" s="250" t="s">
        <v>448</v>
      </c>
    </row>
    <row r="1163" spans="1:9">
      <c r="A1163" s="246">
        <v>1159</v>
      </c>
      <c r="B1163" s="247" t="s">
        <v>3478</v>
      </c>
      <c r="C1163" s="302" t="str">
        <f>"8572"</f>
        <v>8572</v>
      </c>
      <c r="D1163" s="247" t="s">
        <v>30</v>
      </c>
      <c r="E1163" s="248">
        <v>87</v>
      </c>
      <c r="F1163" s="249">
        <v>42328</v>
      </c>
      <c r="G1163" s="249">
        <v>44154</v>
      </c>
      <c r="H1163" s="247" t="s">
        <v>59</v>
      </c>
      <c r="I1163" s="250" t="s">
        <v>438</v>
      </c>
    </row>
    <row r="1164" spans="1:9">
      <c r="A1164" s="246">
        <v>1160</v>
      </c>
      <c r="B1164" s="247" t="s">
        <v>3478</v>
      </c>
      <c r="C1164" s="302" t="str">
        <f>"8573"</f>
        <v>8573</v>
      </c>
      <c r="D1164" s="247" t="s">
        <v>30</v>
      </c>
      <c r="E1164" s="248">
        <v>22</v>
      </c>
      <c r="F1164" s="249">
        <v>42328</v>
      </c>
      <c r="G1164" s="249">
        <v>44154</v>
      </c>
      <c r="H1164" s="247" t="s">
        <v>59</v>
      </c>
      <c r="I1164" s="250" t="s">
        <v>438</v>
      </c>
    </row>
    <row r="1165" spans="1:9">
      <c r="A1165" s="246">
        <v>1161</v>
      </c>
      <c r="B1165" s="247" t="s">
        <v>494</v>
      </c>
      <c r="C1165" s="302" t="str">
        <f>"8592"</f>
        <v>8592</v>
      </c>
      <c r="D1165" s="247" t="s">
        <v>18</v>
      </c>
      <c r="E1165" s="248">
        <v>20</v>
      </c>
      <c r="F1165" s="249">
        <v>42624</v>
      </c>
      <c r="G1165" s="249">
        <v>42865</v>
      </c>
      <c r="H1165" s="247" t="s">
        <v>19</v>
      </c>
      <c r="I1165" s="250" t="s">
        <v>3369</v>
      </c>
    </row>
    <row r="1166" spans="1:9">
      <c r="A1166" s="246">
        <v>1162</v>
      </c>
      <c r="B1166" s="247" t="s">
        <v>3474</v>
      </c>
      <c r="C1166" s="302" t="str">
        <f>"8599"</f>
        <v>8599</v>
      </c>
      <c r="D1166" s="247" t="s">
        <v>30</v>
      </c>
      <c r="E1166" s="248">
        <v>325</v>
      </c>
      <c r="F1166" s="249">
        <v>40632</v>
      </c>
      <c r="G1166" s="249">
        <v>44284</v>
      </c>
      <c r="H1166" s="247" t="s">
        <v>84</v>
      </c>
      <c r="I1166" s="250" t="s">
        <v>438</v>
      </c>
    </row>
    <row r="1167" spans="1:9">
      <c r="A1167" s="246">
        <v>1163</v>
      </c>
      <c r="B1167" s="247" t="s">
        <v>153</v>
      </c>
      <c r="C1167" s="302" t="str">
        <f>"8631"</f>
        <v>8631</v>
      </c>
      <c r="D1167" s="247" t="s">
        <v>30</v>
      </c>
      <c r="E1167" s="248">
        <v>416</v>
      </c>
      <c r="F1167" s="249">
        <v>43055</v>
      </c>
      <c r="G1167" s="249">
        <v>44880</v>
      </c>
      <c r="H1167" s="247" t="s">
        <v>59</v>
      </c>
      <c r="I1167" s="250" t="s">
        <v>79</v>
      </c>
    </row>
    <row r="1168" spans="1:9">
      <c r="A1168" s="246">
        <v>1164</v>
      </c>
      <c r="B1168" s="247" t="s">
        <v>495</v>
      </c>
      <c r="C1168" s="302" t="str">
        <f>"8664"</f>
        <v>8664</v>
      </c>
      <c r="D1168" s="247" t="s">
        <v>18</v>
      </c>
      <c r="E1168" s="248">
        <v>183</v>
      </c>
      <c r="F1168" s="249">
        <v>39377</v>
      </c>
      <c r="G1168" s="249">
        <v>44106</v>
      </c>
      <c r="H1168" s="247" t="s">
        <v>56</v>
      </c>
      <c r="I1168" s="250" t="s">
        <v>3359</v>
      </c>
    </row>
    <row r="1169" spans="1:9">
      <c r="A1169" s="246">
        <v>1165</v>
      </c>
      <c r="B1169" s="247" t="s">
        <v>495</v>
      </c>
      <c r="C1169" s="302" t="str">
        <f>"8665"</f>
        <v>8665</v>
      </c>
      <c r="D1169" s="247" t="s">
        <v>18</v>
      </c>
      <c r="E1169" s="248">
        <v>137</v>
      </c>
      <c r="F1169" s="249">
        <v>39378</v>
      </c>
      <c r="G1169" s="249">
        <v>43863</v>
      </c>
      <c r="H1169" s="247" t="s">
        <v>19</v>
      </c>
      <c r="I1169" s="250" t="s">
        <v>3359</v>
      </c>
    </row>
    <row r="1170" spans="1:9">
      <c r="A1170" s="246">
        <v>1166</v>
      </c>
      <c r="B1170" s="247" t="s">
        <v>495</v>
      </c>
      <c r="C1170" s="302" t="str">
        <f>"8666"</f>
        <v>8666</v>
      </c>
      <c r="D1170" s="247" t="s">
        <v>18</v>
      </c>
      <c r="E1170" s="248">
        <v>187</v>
      </c>
      <c r="F1170" s="249">
        <v>39378</v>
      </c>
      <c r="G1170" s="249">
        <v>43863</v>
      </c>
      <c r="H1170" s="247" t="s">
        <v>56</v>
      </c>
      <c r="I1170" s="250" t="s">
        <v>3359</v>
      </c>
    </row>
    <row r="1171" spans="1:9">
      <c r="A1171" s="246">
        <v>1167</v>
      </c>
      <c r="B1171" s="247" t="s">
        <v>495</v>
      </c>
      <c r="C1171" s="302" t="str">
        <f>"8667"</f>
        <v>8667</v>
      </c>
      <c r="D1171" s="247" t="s">
        <v>18</v>
      </c>
      <c r="E1171" s="248">
        <v>170</v>
      </c>
      <c r="F1171" s="249">
        <v>39377</v>
      </c>
      <c r="G1171" s="249">
        <v>43497</v>
      </c>
      <c r="H1171" s="247" t="s">
        <v>19</v>
      </c>
      <c r="I1171" s="250" t="s">
        <v>3351</v>
      </c>
    </row>
    <row r="1172" spans="1:9">
      <c r="A1172" s="246">
        <v>1168</v>
      </c>
      <c r="B1172" s="247" t="s">
        <v>3451</v>
      </c>
      <c r="C1172" s="302" t="str">
        <f>"8713"</f>
        <v>8713</v>
      </c>
      <c r="D1172" s="247" t="s">
        <v>18</v>
      </c>
      <c r="E1172" s="248">
        <v>330</v>
      </c>
      <c r="F1172" s="249">
        <v>39408</v>
      </c>
      <c r="G1172" s="249">
        <v>41234</v>
      </c>
      <c r="H1172" s="247" t="s">
        <v>19</v>
      </c>
      <c r="I1172" s="250" t="s">
        <v>438</v>
      </c>
    </row>
    <row r="1173" spans="1:9">
      <c r="A1173" s="246">
        <v>1169</v>
      </c>
      <c r="B1173" s="247" t="s">
        <v>3451</v>
      </c>
      <c r="C1173" s="302" t="str">
        <f>"8715"</f>
        <v>8715</v>
      </c>
      <c r="D1173" s="247" t="s">
        <v>18</v>
      </c>
      <c r="E1173" s="248">
        <v>133</v>
      </c>
      <c r="F1173" s="249">
        <v>39408</v>
      </c>
      <c r="G1173" s="249">
        <v>41234</v>
      </c>
      <c r="H1173" s="247" t="s">
        <v>84</v>
      </c>
      <c r="I1173" s="250" t="s">
        <v>438</v>
      </c>
    </row>
    <row r="1174" spans="1:9">
      <c r="A1174" s="246">
        <v>1170</v>
      </c>
      <c r="B1174" s="247" t="s">
        <v>3479</v>
      </c>
      <c r="C1174" s="302" t="str">
        <f>"8759"</f>
        <v>8759</v>
      </c>
      <c r="D1174" s="247" t="s">
        <v>18</v>
      </c>
      <c r="E1174" s="248">
        <v>20</v>
      </c>
      <c r="F1174" s="249">
        <v>39414</v>
      </c>
      <c r="G1174" s="249">
        <v>41240</v>
      </c>
      <c r="H1174" s="247" t="s">
        <v>14</v>
      </c>
      <c r="I1174" s="250" t="s">
        <v>438</v>
      </c>
    </row>
    <row r="1175" spans="1:9">
      <c r="A1175" s="246">
        <v>1171</v>
      </c>
      <c r="B1175" s="247" t="s">
        <v>3480</v>
      </c>
      <c r="C1175" s="302" t="str">
        <f>"8827"</f>
        <v>8827</v>
      </c>
      <c r="D1175" s="247" t="s">
        <v>23</v>
      </c>
      <c r="E1175" s="248">
        <v>4</v>
      </c>
      <c r="F1175" s="249">
        <v>39393</v>
      </c>
      <c r="G1175" s="249">
        <v>39758</v>
      </c>
      <c r="H1175" s="247" t="s">
        <v>22</v>
      </c>
      <c r="I1175" s="250" t="s">
        <v>433</v>
      </c>
    </row>
    <row r="1176" spans="1:9">
      <c r="A1176" s="246">
        <v>1172</v>
      </c>
      <c r="B1176" s="247" t="s">
        <v>3480</v>
      </c>
      <c r="C1176" s="302" t="str">
        <f>"8828"</f>
        <v>8828</v>
      </c>
      <c r="D1176" s="247" t="s">
        <v>23</v>
      </c>
      <c r="E1176" s="248">
        <v>4</v>
      </c>
      <c r="F1176" s="249">
        <v>39393</v>
      </c>
      <c r="G1176" s="249">
        <v>39758</v>
      </c>
      <c r="H1176" s="247" t="s">
        <v>22</v>
      </c>
      <c r="I1176" s="250" t="s">
        <v>433</v>
      </c>
    </row>
    <row r="1177" spans="1:9">
      <c r="A1177" s="246">
        <v>1173</v>
      </c>
      <c r="B1177" s="247" t="s">
        <v>3480</v>
      </c>
      <c r="C1177" s="302" t="str">
        <f>"8829"</f>
        <v>8829</v>
      </c>
      <c r="D1177" s="247" t="s">
        <v>23</v>
      </c>
      <c r="E1177" s="248">
        <v>4</v>
      </c>
      <c r="F1177" s="249">
        <v>39393</v>
      </c>
      <c r="G1177" s="249">
        <v>39758</v>
      </c>
      <c r="H1177" s="247" t="s">
        <v>22</v>
      </c>
      <c r="I1177" s="250" t="s">
        <v>433</v>
      </c>
    </row>
    <row r="1178" spans="1:9">
      <c r="A1178" s="246">
        <v>1174</v>
      </c>
      <c r="B1178" s="247" t="s">
        <v>3480</v>
      </c>
      <c r="C1178" s="302" t="str">
        <f>"8830"</f>
        <v>8830</v>
      </c>
      <c r="D1178" s="247" t="s">
        <v>23</v>
      </c>
      <c r="E1178" s="248">
        <v>4</v>
      </c>
      <c r="F1178" s="249">
        <v>39393</v>
      </c>
      <c r="G1178" s="249">
        <v>39758</v>
      </c>
      <c r="H1178" s="247" t="s">
        <v>22</v>
      </c>
      <c r="I1178" s="250" t="s">
        <v>433</v>
      </c>
    </row>
    <row r="1179" spans="1:9">
      <c r="A1179" s="246">
        <v>1175</v>
      </c>
      <c r="B1179" s="247" t="s">
        <v>3480</v>
      </c>
      <c r="C1179" s="302" t="str">
        <f>"8831"</f>
        <v>8831</v>
      </c>
      <c r="D1179" s="247" t="s">
        <v>23</v>
      </c>
      <c r="E1179" s="248">
        <v>4</v>
      </c>
      <c r="F1179" s="249">
        <v>39393</v>
      </c>
      <c r="G1179" s="249">
        <v>39758</v>
      </c>
      <c r="H1179" s="247" t="s">
        <v>22</v>
      </c>
      <c r="I1179" s="250" t="s">
        <v>433</v>
      </c>
    </row>
    <row r="1180" spans="1:9">
      <c r="A1180" s="246">
        <v>1176</v>
      </c>
      <c r="B1180" s="247" t="s">
        <v>3480</v>
      </c>
      <c r="C1180" s="302" t="str">
        <f>"8832"</f>
        <v>8832</v>
      </c>
      <c r="D1180" s="247" t="s">
        <v>23</v>
      </c>
      <c r="E1180" s="248">
        <v>4</v>
      </c>
      <c r="F1180" s="249">
        <v>39393</v>
      </c>
      <c r="G1180" s="249">
        <v>39758</v>
      </c>
      <c r="H1180" s="247" t="s">
        <v>22</v>
      </c>
      <c r="I1180" s="250" t="s">
        <v>433</v>
      </c>
    </row>
    <row r="1181" spans="1:9">
      <c r="A1181" s="246">
        <v>1177</v>
      </c>
      <c r="B1181" s="247" t="s">
        <v>3480</v>
      </c>
      <c r="C1181" s="302" t="str">
        <f>"8833"</f>
        <v>8833</v>
      </c>
      <c r="D1181" s="247" t="s">
        <v>23</v>
      </c>
      <c r="E1181" s="248">
        <v>5</v>
      </c>
      <c r="F1181" s="249">
        <v>39393</v>
      </c>
      <c r="G1181" s="249">
        <v>39758</v>
      </c>
      <c r="H1181" s="247" t="s">
        <v>22</v>
      </c>
      <c r="I1181" s="250" t="s">
        <v>433</v>
      </c>
    </row>
    <row r="1182" spans="1:9">
      <c r="A1182" s="246">
        <v>1178</v>
      </c>
      <c r="B1182" s="247" t="s">
        <v>3480</v>
      </c>
      <c r="C1182" s="302" t="str">
        <f>"8834"</f>
        <v>8834</v>
      </c>
      <c r="D1182" s="247" t="s">
        <v>23</v>
      </c>
      <c r="E1182" s="248">
        <v>5</v>
      </c>
      <c r="F1182" s="249">
        <v>39393</v>
      </c>
      <c r="G1182" s="249">
        <v>39758</v>
      </c>
      <c r="H1182" s="247" t="s">
        <v>22</v>
      </c>
      <c r="I1182" s="250" t="s">
        <v>433</v>
      </c>
    </row>
    <row r="1183" spans="1:9">
      <c r="A1183" s="246">
        <v>1179</v>
      </c>
      <c r="B1183" s="247" t="s">
        <v>3480</v>
      </c>
      <c r="C1183" s="302" t="str">
        <f>"8835"</f>
        <v>8835</v>
      </c>
      <c r="D1183" s="247" t="s">
        <v>23</v>
      </c>
      <c r="E1183" s="248">
        <v>5</v>
      </c>
      <c r="F1183" s="249">
        <v>39393</v>
      </c>
      <c r="G1183" s="249">
        <v>39758</v>
      </c>
      <c r="H1183" s="247" t="s">
        <v>22</v>
      </c>
      <c r="I1183" s="250" t="s">
        <v>433</v>
      </c>
    </row>
    <row r="1184" spans="1:9">
      <c r="A1184" s="246">
        <v>1180</v>
      </c>
      <c r="B1184" s="247" t="s">
        <v>3480</v>
      </c>
      <c r="C1184" s="302" t="str">
        <f>"8836"</f>
        <v>8836</v>
      </c>
      <c r="D1184" s="247" t="s">
        <v>23</v>
      </c>
      <c r="E1184" s="248">
        <v>5</v>
      </c>
      <c r="F1184" s="249">
        <v>39393</v>
      </c>
      <c r="G1184" s="249">
        <v>39758</v>
      </c>
      <c r="H1184" s="247" t="s">
        <v>22</v>
      </c>
      <c r="I1184" s="250" t="s">
        <v>433</v>
      </c>
    </row>
    <row r="1185" spans="1:9">
      <c r="A1185" s="246">
        <v>1181</v>
      </c>
      <c r="B1185" s="247" t="s">
        <v>43</v>
      </c>
      <c r="C1185" s="302" t="str">
        <f>"8841"</f>
        <v>8841</v>
      </c>
      <c r="D1185" s="247" t="s">
        <v>13</v>
      </c>
      <c r="E1185" s="248">
        <v>113</v>
      </c>
      <c r="F1185" s="249">
        <v>40102</v>
      </c>
      <c r="G1185" s="249">
        <v>45385</v>
      </c>
      <c r="H1185" s="247" t="s">
        <v>16</v>
      </c>
      <c r="I1185" s="250" t="s">
        <v>79</v>
      </c>
    </row>
    <row r="1186" spans="1:9">
      <c r="A1186" s="246">
        <v>1182</v>
      </c>
      <c r="B1186" s="247" t="s">
        <v>3481</v>
      </c>
      <c r="C1186" s="302" t="str">
        <f>"8891"</f>
        <v>8891</v>
      </c>
      <c r="D1186" s="247" t="s">
        <v>23</v>
      </c>
      <c r="E1186" s="248">
        <v>4</v>
      </c>
      <c r="F1186" s="249">
        <v>39391</v>
      </c>
      <c r="G1186" s="249">
        <v>39756</v>
      </c>
      <c r="H1186" s="247" t="s">
        <v>89</v>
      </c>
      <c r="I1186" s="250" t="s">
        <v>3413</v>
      </c>
    </row>
    <row r="1187" spans="1:9">
      <c r="A1187" s="246">
        <v>1183</v>
      </c>
      <c r="B1187" s="247" t="s">
        <v>3481</v>
      </c>
      <c r="C1187" s="302" t="str">
        <f>"8892"</f>
        <v>8892</v>
      </c>
      <c r="D1187" s="247" t="s">
        <v>23</v>
      </c>
      <c r="E1187" s="248">
        <v>4</v>
      </c>
      <c r="F1187" s="249">
        <v>39391</v>
      </c>
      <c r="G1187" s="249">
        <v>39756</v>
      </c>
      <c r="H1187" s="247" t="s">
        <v>89</v>
      </c>
      <c r="I1187" s="250" t="s">
        <v>3413</v>
      </c>
    </row>
    <row r="1188" spans="1:9">
      <c r="A1188" s="246">
        <v>1184</v>
      </c>
      <c r="B1188" s="247" t="s">
        <v>3481</v>
      </c>
      <c r="C1188" s="302" t="str">
        <f>"8893"</f>
        <v>8893</v>
      </c>
      <c r="D1188" s="247" t="s">
        <v>23</v>
      </c>
      <c r="E1188" s="248">
        <v>2</v>
      </c>
      <c r="F1188" s="249">
        <v>39391</v>
      </c>
      <c r="G1188" s="249">
        <v>39756</v>
      </c>
      <c r="H1188" s="247" t="s">
        <v>22</v>
      </c>
      <c r="I1188" s="250" t="s">
        <v>3413</v>
      </c>
    </row>
    <row r="1189" spans="1:9">
      <c r="A1189" s="246">
        <v>1185</v>
      </c>
      <c r="B1189" s="247" t="s">
        <v>3482</v>
      </c>
      <c r="C1189" s="302" t="str">
        <f>"8912"</f>
        <v>8912</v>
      </c>
      <c r="D1189" s="247" t="s">
        <v>18</v>
      </c>
      <c r="E1189" s="248">
        <v>114</v>
      </c>
      <c r="F1189" s="249">
        <v>41048</v>
      </c>
      <c r="G1189" s="249">
        <v>41777</v>
      </c>
      <c r="H1189" s="247" t="s">
        <v>31</v>
      </c>
      <c r="I1189" s="250" t="s">
        <v>437</v>
      </c>
    </row>
    <row r="1190" spans="1:9">
      <c r="A1190" s="246">
        <v>1186</v>
      </c>
      <c r="B1190" s="247" t="s">
        <v>3483</v>
      </c>
      <c r="C1190" s="302" t="str">
        <f>"8913"</f>
        <v>8913</v>
      </c>
      <c r="D1190" s="247" t="s">
        <v>18</v>
      </c>
      <c r="E1190" s="248">
        <v>22</v>
      </c>
      <c r="F1190" s="249">
        <v>41048</v>
      </c>
      <c r="G1190" s="249">
        <v>41777</v>
      </c>
      <c r="H1190" s="247" t="s">
        <v>25</v>
      </c>
      <c r="I1190" s="250" t="s">
        <v>438</v>
      </c>
    </row>
    <row r="1191" spans="1:9">
      <c r="A1191" s="246">
        <v>1187</v>
      </c>
      <c r="B1191" s="247" t="s">
        <v>3483</v>
      </c>
      <c r="C1191" s="302" t="str">
        <f>"8915"</f>
        <v>8915</v>
      </c>
      <c r="D1191" s="247" t="s">
        <v>18</v>
      </c>
      <c r="E1191" s="248">
        <v>2</v>
      </c>
      <c r="F1191" s="249">
        <v>41048</v>
      </c>
      <c r="G1191" s="249">
        <v>41777</v>
      </c>
      <c r="H1191" s="247" t="s">
        <v>25</v>
      </c>
      <c r="I1191" s="250" t="s">
        <v>438</v>
      </c>
    </row>
    <row r="1192" spans="1:9">
      <c r="A1192" s="246">
        <v>1188</v>
      </c>
      <c r="B1192" s="247" t="s">
        <v>3484</v>
      </c>
      <c r="C1192" s="302" t="str">
        <f>"8943"</f>
        <v>8943</v>
      </c>
      <c r="D1192" s="247" t="s">
        <v>21</v>
      </c>
      <c r="E1192" s="248">
        <v>5</v>
      </c>
      <c r="F1192" s="249">
        <v>39696</v>
      </c>
      <c r="G1192" s="249">
        <v>41521</v>
      </c>
      <c r="H1192" s="247" t="s">
        <v>22</v>
      </c>
      <c r="I1192" s="250" t="s">
        <v>437</v>
      </c>
    </row>
    <row r="1193" spans="1:9">
      <c r="A1193" s="246">
        <v>1189</v>
      </c>
      <c r="B1193" s="247" t="s">
        <v>496</v>
      </c>
      <c r="C1193" s="302" t="str">
        <f>"8945"</f>
        <v>8945</v>
      </c>
      <c r="D1193" s="247" t="s">
        <v>21</v>
      </c>
      <c r="E1193" s="248">
        <v>3</v>
      </c>
      <c r="F1193" s="249">
        <v>41522</v>
      </c>
      <c r="G1193" s="249">
        <v>43347</v>
      </c>
      <c r="H1193" s="247" t="s">
        <v>22</v>
      </c>
      <c r="I1193" s="250" t="s">
        <v>437</v>
      </c>
    </row>
    <row r="1194" spans="1:9">
      <c r="A1194" s="246">
        <v>1190</v>
      </c>
      <c r="B1194" s="247" t="s">
        <v>154</v>
      </c>
      <c r="C1194" s="302" t="str">
        <f>"8959"</f>
        <v>8959</v>
      </c>
      <c r="D1194" s="247" t="s">
        <v>21</v>
      </c>
      <c r="E1194" s="248">
        <v>2</v>
      </c>
      <c r="F1194" s="249">
        <v>44456</v>
      </c>
      <c r="G1194" s="249">
        <v>46281</v>
      </c>
      <c r="H1194" s="247" t="s">
        <v>14</v>
      </c>
      <c r="I1194" s="250" t="s">
        <v>79</v>
      </c>
    </row>
    <row r="1195" spans="1:9">
      <c r="A1195" s="246">
        <v>1191</v>
      </c>
      <c r="B1195" s="247" t="s">
        <v>154</v>
      </c>
      <c r="C1195" s="302" t="str">
        <f>"8960"</f>
        <v>8960</v>
      </c>
      <c r="D1195" s="247" t="s">
        <v>21</v>
      </c>
      <c r="E1195" s="248">
        <v>1</v>
      </c>
      <c r="F1195" s="249">
        <v>44456</v>
      </c>
      <c r="G1195" s="249">
        <v>46281</v>
      </c>
      <c r="H1195" s="247" t="s">
        <v>14</v>
      </c>
      <c r="I1195" s="250" t="s">
        <v>79</v>
      </c>
    </row>
    <row r="1196" spans="1:9">
      <c r="A1196" s="246">
        <v>1192</v>
      </c>
      <c r="B1196" s="247" t="s">
        <v>3485</v>
      </c>
      <c r="C1196" s="302" t="str">
        <f>"8994"</f>
        <v>8994</v>
      </c>
      <c r="D1196" s="247" t="s">
        <v>18</v>
      </c>
      <c r="E1196" s="248">
        <v>200</v>
      </c>
      <c r="F1196" s="249">
        <v>39588</v>
      </c>
      <c r="G1196" s="249">
        <v>41414</v>
      </c>
      <c r="H1196" s="247" t="s">
        <v>59</v>
      </c>
      <c r="I1196" s="250" t="s">
        <v>438</v>
      </c>
    </row>
    <row r="1197" spans="1:9">
      <c r="A1197" s="246">
        <v>1193</v>
      </c>
      <c r="B1197" s="247" t="s">
        <v>3485</v>
      </c>
      <c r="C1197" s="302" t="str">
        <f>"8995"</f>
        <v>8995</v>
      </c>
      <c r="D1197" s="247" t="s">
        <v>18</v>
      </c>
      <c r="E1197" s="248">
        <v>100</v>
      </c>
      <c r="F1197" s="249">
        <v>39588</v>
      </c>
      <c r="G1197" s="249">
        <v>41414</v>
      </c>
      <c r="H1197" s="247" t="s">
        <v>59</v>
      </c>
      <c r="I1197" s="250" t="s">
        <v>438</v>
      </c>
    </row>
    <row r="1198" spans="1:9">
      <c r="A1198" s="246">
        <v>1194</v>
      </c>
      <c r="B1198" s="247" t="s">
        <v>3485</v>
      </c>
      <c r="C1198" s="302" t="str">
        <f>"8996"</f>
        <v>8996</v>
      </c>
      <c r="D1198" s="247" t="s">
        <v>18</v>
      </c>
      <c r="E1198" s="248">
        <v>200</v>
      </c>
      <c r="F1198" s="249">
        <v>39588</v>
      </c>
      <c r="G1198" s="249">
        <v>41414</v>
      </c>
      <c r="H1198" s="247" t="s">
        <v>59</v>
      </c>
      <c r="I1198" s="250" t="s">
        <v>438</v>
      </c>
    </row>
    <row r="1199" spans="1:9">
      <c r="A1199" s="246">
        <v>1195</v>
      </c>
      <c r="B1199" s="247" t="s">
        <v>3486</v>
      </c>
      <c r="C1199" s="302" t="str">
        <f>"9050"</f>
        <v>9050</v>
      </c>
      <c r="D1199" s="247" t="s">
        <v>21</v>
      </c>
      <c r="E1199" s="248">
        <v>5</v>
      </c>
      <c r="F1199" s="249">
        <v>42467</v>
      </c>
      <c r="G1199" s="249">
        <v>44292</v>
      </c>
      <c r="H1199" s="247" t="s">
        <v>14</v>
      </c>
      <c r="I1199" s="250" t="s">
        <v>3351</v>
      </c>
    </row>
    <row r="1200" spans="1:9">
      <c r="A1200" s="246">
        <v>1196</v>
      </c>
      <c r="B1200" s="247" t="s">
        <v>3486</v>
      </c>
      <c r="C1200" s="302" t="str">
        <f>"9052"</f>
        <v>9052</v>
      </c>
      <c r="D1200" s="247" t="s">
        <v>21</v>
      </c>
      <c r="E1200" s="248">
        <v>5</v>
      </c>
      <c r="F1200" s="249">
        <v>42467</v>
      </c>
      <c r="G1200" s="249">
        <v>44292</v>
      </c>
      <c r="H1200" s="247" t="s">
        <v>14</v>
      </c>
      <c r="I1200" s="250" t="s">
        <v>3351</v>
      </c>
    </row>
    <row r="1201" spans="1:9">
      <c r="A1201" s="246">
        <v>1197</v>
      </c>
      <c r="B1201" s="247" t="s">
        <v>3486</v>
      </c>
      <c r="C1201" s="302" t="str">
        <f>"9057"</f>
        <v>9057</v>
      </c>
      <c r="D1201" s="247" t="s">
        <v>21</v>
      </c>
      <c r="E1201" s="248">
        <v>5</v>
      </c>
      <c r="F1201" s="249">
        <v>42467</v>
      </c>
      <c r="G1201" s="249">
        <v>44292</v>
      </c>
      <c r="H1201" s="247" t="s">
        <v>14</v>
      </c>
      <c r="I1201" s="250" t="s">
        <v>3351</v>
      </c>
    </row>
    <row r="1202" spans="1:9">
      <c r="A1202" s="246">
        <v>1198</v>
      </c>
      <c r="B1202" s="247" t="s">
        <v>3487</v>
      </c>
      <c r="C1202" s="302" t="str">
        <f>"9058"</f>
        <v>9058</v>
      </c>
      <c r="D1202" s="247" t="s">
        <v>21</v>
      </c>
      <c r="E1202" s="248">
        <v>4</v>
      </c>
      <c r="F1202" s="249">
        <v>42467</v>
      </c>
      <c r="G1202" s="249">
        <v>44292</v>
      </c>
      <c r="H1202" s="247" t="s">
        <v>14</v>
      </c>
      <c r="I1202" s="250" t="s">
        <v>3351</v>
      </c>
    </row>
    <row r="1203" spans="1:9">
      <c r="A1203" s="246">
        <v>1199</v>
      </c>
      <c r="B1203" s="247" t="s">
        <v>497</v>
      </c>
      <c r="C1203" s="302" t="str">
        <f>"9084"</f>
        <v>9084</v>
      </c>
      <c r="D1203" s="247" t="s">
        <v>18</v>
      </c>
      <c r="E1203" s="248">
        <v>471</v>
      </c>
      <c r="F1203" s="249">
        <v>39425</v>
      </c>
      <c r="G1203" s="249">
        <v>41252</v>
      </c>
      <c r="H1203" s="247" t="s">
        <v>3350</v>
      </c>
      <c r="I1203" s="250" t="s">
        <v>438</v>
      </c>
    </row>
    <row r="1204" spans="1:9">
      <c r="A1204" s="252">
        <v>1200</v>
      </c>
      <c r="B1204" s="253" t="s">
        <v>497</v>
      </c>
      <c r="C1204" s="303" t="str">
        <f>"9086"</f>
        <v>9086</v>
      </c>
      <c r="D1204" s="253" t="s">
        <v>18</v>
      </c>
      <c r="E1204" s="254">
        <v>471</v>
      </c>
      <c r="F1204" s="253"/>
      <c r="G1204" s="253"/>
      <c r="H1204" s="253" t="s">
        <v>94</v>
      </c>
      <c r="I1204" s="256" t="s">
        <v>438</v>
      </c>
    </row>
    <row r="1205" spans="1:9">
      <c r="A1205" s="246">
        <v>1201</v>
      </c>
      <c r="B1205" s="247" t="s">
        <v>155</v>
      </c>
      <c r="C1205" s="302" t="str">
        <f>"9090"</f>
        <v>9090</v>
      </c>
      <c r="D1205" s="247" t="s">
        <v>13</v>
      </c>
      <c r="E1205" s="248">
        <v>47</v>
      </c>
      <c r="F1205" s="249">
        <v>42830</v>
      </c>
      <c r="G1205" s="249">
        <v>53786</v>
      </c>
      <c r="H1205" s="247" t="s">
        <v>16</v>
      </c>
      <c r="I1205" s="250" t="s">
        <v>79</v>
      </c>
    </row>
    <row r="1206" spans="1:9">
      <c r="A1206" s="246">
        <v>1202</v>
      </c>
      <c r="B1206" s="247" t="s">
        <v>498</v>
      </c>
      <c r="C1206" s="302" t="str">
        <f>"9187"</f>
        <v>9187</v>
      </c>
      <c r="D1206" s="247" t="s">
        <v>21</v>
      </c>
      <c r="E1206" s="248">
        <v>5</v>
      </c>
      <c r="F1206" s="249">
        <v>42467</v>
      </c>
      <c r="G1206" s="249">
        <v>44292</v>
      </c>
      <c r="H1206" s="247" t="s">
        <v>14</v>
      </c>
      <c r="I1206" s="250" t="s">
        <v>3342</v>
      </c>
    </row>
    <row r="1207" spans="1:9">
      <c r="A1207" s="246">
        <v>1203</v>
      </c>
      <c r="B1207" s="247" t="s">
        <v>498</v>
      </c>
      <c r="C1207" s="302" t="str">
        <f>"9191"</f>
        <v>9191</v>
      </c>
      <c r="D1207" s="247" t="s">
        <v>21</v>
      </c>
      <c r="E1207" s="248">
        <v>5</v>
      </c>
      <c r="F1207" s="249">
        <v>42467</v>
      </c>
      <c r="G1207" s="249">
        <v>44292</v>
      </c>
      <c r="H1207" s="247" t="s">
        <v>14</v>
      </c>
      <c r="I1207" s="250" t="s">
        <v>3342</v>
      </c>
    </row>
    <row r="1208" spans="1:9">
      <c r="A1208" s="246">
        <v>1204</v>
      </c>
      <c r="B1208" s="247" t="s">
        <v>498</v>
      </c>
      <c r="C1208" s="302" t="str">
        <f>"9192"</f>
        <v>9192</v>
      </c>
      <c r="D1208" s="247" t="s">
        <v>21</v>
      </c>
      <c r="E1208" s="248">
        <v>5</v>
      </c>
      <c r="F1208" s="249">
        <v>42467</v>
      </c>
      <c r="G1208" s="249">
        <v>44292</v>
      </c>
      <c r="H1208" s="247" t="s">
        <v>14</v>
      </c>
      <c r="I1208" s="250" t="s">
        <v>3342</v>
      </c>
    </row>
    <row r="1209" spans="1:9">
      <c r="A1209" s="246">
        <v>1205</v>
      </c>
      <c r="B1209" s="247" t="s">
        <v>156</v>
      </c>
      <c r="C1209" s="302" t="str">
        <f>"9213"</f>
        <v>9213</v>
      </c>
      <c r="D1209" s="247" t="s">
        <v>21</v>
      </c>
      <c r="E1209" s="248">
        <v>4</v>
      </c>
      <c r="F1209" s="249">
        <v>43298</v>
      </c>
      <c r="G1209" s="249">
        <v>45123</v>
      </c>
      <c r="H1209" s="247" t="s">
        <v>14</v>
      </c>
      <c r="I1209" s="250" t="s">
        <v>79</v>
      </c>
    </row>
    <row r="1210" spans="1:9">
      <c r="A1210" s="246">
        <v>1206</v>
      </c>
      <c r="B1210" s="247" t="s">
        <v>156</v>
      </c>
      <c r="C1210" s="302" t="str">
        <f>"9214"</f>
        <v>9214</v>
      </c>
      <c r="D1210" s="247" t="s">
        <v>21</v>
      </c>
      <c r="E1210" s="248">
        <v>5</v>
      </c>
      <c r="F1210" s="249">
        <v>43298</v>
      </c>
      <c r="G1210" s="249">
        <v>45123</v>
      </c>
      <c r="H1210" s="247" t="s">
        <v>14</v>
      </c>
      <c r="I1210" s="250" t="s">
        <v>79</v>
      </c>
    </row>
    <row r="1211" spans="1:9">
      <c r="A1211" s="246">
        <v>1207</v>
      </c>
      <c r="B1211" s="247" t="s">
        <v>3488</v>
      </c>
      <c r="C1211" s="302" t="str">
        <f>"9236"</f>
        <v>9236</v>
      </c>
      <c r="D1211" s="247" t="s">
        <v>21</v>
      </c>
      <c r="E1211" s="248">
        <v>5</v>
      </c>
      <c r="F1211" s="249">
        <v>40105</v>
      </c>
      <c r="G1211" s="249">
        <v>41930</v>
      </c>
      <c r="H1211" s="247" t="s">
        <v>22</v>
      </c>
      <c r="I1211" s="250" t="s">
        <v>3417</v>
      </c>
    </row>
    <row r="1212" spans="1:9">
      <c r="A1212" s="246">
        <v>1208</v>
      </c>
      <c r="B1212" s="247" t="s">
        <v>153</v>
      </c>
      <c r="C1212" s="302" t="str">
        <f>"9261"</f>
        <v>9261</v>
      </c>
      <c r="D1212" s="247" t="s">
        <v>30</v>
      </c>
      <c r="E1212" s="248">
        <v>309</v>
      </c>
      <c r="F1212" s="249">
        <v>41584</v>
      </c>
      <c r="G1212" s="249">
        <v>43409</v>
      </c>
      <c r="H1212" s="247" t="s">
        <v>59</v>
      </c>
      <c r="I1212" s="250" t="s">
        <v>3342</v>
      </c>
    </row>
    <row r="1213" spans="1:9">
      <c r="A1213" s="246">
        <v>1209</v>
      </c>
      <c r="B1213" s="247" t="s">
        <v>153</v>
      </c>
      <c r="C1213" s="302" t="str">
        <f>"9262"</f>
        <v>9262</v>
      </c>
      <c r="D1213" s="247" t="s">
        <v>30</v>
      </c>
      <c r="E1213" s="248">
        <v>400</v>
      </c>
      <c r="F1213" s="249">
        <v>41584</v>
      </c>
      <c r="G1213" s="249">
        <v>43409</v>
      </c>
      <c r="H1213" s="247" t="s">
        <v>59</v>
      </c>
      <c r="I1213" s="250" t="s">
        <v>3342</v>
      </c>
    </row>
    <row r="1214" spans="1:9">
      <c r="A1214" s="246">
        <v>1210</v>
      </c>
      <c r="B1214" s="247" t="s">
        <v>153</v>
      </c>
      <c r="C1214" s="302" t="str">
        <f>"9263"</f>
        <v>9263</v>
      </c>
      <c r="D1214" s="247" t="s">
        <v>30</v>
      </c>
      <c r="E1214" s="248">
        <v>220</v>
      </c>
      <c r="F1214" s="249">
        <v>41584</v>
      </c>
      <c r="G1214" s="249">
        <v>43409</v>
      </c>
      <c r="H1214" s="247" t="s">
        <v>59</v>
      </c>
      <c r="I1214" s="250" t="s">
        <v>3342</v>
      </c>
    </row>
    <row r="1215" spans="1:9">
      <c r="A1215" s="246">
        <v>1211</v>
      </c>
      <c r="B1215" s="247" t="s">
        <v>3457</v>
      </c>
      <c r="C1215" s="302" t="str">
        <f>"9330"</f>
        <v>9330</v>
      </c>
      <c r="D1215" s="247" t="s">
        <v>18</v>
      </c>
      <c r="E1215" s="248">
        <v>442</v>
      </c>
      <c r="F1215" s="249">
        <v>39587</v>
      </c>
      <c r="G1215" s="249">
        <v>41047</v>
      </c>
      <c r="H1215" s="247" t="s">
        <v>3350</v>
      </c>
      <c r="I1215" s="250" t="s">
        <v>438</v>
      </c>
    </row>
    <row r="1216" spans="1:9">
      <c r="A1216" s="246">
        <v>1212</v>
      </c>
      <c r="B1216" s="247" t="s">
        <v>3457</v>
      </c>
      <c r="C1216" s="302" t="str">
        <f>"9336"</f>
        <v>9336</v>
      </c>
      <c r="D1216" s="247" t="s">
        <v>18</v>
      </c>
      <c r="E1216" s="248">
        <v>432</v>
      </c>
      <c r="F1216" s="249">
        <v>39587</v>
      </c>
      <c r="G1216" s="249">
        <v>41047</v>
      </c>
      <c r="H1216" s="247" t="s">
        <v>3350</v>
      </c>
      <c r="I1216" s="250" t="s">
        <v>438</v>
      </c>
    </row>
    <row r="1217" spans="1:9">
      <c r="A1217" s="246">
        <v>1213</v>
      </c>
      <c r="B1217" s="247" t="s">
        <v>3457</v>
      </c>
      <c r="C1217" s="302" t="str">
        <f>"9337"</f>
        <v>9337</v>
      </c>
      <c r="D1217" s="247" t="s">
        <v>18</v>
      </c>
      <c r="E1217" s="248">
        <v>460</v>
      </c>
      <c r="F1217" s="249">
        <v>39587</v>
      </c>
      <c r="G1217" s="249">
        <v>41047</v>
      </c>
      <c r="H1217" s="247" t="s">
        <v>499</v>
      </c>
      <c r="I1217" s="250" t="s">
        <v>438</v>
      </c>
    </row>
    <row r="1218" spans="1:9">
      <c r="A1218" s="246">
        <v>1214</v>
      </c>
      <c r="B1218" s="247" t="s">
        <v>3489</v>
      </c>
      <c r="C1218" s="302" t="str">
        <f>"9456"</f>
        <v>9456</v>
      </c>
      <c r="D1218" s="247" t="s">
        <v>18</v>
      </c>
      <c r="E1218" s="248">
        <v>180</v>
      </c>
      <c r="F1218" s="249">
        <v>42387</v>
      </c>
      <c r="G1218" s="249">
        <v>44882</v>
      </c>
      <c r="H1218" s="247" t="s">
        <v>219</v>
      </c>
      <c r="I1218" s="250" t="s">
        <v>3351</v>
      </c>
    </row>
    <row r="1219" spans="1:9">
      <c r="A1219" s="246">
        <v>1215</v>
      </c>
      <c r="B1219" s="247" t="s">
        <v>3489</v>
      </c>
      <c r="C1219" s="302" t="str">
        <f>"9459"</f>
        <v>9459</v>
      </c>
      <c r="D1219" s="247" t="s">
        <v>18</v>
      </c>
      <c r="E1219" s="248">
        <v>340</v>
      </c>
      <c r="F1219" s="249">
        <v>42387</v>
      </c>
      <c r="G1219" s="249">
        <v>44882</v>
      </c>
      <c r="H1219" s="247" t="s">
        <v>34</v>
      </c>
      <c r="I1219" s="250" t="s">
        <v>3351</v>
      </c>
    </row>
    <row r="1220" spans="1:9">
      <c r="A1220" s="246">
        <v>1216</v>
      </c>
      <c r="B1220" s="247" t="s">
        <v>3490</v>
      </c>
      <c r="C1220" s="302" t="str">
        <f>"9460"</f>
        <v>9460</v>
      </c>
      <c r="D1220" s="247" t="s">
        <v>18</v>
      </c>
      <c r="E1220" s="248">
        <v>350</v>
      </c>
      <c r="F1220" s="249">
        <v>42398</v>
      </c>
      <c r="G1220" s="249">
        <v>44224</v>
      </c>
      <c r="H1220" s="247" t="s">
        <v>59</v>
      </c>
      <c r="I1220" s="250" t="s">
        <v>438</v>
      </c>
    </row>
    <row r="1221" spans="1:9">
      <c r="A1221" s="246">
        <v>1217</v>
      </c>
      <c r="B1221" s="247" t="s">
        <v>3491</v>
      </c>
      <c r="C1221" s="302" t="str">
        <f>"9461"</f>
        <v>9461</v>
      </c>
      <c r="D1221" s="247" t="s">
        <v>18</v>
      </c>
      <c r="E1221" s="248">
        <v>197</v>
      </c>
      <c r="F1221" s="249">
        <v>42502</v>
      </c>
      <c r="G1221" s="249">
        <v>44327</v>
      </c>
      <c r="H1221" s="247" t="s">
        <v>70</v>
      </c>
      <c r="I1221" s="250" t="s">
        <v>438</v>
      </c>
    </row>
    <row r="1222" spans="1:9">
      <c r="A1222" s="246">
        <v>1218</v>
      </c>
      <c r="B1222" s="247" t="s">
        <v>3491</v>
      </c>
      <c r="C1222" s="302" t="str">
        <f>"9463"</f>
        <v>9463</v>
      </c>
      <c r="D1222" s="247" t="s">
        <v>18</v>
      </c>
      <c r="E1222" s="248">
        <v>151</v>
      </c>
      <c r="F1222" s="249">
        <v>42502</v>
      </c>
      <c r="G1222" s="249">
        <v>44327</v>
      </c>
      <c r="H1222" s="247" t="s">
        <v>70</v>
      </c>
      <c r="I1222" s="250" t="s">
        <v>437</v>
      </c>
    </row>
    <row r="1223" spans="1:9">
      <c r="A1223" s="246">
        <v>1219</v>
      </c>
      <c r="B1223" s="247" t="s">
        <v>3489</v>
      </c>
      <c r="C1223" s="302" t="str">
        <f>"9465"</f>
        <v>9465</v>
      </c>
      <c r="D1223" s="247" t="s">
        <v>18</v>
      </c>
      <c r="E1223" s="248">
        <v>2</v>
      </c>
      <c r="F1223" s="249">
        <v>42387</v>
      </c>
      <c r="G1223" s="249">
        <v>44847</v>
      </c>
      <c r="H1223" s="247" t="s">
        <v>34</v>
      </c>
      <c r="I1223" s="250" t="s">
        <v>3351</v>
      </c>
    </row>
    <row r="1224" spans="1:9">
      <c r="A1224" s="246">
        <v>1220</v>
      </c>
      <c r="B1224" s="247" t="s">
        <v>3489</v>
      </c>
      <c r="C1224" s="302" t="str">
        <f>"9466"</f>
        <v>9466</v>
      </c>
      <c r="D1224" s="247" t="s">
        <v>18</v>
      </c>
      <c r="E1224" s="248">
        <v>152</v>
      </c>
      <c r="F1224" s="249">
        <v>42387</v>
      </c>
      <c r="G1224" s="249">
        <v>44846</v>
      </c>
      <c r="H1224" s="247" t="s">
        <v>34</v>
      </c>
      <c r="I1224" s="250" t="s">
        <v>3351</v>
      </c>
    </row>
    <row r="1225" spans="1:9">
      <c r="A1225" s="246">
        <v>1221</v>
      </c>
      <c r="B1225" s="247" t="s">
        <v>157</v>
      </c>
      <c r="C1225" s="302" t="str">
        <f>"9468"</f>
        <v>9468</v>
      </c>
      <c r="D1225" s="247" t="s">
        <v>13</v>
      </c>
      <c r="E1225" s="248">
        <v>4</v>
      </c>
      <c r="F1225" s="249">
        <v>42688</v>
      </c>
      <c r="G1225" s="249">
        <v>53644</v>
      </c>
      <c r="H1225" s="247" t="s">
        <v>16</v>
      </c>
      <c r="I1225" s="250" t="s">
        <v>79</v>
      </c>
    </row>
    <row r="1226" spans="1:9">
      <c r="A1226" s="246">
        <v>1222</v>
      </c>
      <c r="B1226" s="247" t="s">
        <v>158</v>
      </c>
      <c r="C1226" s="302" t="str">
        <f>"9469"</f>
        <v>9469</v>
      </c>
      <c r="D1226" s="247" t="s">
        <v>13</v>
      </c>
      <c r="E1226" s="248">
        <v>19</v>
      </c>
      <c r="F1226" s="249">
        <v>42517</v>
      </c>
      <c r="G1226" s="249">
        <v>53473</v>
      </c>
      <c r="H1226" s="247" t="s">
        <v>14</v>
      </c>
      <c r="I1226" s="250" t="s">
        <v>79</v>
      </c>
    </row>
    <row r="1227" spans="1:9">
      <c r="A1227" s="246">
        <v>1223</v>
      </c>
      <c r="B1227" s="247" t="s">
        <v>3489</v>
      </c>
      <c r="C1227" s="302" t="str">
        <f>"9470"</f>
        <v>9470</v>
      </c>
      <c r="D1227" s="247" t="s">
        <v>18</v>
      </c>
      <c r="E1227" s="248">
        <v>280</v>
      </c>
      <c r="F1227" s="249">
        <v>42387</v>
      </c>
      <c r="G1227" s="249">
        <v>44882</v>
      </c>
      <c r="H1227" s="247" t="s">
        <v>94</v>
      </c>
      <c r="I1227" s="250" t="s">
        <v>3351</v>
      </c>
    </row>
    <row r="1228" spans="1:9">
      <c r="A1228" s="246">
        <v>1224</v>
      </c>
      <c r="B1228" s="247" t="s">
        <v>500</v>
      </c>
      <c r="C1228" s="302" t="str">
        <f>"9471"</f>
        <v>9471</v>
      </c>
      <c r="D1228" s="247" t="s">
        <v>18</v>
      </c>
      <c r="E1228" s="248">
        <v>140</v>
      </c>
      <c r="F1228" s="249">
        <v>39637</v>
      </c>
      <c r="G1228" s="249">
        <v>44018</v>
      </c>
      <c r="H1228" s="247" t="s">
        <v>56</v>
      </c>
      <c r="I1228" s="250" t="s">
        <v>3351</v>
      </c>
    </row>
    <row r="1229" spans="1:9">
      <c r="A1229" s="246">
        <v>1225</v>
      </c>
      <c r="B1229" s="247" t="s">
        <v>500</v>
      </c>
      <c r="C1229" s="302" t="str">
        <f>"9473"</f>
        <v>9473</v>
      </c>
      <c r="D1229" s="247" t="s">
        <v>18</v>
      </c>
      <c r="E1229" s="248">
        <v>382</v>
      </c>
      <c r="F1229" s="249">
        <v>39637</v>
      </c>
      <c r="G1229" s="249">
        <v>44018</v>
      </c>
      <c r="H1229" s="247" t="s">
        <v>31</v>
      </c>
      <c r="I1229" s="250" t="s">
        <v>3351</v>
      </c>
    </row>
    <row r="1230" spans="1:9">
      <c r="A1230" s="246">
        <v>1226</v>
      </c>
      <c r="B1230" s="247" t="s">
        <v>500</v>
      </c>
      <c r="C1230" s="302" t="str">
        <f>"9477"</f>
        <v>9477</v>
      </c>
      <c r="D1230" s="247" t="s">
        <v>18</v>
      </c>
      <c r="E1230" s="248">
        <v>400</v>
      </c>
      <c r="F1230" s="249">
        <v>39637</v>
      </c>
      <c r="G1230" s="249">
        <v>44018</v>
      </c>
      <c r="H1230" s="247" t="s">
        <v>31</v>
      </c>
      <c r="I1230" s="250" t="s">
        <v>3351</v>
      </c>
    </row>
    <row r="1231" spans="1:9">
      <c r="A1231" s="246">
        <v>1227</v>
      </c>
      <c r="B1231" s="247" t="s">
        <v>3492</v>
      </c>
      <c r="C1231" s="302" t="str">
        <f>"9489"</f>
        <v>9489</v>
      </c>
      <c r="D1231" s="247" t="s">
        <v>18</v>
      </c>
      <c r="E1231" s="248">
        <v>200</v>
      </c>
      <c r="F1231" s="249">
        <v>39638</v>
      </c>
      <c r="G1231" s="249">
        <v>44385</v>
      </c>
      <c r="H1231" s="247" t="s">
        <v>24</v>
      </c>
      <c r="I1231" s="250" t="s">
        <v>3351</v>
      </c>
    </row>
    <row r="1232" spans="1:9">
      <c r="A1232" s="246">
        <v>1228</v>
      </c>
      <c r="B1232" s="247" t="s">
        <v>3492</v>
      </c>
      <c r="C1232" s="302" t="str">
        <f>"9490"</f>
        <v>9490</v>
      </c>
      <c r="D1232" s="247" t="s">
        <v>18</v>
      </c>
      <c r="E1232" s="248">
        <v>196</v>
      </c>
      <c r="F1232" s="249">
        <v>39638</v>
      </c>
      <c r="G1232" s="249">
        <v>44384</v>
      </c>
      <c r="H1232" s="247" t="s">
        <v>56</v>
      </c>
      <c r="I1232" s="250" t="s">
        <v>3351</v>
      </c>
    </row>
    <row r="1233" spans="1:9">
      <c r="A1233" s="246">
        <v>1229</v>
      </c>
      <c r="B1233" s="247" t="s">
        <v>3492</v>
      </c>
      <c r="C1233" s="302" t="str">
        <f>"9491"</f>
        <v>9491</v>
      </c>
      <c r="D1233" s="247" t="s">
        <v>18</v>
      </c>
      <c r="E1233" s="248">
        <v>400</v>
      </c>
      <c r="F1233" s="249">
        <v>39638</v>
      </c>
      <c r="G1233" s="249">
        <v>44385</v>
      </c>
      <c r="H1233" s="247" t="s">
        <v>56</v>
      </c>
      <c r="I1233" s="250" t="s">
        <v>3351</v>
      </c>
    </row>
    <row r="1234" spans="1:9">
      <c r="A1234" s="246">
        <v>1230</v>
      </c>
      <c r="B1234" s="247" t="s">
        <v>3456</v>
      </c>
      <c r="C1234" s="302" t="str">
        <f>"9550"</f>
        <v>9550</v>
      </c>
      <c r="D1234" s="247" t="s">
        <v>23</v>
      </c>
      <c r="E1234" s="248">
        <v>4</v>
      </c>
      <c r="F1234" s="249">
        <v>39554</v>
      </c>
      <c r="G1234" s="249">
        <v>39918</v>
      </c>
      <c r="H1234" s="247" t="s">
        <v>22</v>
      </c>
      <c r="I1234" s="250" t="s">
        <v>3413</v>
      </c>
    </row>
    <row r="1235" spans="1:9">
      <c r="A1235" s="246">
        <v>1231</v>
      </c>
      <c r="B1235" s="247" t="s">
        <v>3456</v>
      </c>
      <c r="C1235" s="302" t="str">
        <f>"9551"</f>
        <v>9551</v>
      </c>
      <c r="D1235" s="247" t="s">
        <v>23</v>
      </c>
      <c r="E1235" s="248">
        <v>5</v>
      </c>
      <c r="F1235" s="249">
        <v>39554</v>
      </c>
      <c r="G1235" s="249">
        <v>39918</v>
      </c>
      <c r="H1235" s="247" t="s">
        <v>22</v>
      </c>
      <c r="I1235" s="250" t="s">
        <v>3413</v>
      </c>
    </row>
    <row r="1236" spans="1:9">
      <c r="A1236" s="246">
        <v>1232</v>
      </c>
      <c r="B1236" s="247" t="s">
        <v>3456</v>
      </c>
      <c r="C1236" s="302" t="str">
        <f>"9553"</f>
        <v>9553</v>
      </c>
      <c r="D1236" s="247" t="s">
        <v>23</v>
      </c>
      <c r="E1236" s="248">
        <v>5</v>
      </c>
      <c r="F1236" s="249">
        <v>39554</v>
      </c>
      <c r="G1236" s="249">
        <v>39918</v>
      </c>
      <c r="H1236" s="247" t="s">
        <v>22</v>
      </c>
      <c r="I1236" s="250" t="s">
        <v>3413</v>
      </c>
    </row>
    <row r="1237" spans="1:9">
      <c r="A1237" s="246">
        <v>1233</v>
      </c>
      <c r="B1237" s="247" t="s">
        <v>3456</v>
      </c>
      <c r="C1237" s="302" t="str">
        <f>"9554"</f>
        <v>9554</v>
      </c>
      <c r="D1237" s="247" t="s">
        <v>23</v>
      </c>
      <c r="E1237" s="248">
        <v>5</v>
      </c>
      <c r="F1237" s="249">
        <v>39554</v>
      </c>
      <c r="G1237" s="249">
        <v>39918</v>
      </c>
      <c r="H1237" s="247" t="s">
        <v>22</v>
      </c>
      <c r="I1237" s="250" t="s">
        <v>3413</v>
      </c>
    </row>
    <row r="1238" spans="1:9">
      <c r="A1238" s="246">
        <v>1234</v>
      </c>
      <c r="B1238" s="247" t="s">
        <v>3456</v>
      </c>
      <c r="C1238" s="302" t="str">
        <f>"9555"</f>
        <v>9555</v>
      </c>
      <c r="D1238" s="247" t="s">
        <v>23</v>
      </c>
      <c r="E1238" s="248">
        <v>5</v>
      </c>
      <c r="F1238" s="249">
        <v>39554</v>
      </c>
      <c r="G1238" s="249">
        <v>39918</v>
      </c>
      <c r="H1238" s="247" t="s">
        <v>22</v>
      </c>
      <c r="I1238" s="250" t="s">
        <v>3413</v>
      </c>
    </row>
    <row r="1239" spans="1:9">
      <c r="A1239" s="246">
        <v>1235</v>
      </c>
      <c r="B1239" s="247" t="s">
        <v>3456</v>
      </c>
      <c r="C1239" s="302" t="str">
        <f>"9556"</f>
        <v>9556</v>
      </c>
      <c r="D1239" s="247" t="s">
        <v>23</v>
      </c>
      <c r="E1239" s="248">
        <v>5</v>
      </c>
      <c r="F1239" s="249">
        <v>39554</v>
      </c>
      <c r="G1239" s="249">
        <v>39918</v>
      </c>
      <c r="H1239" s="247" t="s">
        <v>22</v>
      </c>
      <c r="I1239" s="250" t="s">
        <v>3413</v>
      </c>
    </row>
    <row r="1240" spans="1:9">
      <c r="A1240" s="246">
        <v>1236</v>
      </c>
      <c r="B1240" s="247" t="s">
        <v>3456</v>
      </c>
      <c r="C1240" s="302" t="str">
        <f>"9557"</f>
        <v>9557</v>
      </c>
      <c r="D1240" s="247" t="s">
        <v>23</v>
      </c>
      <c r="E1240" s="248">
        <v>5</v>
      </c>
      <c r="F1240" s="249">
        <v>39554</v>
      </c>
      <c r="G1240" s="249">
        <v>39918</v>
      </c>
      <c r="H1240" s="247" t="s">
        <v>22</v>
      </c>
      <c r="I1240" s="250" t="s">
        <v>3413</v>
      </c>
    </row>
    <row r="1241" spans="1:9">
      <c r="A1241" s="246">
        <v>1237</v>
      </c>
      <c r="B1241" s="247" t="s">
        <v>3456</v>
      </c>
      <c r="C1241" s="302" t="str">
        <f>"9558"</f>
        <v>9558</v>
      </c>
      <c r="D1241" s="247" t="s">
        <v>23</v>
      </c>
      <c r="E1241" s="248">
        <v>5</v>
      </c>
      <c r="F1241" s="249">
        <v>39554</v>
      </c>
      <c r="G1241" s="249">
        <v>39918</v>
      </c>
      <c r="H1241" s="247" t="s">
        <v>22</v>
      </c>
      <c r="I1241" s="250" t="s">
        <v>3413</v>
      </c>
    </row>
    <row r="1242" spans="1:9">
      <c r="A1242" s="246">
        <v>1238</v>
      </c>
      <c r="B1242" s="247" t="s">
        <v>3456</v>
      </c>
      <c r="C1242" s="302" t="str">
        <f>"9559"</f>
        <v>9559</v>
      </c>
      <c r="D1242" s="247" t="s">
        <v>23</v>
      </c>
      <c r="E1242" s="248">
        <v>5</v>
      </c>
      <c r="F1242" s="249">
        <v>39554</v>
      </c>
      <c r="G1242" s="249">
        <v>39918</v>
      </c>
      <c r="H1242" s="247" t="s">
        <v>22</v>
      </c>
      <c r="I1242" s="250" t="s">
        <v>3413</v>
      </c>
    </row>
    <row r="1243" spans="1:9">
      <c r="A1243" s="246">
        <v>1239</v>
      </c>
      <c r="B1243" s="247" t="s">
        <v>501</v>
      </c>
      <c r="C1243" s="302" t="str">
        <f>"9596"</f>
        <v>9596</v>
      </c>
      <c r="D1243" s="247" t="s">
        <v>18</v>
      </c>
      <c r="E1243" s="248">
        <v>437</v>
      </c>
      <c r="F1243" s="249">
        <v>39583</v>
      </c>
      <c r="G1243" s="249">
        <v>41408</v>
      </c>
      <c r="H1243" s="247" t="s">
        <v>14</v>
      </c>
      <c r="I1243" s="250" t="s">
        <v>438</v>
      </c>
    </row>
    <row r="1244" spans="1:9">
      <c r="A1244" s="246">
        <v>1240</v>
      </c>
      <c r="B1244" s="247" t="s">
        <v>502</v>
      </c>
      <c r="C1244" s="302" t="str">
        <f>"9607"</f>
        <v>9607</v>
      </c>
      <c r="D1244" s="247" t="s">
        <v>21</v>
      </c>
      <c r="E1244" s="248">
        <v>5</v>
      </c>
      <c r="F1244" s="249">
        <v>40628</v>
      </c>
      <c r="G1244" s="249">
        <v>42454</v>
      </c>
      <c r="H1244" s="247" t="s">
        <v>22</v>
      </c>
      <c r="I1244" s="250" t="s">
        <v>3342</v>
      </c>
    </row>
    <row r="1245" spans="1:9">
      <c r="A1245" s="246">
        <v>1241</v>
      </c>
      <c r="B1245" s="247" t="s">
        <v>502</v>
      </c>
      <c r="C1245" s="302" t="str">
        <f>"9608"</f>
        <v>9608</v>
      </c>
      <c r="D1245" s="247" t="s">
        <v>21</v>
      </c>
      <c r="E1245" s="248">
        <v>5</v>
      </c>
      <c r="F1245" s="249">
        <v>40628</v>
      </c>
      <c r="G1245" s="249">
        <v>42454</v>
      </c>
      <c r="H1245" s="247" t="s">
        <v>22</v>
      </c>
      <c r="I1245" s="250" t="s">
        <v>3342</v>
      </c>
    </row>
    <row r="1246" spans="1:9">
      <c r="A1246" s="246">
        <v>1242</v>
      </c>
      <c r="B1246" s="247" t="s">
        <v>502</v>
      </c>
      <c r="C1246" s="302" t="str">
        <f>"9609"</f>
        <v>9609</v>
      </c>
      <c r="D1246" s="247" t="s">
        <v>21</v>
      </c>
      <c r="E1246" s="248">
        <v>5</v>
      </c>
      <c r="F1246" s="249">
        <v>40628</v>
      </c>
      <c r="G1246" s="249">
        <v>42454</v>
      </c>
      <c r="H1246" s="247" t="s">
        <v>22</v>
      </c>
      <c r="I1246" s="250" t="s">
        <v>3342</v>
      </c>
    </row>
    <row r="1247" spans="1:9">
      <c r="A1247" s="246">
        <v>1243</v>
      </c>
      <c r="B1247" s="247" t="s">
        <v>502</v>
      </c>
      <c r="C1247" s="302" t="str">
        <f>"9610"</f>
        <v>9610</v>
      </c>
      <c r="D1247" s="247" t="s">
        <v>21</v>
      </c>
      <c r="E1247" s="248">
        <v>5</v>
      </c>
      <c r="F1247" s="249">
        <v>40628</v>
      </c>
      <c r="G1247" s="249">
        <v>42454</v>
      </c>
      <c r="H1247" s="247" t="s">
        <v>22</v>
      </c>
      <c r="I1247" s="250" t="s">
        <v>3342</v>
      </c>
    </row>
    <row r="1248" spans="1:9">
      <c r="A1248" s="246">
        <v>1244</v>
      </c>
      <c r="B1248" s="247" t="s">
        <v>502</v>
      </c>
      <c r="C1248" s="302" t="str">
        <f>"9611"</f>
        <v>9611</v>
      </c>
      <c r="D1248" s="247" t="s">
        <v>21</v>
      </c>
      <c r="E1248" s="248">
        <v>5</v>
      </c>
      <c r="F1248" s="249">
        <v>40628</v>
      </c>
      <c r="G1248" s="249">
        <v>42454</v>
      </c>
      <c r="H1248" s="247" t="s">
        <v>22</v>
      </c>
      <c r="I1248" s="250" t="s">
        <v>438</v>
      </c>
    </row>
    <row r="1249" spans="1:9">
      <c r="A1249" s="246">
        <v>1245</v>
      </c>
      <c r="B1249" s="247" t="s">
        <v>503</v>
      </c>
      <c r="C1249" s="302" t="str">
        <f>"9662"</f>
        <v>9662</v>
      </c>
      <c r="D1249" s="247" t="s">
        <v>21</v>
      </c>
      <c r="E1249" s="248">
        <v>3</v>
      </c>
      <c r="F1249" s="249">
        <v>41803</v>
      </c>
      <c r="G1249" s="249">
        <v>43628</v>
      </c>
      <c r="H1249" s="247" t="s">
        <v>89</v>
      </c>
      <c r="I1249" s="250" t="s">
        <v>3342</v>
      </c>
    </row>
    <row r="1250" spans="1:9">
      <c r="A1250" s="246">
        <v>1246</v>
      </c>
      <c r="B1250" s="247" t="s">
        <v>474</v>
      </c>
      <c r="C1250" s="302" t="str">
        <f>"9677"</f>
        <v>9677</v>
      </c>
      <c r="D1250" s="247" t="s">
        <v>23</v>
      </c>
      <c r="E1250" s="248">
        <v>2</v>
      </c>
      <c r="F1250" s="249">
        <v>39587</v>
      </c>
      <c r="G1250" s="249">
        <v>39951</v>
      </c>
      <c r="H1250" s="247" t="s">
        <v>14</v>
      </c>
      <c r="I1250" s="250" t="s">
        <v>437</v>
      </c>
    </row>
    <row r="1251" spans="1:9">
      <c r="A1251" s="246">
        <v>1247</v>
      </c>
      <c r="B1251" s="247" t="s">
        <v>159</v>
      </c>
      <c r="C1251" s="302" t="str">
        <f>"9681"</f>
        <v>9681</v>
      </c>
      <c r="D1251" s="247" t="s">
        <v>13</v>
      </c>
      <c r="E1251" s="248">
        <v>7</v>
      </c>
      <c r="F1251" s="249">
        <v>39444</v>
      </c>
      <c r="G1251" s="249">
        <v>45385</v>
      </c>
      <c r="H1251" s="247" t="s">
        <v>16</v>
      </c>
      <c r="I1251" s="250" t="s">
        <v>79</v>
      </c>
    </row>
    <row r="1252" spans="1:9">
      <c r="A1252" s="246">
        <v>1248</v>
      </c>
      <c r="B1252" s="247" t="s">
        <v>159</v>
      </c>
      <c r="C1252" s="302" t="str">
        <f>"9682"</f>
        <v>9682</v>
      </c>
      <c r="D1252" s="247" t="s">
        <v>13</v>
      </c>
      <c r="E1252" s="248">
        <v>6</v>
      </c>
      <c r="F1252" s="249">
        <v>39444</v>
      </c>
      <c r="G1252" s="249">
        <v>45385</v>
      </c>
      <c r="H1252" s="247" t="s">
        <v>16</v>
      </c>
      <c r="I1252" s="250" t="s">
        <v>79</v>
      </c>
    </row>
    <row r="1253" spans="1:9">
      <c r="A1253" s="246">
        <v>1249</v>
      </c>
      <c r="B1253" s="247" t="s">
        <v>43</v>
      </c>
      <c r="C1253" s="302" t="str">
        <f>"9683"</f>
        <v>9683</v>
      </c>
      <c r="D1253" s="247" t="s">
        <v>44</v>
      </c>
      <c r="E1253" s="248">
        <v>11</v>
      </c>
      <c r="F1253" s="249">
        <v>43136</v>
      </c>
      <c r="G1253" s="249">
        <v>44961</v>
      </c>
      <c r="H1253" s="247" t="s">
        <v>16</v>
      </c>
      <c r="I1253" s="250" t="s">
        <v>79</v>
      </c>
    </row>
    <row r="1254" spans="1:9">
      <c r="A1254" s="246">
        <v>1250</v>
      </c>
      <c r="B1254" s="247" t="s">
        <v>43</v>
      </c>
      <c r="C1254" s="302" t="str">
        <f>"9684"</f>
        <v>9684</v>
      </c>
      <c r="D1254" s="247" t="s">
        <v>44</v>
      </c>
      <c r="E1254" s="248">
        <v>6</v>
      </c>
      <c r="F1254" s="249">
        <v>43624</v>
      </c>
      <c r="G1254" s="249">
        <v>45450</v>
      </c>
      <c r="H1254" s="247" t="s">
        <v>16</v>
      </c>
      <c r="I1254" s="250" t="s">
        <v>79</v>
      </c>
    </row>
    <row r="1255" spans="1:9">
      <c r="A1255" s="246">
        <v>1251</v>
      </c>
      <c r="B1255" s="247" t="s">
        <v>43</v>
      </c>
      <c r="C1255" s="302" t="str">
        <f>"9685"</f>
        <v>9685</v>
      </c>
      <c r="D1255" s="247" t="s">
        <v>44</v>
      </c>
      <c r="E1255" s="248">
        <v>7</v>
      </c>
      <c r="F1255" s="249">
        <v>43136</v>
      </c>
      <c r="G1255" s="249">
        <v>44961</v>
      </c>
      <c r="H1255" s="247" t="s">
        <v>16</v>
      </c>
      <c r="I1255" s="250" t="s">
        <v>79</v>
      </c>
    </row>
    <row r="1256" spans="1:9">
      <c r="A1256" s="246">
        <v>1252</v>
      </c>
      <c r="B1256" s="247" t="s">
        <v>43</v>
      </c>
      <c r="C1256" s="302" t="str">
        <f>"9687"</f>
        <v>9687</v>
      </c>
      <c r="D1256" s="247" t="s">
        <v>44</v>
      </c>
      <c r="E1256" s="248">
        <v>54</v>
      </c>
      <c r="F1256" s="249">
        <v>43624</v>
      </c>
      <c r="G1256" s="249">
        <v>45450</v>
      </c>
      <c r="H1256" s="247" t="s">
        <v>16</v>
      </c>
      <c r="I1256" s="250" t="s">
        <v>79</v>
      </c>
    </row>
    <row r="1257" spans="1:9">
      <c r="A1257" s="246">
        <v>1253</v>
      </c>
      <c r="B1257" s="247" t="s">
        <v>160</v>
      </c>
      <c r="C1257" s="302" t="str">
        <f>"9691"</f>
        <v>9691</v>
      </c>
      <c r="D1257" s="247" t="s">
        <v>13</v>
      </c>
      <c r="E1257" s="248">
        <v>144</v>
      </c>
      <c r="F1257" s="249">
        <v>39867</v>
      </c>
      <c r="G1257" s="249">
        <v>50823</v>
      </c>
      <c r="H1257" s="247" t="s">
        <v>31</v>
      </c>
      <c r="I1257" s="250" t="s">
        <v>79</v>
      </c>
    </row>
    <row r="1258" spans="1:9">
      <c r="A1258" s="246">
        <v>1254</v>
      </c>
      <c r="B1258" s="247" t="s">
        <v>160</v>
      </c>
      <c r="C1258" s="302" t="str">
        <f>"9692"</f>
        <v>9692</v>
      </c>
      <c r="D1258" s="247" t="s">
        <v>13</v>
      </c>
      <c r="E1258" s="248">
        <v>101</v>
      </c>
      <c r="F1258" s="249">
        <v>39867</v>
      </c>
      <c r="G1258" s="249">
        <v>50823</v>
      </c>
      <c r="H1258" s="247" t="s">
        <v>32</v>
      </c>
      <c r="I1258" s="250" t="s">
        <v>79</v>
      </c>
    </row>
    <row r="1259" spans="1:9">
      <c r="A1259" s="246">
        <v>1255</v>
      </c>
      <c r="B1259" s="247" t="s">
        <v>3344</v>
      </c>
      <c r="C1259" s="302" t="str">
        <f>"9693"</f>
        <v>9693</v>
      </c>
      <c r="D1259" s="247" t="s">
        <v>13</v>
      </c>
      <c r="E1259" s="248">
        <v>144</v>
      </c>
      <c r="F1259" s="249">
        <v>39867</v>
      </c>
      <c r="G1259" s="249">
        <v>50823</v>
      </c>
      <c r="H1259" s="247" t="s">
        <v>31</v>
      </c>
      <c r="I1259" s="250" t="s">
        <v>438</v>
      </c>
    </row>
    <row r="1260" spans="1:9">
      <c r="A1260" s="246">
        <v>1256</v>
      </c>
      <c r="B1260" s="247" t="s">
        <v>3344</v>
      </c>
      <c r="C1260" s="302" t="str">
        <f>"9694"</f>
        <v>9694</v>
      </c>
      <c r="D1260" s="247" t="s">
        <v>13</v>
      </c>
      <c r="E1260" s="248">
        <v>144</v>
      </c>
      <c r="F1260" s="249">
        <v>39867</v>
      </c>
      <c r="G1260" s="249">
        <v>50823</v>
      </c>
      <c r="H1260" s="247" t="s">
        <v>32</v>
      </c>
      <c r="I1260" s="250" t="s">
        <v>438</v>
      </c>
    </row>
    <row r="1261" spans="1:9">
      <c r="A1261" s="246">
        <v>1257</v>
      </c>
      <c r="B1261" s="247" t="s">
        <v>160</v>
      </c>
      <c r="C1261" s="302" t="str">
        <f>"9695"</f>
        <v>9695</v>
      </c>
      <c r="D1261" s="247" t="s">
        <v>13</v>
      </c>
      <c r="E1261" s="248">
        <v>72</v>
      </c>
      <c r="F1261" s="249">
        <v>39867</v>
      </c>
      <c r="G1261" s="249">
        <v>50823</v>
      </c>
      <c r="H1261" s="247" t="s">
        <v>31</v>
      </c>
      <c r="I1261" s="250" t="s">
        <v>433</v>
      </c>
    </row>
    <row r="1262" spans="1:9">
      <c r="A1262" s="246">
        <v>1258</v>
      </c>
      <c r="B1262" s="247" t="s">
        <v>87</v>
      </c>
      <c r="C1262" s="302" t="str">
        <f>"9707"</f>
        <v>9707</v>
      </c>
      <c r="D1262" s="247" t="s">
        <v>13</v>
      </c>
      <c r="E1262" s="248">
        <v>405</v>
      </c>
      <c r="F1262" s="249">
        <v>44091</v>
      </c>
      <c r="G1262" s="249">
        <v>49568</v>
      </c>
      <c r="H1262" s="247" t="s">
        <v>16</v>
      </c>
      <c r="I1262" s="250" t="s">
        <v>79</v>
      </c>
    </row>
    <row r="1263" spans="1:9">
      <c r="A1263" s="246">
        <v>1259</v>
      </c>
      <c r="B1263" s="247" t="s">
        <v>87</v>
      </c>
      <c r="C1263" s="302" t="str">
        <f>"9708"</f>
        <v>9708</v>
      </c>
      <c r="D1263" s="247" t="s">
        <v>13</v>
      </c>
      <c r="E1263" s="248">
        <v>134</v>
      </c>
      <c r="F1263" s="249">
        <v>44091</v>
      </c>
      <c r="G1263" s="249">
        <v>49568</v>
      </c>
      <c r="H1263" s="247" t="s">
        <v>16</v>
      </c>
      <c r="I1263" s="250" t="s">
        <v>79</v>
      </c>
    </row>
    <row r="1264" spans="1:9">
      <c r="A1264" s="246">
        <v>1260</v>
      </c>
      <c r="B1264" s="247" t="s">
        <v>3362</v>
      </c>
      <c r="C1264" s="302" t="str">
        <f>"9709"</f>
        <v>9709</v>
      </c>
      <c r="D1264" s="247" t="s">
        <v>30</v>
      </c>
      <c r="E1264" s="248">
        <v>34</v>
      </c>
      <c r="F1264" s="249">
        <v>40170</v>
      </c>
      <c r="G1264" s="249">
        <v>43821</v>
      </c>
      <c r="H1264" s="247" t="s">
        <v>26</v>
      </c>
      <c r="I1264" s="250" t="s">
        <v>438</v>
      </c>
    </row>
    <row r="1265" spans="1:9">
      <c r="A1265" s="246">
        <v>1261</v>
      </c>
      <c r="B1265" s="247" t="s">
        <v>3493</v>
      </c>
      <c r="C1265" s="302" t="str">
        <f>"9712"</f>
        <v>9712</v>
      </c>
      <c r="D1265" s="247" t="s">
        <v>21</v>
      </c>
      <c r="E1265" s="248">
        <v>1</v>
      </c>
      <c r="F1265" s="249">
        <v>39665</v>
      </c>
      <c r="G1265" s="249">
        <v>41490</v>
      </c>
      <c r="H1265" s="247" t="s">
        <v>89</v>
      </c>
      <c r="I1265" s="250" t="s">
        <v>3342</v>
      </c>
    </row>
    <row r="1266" spans="1:9">
      <c r="A1266" s="246">
        <v>1262</v>
      </c>
      <c r="B1266" s="247" t="s">
        <v>161</v>
      </c>
      <c r="C1266" s="302" t="str">
        <f>"9714"</f>
        <v>9714</v>
      </c>
      <c r="D1266" s="247" t="s">
        <v>44</v>
      </c>
      <c r="E1266" s="248">
        <v>6</v>
      </c>
      <c r="F1266" s="249">
        <v>43474</v>
      </c>
      <c r="G1266" s="249">
        <v>45299</v>
      </c>
      <c r="H1266" s="247" t="s">
        <v>14</v>
      </c>
      <c r="I1266" s="250" t="s">
        <v>79</v>
      </c>
    </row>
    <row r="1267" spans="1:9">
      <c r="A1267" s="246">
        <v>1263</v>
      </c>
      <c r="B1267" s="247" t="s">
        <v>161</v>
      </c>
      <c r="C1267" s="302" t="str">
        <f>"9715"</f>
        <v>9715</v>
      </c>
      <c r="D1267" s="247" t="s">
        <v>44</v>
      </c>
      <c r="E1267" s="248">
        <v>5</v>
      </c>
      <c r="F1267" s="249">
        <v>43474</v>
      </c>
      <c r="G1267" s="249">
        <v>45299</v>
      </c>
      <c r="H1267" s="247" t="s">
        <v>14</v>
      </c>
      <c r="I1267" s="250" t="s">
        <v>79</v>
      </c>
    </row>
    <row r="1268" spans="1:9">
      <c r="A1268" s="246">
        <v>1264</v>
      </c>
      <c r="B1268" s="247" t="s">
        <v>162</v>
      </c>
      <c r="C1268" s="302" t="str">
        <f>"9719"</f>
        <v>9719</v>
      </c>
      <c r="D1268" s="247" t="s">
        <v>163</v>
      </c>
      <c r="E1268" s="248">
        <v>1</v>
      </c>
      <c r="F1268" s="249">
        <v>39391</v>
      </c>
      <c r="G1268" s="249">
        <v>39756</v>
      </c>
      <c r="H1268" s="247" t="s">
        <v>89</v>
      </c>
      <c r="I1268" s="250" t="s">
        <v>79</v>
      </c>
    </row>
    <row r="1269" spans="1:9">
      <c r="A1269" s="246">
        <v>1265</v>
      </c>
      <c r="B1269" s="247" t="s">
        <v>504</v>
      </c>
      <c r="C1269" s="302" t="str">
        <f>"9729"</f>
        <v>9729</v>
      </c>
      <c r="D1269" s="247" t="s">
        <v>21</v>
      </c>
      <c r="E1269" s="248">
        <v>5</v>
      </c>
      <c r="F1269" s="249">
        <v>42433</v>
      </c>
      <c r="G1269" s="249">
        <v>44258</v>
      </c>
      <c r="H1269" s="247" t="s">
        <v>22</v>
      </c>
      <c r="I1269" s="250" t="s">
        <v>3342</v>
      </c>
    </row>
    <row r="1270" spans="1:9">
      <c r="A1270" s="246">
        <v>1266</v>
      </c>
      <c r="B1270" s="247" t="s">
        <v>3488</v>
      </c>
      <c r="C1270" s="302" t="str">
        <f>"9734"</f>
        <v>9734</v>
      </c>
      <c r="D1270" s="247" t="s">
        <v>23</v>
      </c>
      <c r="E1270" s="248">
        <v>5</v>
      </c>
      <c r="F1270" s="249">
        <v>39856</v>
      </c>
      <c r="G1270" s="249">
        <v>40220</v>
      </c>
      <c r="H1270" s="247" t="s">
        <v>22</v>
      </c>
      <c r="I1270" s="250" t="s">
        <v>437</v>
      </c>
    </row>
    <row r="1271" spans="1:9">
      <c r="A1271" s="246">
        <v>1267</v>
      </c>
      <c r="B1271" s="247" t="s">
        <v>3494</v>
      </c>
      <c r="C1271" s="302" t="str">
        <f>"9770"</f>
        <v>9770</v>
      </c>
      <c r="D1271" s="247" t="s">
        <v>21</v>
      </c>
      <c r="E1271" s="248">
        <v>5</v>
      </c>
      <c r="F1271" s="249">
        <v>42327</v>
      </c>
      <c r="G1271" s="249">
        <v>44153</v>
      </c>
      <c r="H1271" s="247" t="s">
        <v>16</v>
      </c>
      <c r="I1271" s="250" t="s">
        <v>433</v>
      </c>
    </row>
    <row r="1272" spans="1:9">
      <c r="A1272" s="246">
        <v>1268</v>
      </c>
      <c r="B1272" s="247" t="s">
        <v>3494</v>
      </c>
      <c r="C1272" s="302" t="str">
        <f>"9771"</f>
        <v>9771</v>
      </c>
      <c r="D1272" s="247" t="s">
        <v>21</v>
      </c>
      <c r="E1272" s="248">
        <v>5</v>
      </c>
      <c r="F1272" s="249">
        <v>42327</v>
      </c>
      <c r="G1272" s="249">
        <v>44153</v>
      </c>
      <c r="H1272" s="247" t="s">
        <v>16</v>
      </c>
      <c r="I1272" s="250" t="s">
        <v>433</v>
      </c>
    </row>
    <row r="1273" spans="1:9">
      <c r="A1273" s="246">
        <v>1269</v>
      </c>
      <c r="B1273" s="247" t="s">
        <v>3494</v>
      </c>
      <c r="C1273" s="302" t="str">
        <f>"9772"</f>
        <v>9772</v>
      </c>
      <c r="D1273" s="247" t="s">
        <v>21</v>
      </c>
      <c r="E1273" s="248">
        <v>5</v>
      </c>
      <c r="F1273" s="249">
        <v>42327</v>
      </c>
      <c r="G1273" s="249">
        <v>44153</v>
      </c>
      <c r="H1273" s="247" t="s">
        <v>16</v>
      </c>
      <c r="I1273" s="250" t="s">
        <v>433</v>
      </c>
    </row>
    <row r="1274" spans="1:9">
      <c r="A1274" s="246">
        <v>1270</v>
      </c>
      <c r="B1274" s="247" t="s">
        <v>3494</v>
      </c>
      <c r="C1274" s="302" t="str">
        <f>"9776"</f>
        <v>9776</v>
      </c>
      <c r="D1274" s="247" t="s">
        <v>21</v>
      </c>
      <c r="E1274" s="248">
        <v>5</v>
      </c>
      <c r="F1274" s="249">
        <v>42327</v>
      </c>
      <c r="G1274" s="249">
        <v>44153</v>
      </c>
      <c r="H1274" s="247" t="s">
        <v>16</v>
      </c>
      <c r="I1274" s="250" t="s">
        <v>433</v>
      </c>
    </row>
    <row r="1275" spans="1:9">
      <c r="A1275" s="246">
        <v>1271</v>
      </c>
      <c r="B1275" s="247" t="s">
        <v>3494</v>
      </c>
      <c r="C1275" s="302" t="str">
        <f>"9778"</f>
        <v>9778</v>
      </c>
      <c r="D1275" s="247" t="s">
        <v>21</v>
      </c>
      <c r="E1275" s="248">
        <v>5</v>
      </c>
      <c r="F1275" s="249">
        <v>41477</v>
      </c>
      <c r="G1275" s="249">
        <v>43302</v>
      </c>
      <c r="H1275" s="247" t="s">
        <v>16</v>
      </c>
      <c r="I1275" s="250" t="s">
        <v>433</v>
      </c>
    </row>
    <row r="1276" spans="1:9">
      <c r="A1276" s="246">
        <v>1272</v>
      </c>
      <c r="B1276" s="247" t="s">
        <v>3495</v>
      </c>
      <c r="C1276" s="302" t="str">
        <f>"9779"</f>
        <v>9779</v>
      </c>
      <c r="D1276" s="247" t="s">
        <v>21</v>
      </c>
      <c r="E1276" s="248">
        <v>2</v>
      </c>
      <c r="F1276" s="249">
        <v>40186</v>
      </c>
      <c r="G1276" s="249">
        <v>42011</v>
      </c>
      <c r="H1276" s="247" t="s">
        <v>89</v>
      </c>
      <c r="I1276" s="250" t="s">
        <v>438</v>
      </c>
    </row>
    <row r="1277" spans="1:9">
      <c r="A1277" s="246">
        <v>1273</v>
      </c>
      <c r="B1277" s="247" t="s">
        <v>3496</v>
      </c>
      <c r="C1277" s="302" t="str">
        <f>"9781"</f>
        <v>9781</v>
      </c>
      <c r="D1277" s="247" t="s">
        <v>13</v>
      </c>
      <c r="E1277" s="248">
        <v>120</v>
      </c>
      <c r="F1277" s="249">
        <v>41767</v>
      </c>
      <c r="G1277" s="249">
        <v>52724</v>
      </c>
      <c r="H1277" s="247" t="s">
        <v>59</v>
      </c>
      <c r="I1277" s="250" t="s">
        <v>438</v>
      </c>
    </row>
    <row r="1278" spans="1:9">
      <c r="A1278" s="246">
        <v>1274</v>
      </c>
      <c r="B1278" s="247" t="s">
        <v>3496</v>
      </c>
      <c r="C1278" s="302" t="str">
        <f>"9783"</f>
        <v>9783</v>
      </c>
      <c r="D1278" s="247" t="s">
        <v>13</v>
      </c>
      <c r="E1278" s="248">
        <v>140</v>
      </c>
      <c r="F1278" s="249">
        <v>41767</v>
      </c>
      <c r="G1278" s="249">
        <v>52724</v>
      </c>
      <c r="H1278" s="247" t="s">
        <v>59</v>
      </c>
      <c r="I1278" s="250" t="s">
        <v>438</v>
      </c>
    </row>
    <row r="1279" spans="1:9">
      <c r="A1279" s="246">
        <v>1275</v>
      </c>
      <c r="B1279" s="247" t="s">
        <v>3497</v>
      </c>
      <c r="C1279" s="302" t="str">
        <f>"9800"</f>
        <v>9800</v>
      </c>
      <c r="D1279" s="247" t="s">
        <v>21</v>
      </c>
      <c r="E1279" s="248">
        <v>5</v>
      </c>
      <c r="F1279" s="249">
        <v>42465</v>
      </c>
      <c r="G1279" s="249">
        <v>44290</v>
      </c>
      <c r="H1279" s="247" t="s">
        <v>22</v>
      </c>
      <c r="I1279" s="250" t="s">
        <v>437</v>
      </c>
    </row>
    <row r="1280" spans="1:9">
      <c r="A1280" s="246">
        <v>1276</v>
      </c>
      <c r="B1280" s="247" t="s">
        <v>3497</v>
      </c>
      <c r="C1280" s="302" t="str">
        <f>"9801"</f>
        <v>9801</v>
      </c>
      <c r="D1280" s="247" t="s">
        <v>21</v>
      </c>
      <c r="E1280" s="248">
        <v>5</v>
      </c>
      <c r="F1280" s="249">
        <v>42465</v>
      </c>
      <c r="G1280" s="249">
        <v>44290</v>
      </c>
      <c r="H1280" s="247" t="s">
        <v>22</v>
      </c>
      <c r="I1280" s="250" t="s">
        <v>438</v>
      </c>
    </row>
    <row r="1281" spans="1:9">
      <c r="A1281" s="246">
        <v>1277</v>
      </c>
      <c r="B1281" s="247" t="s">
        <v>3497</v>
      </c>
      <c r="C1281" s="302" t="str">
        <f>"9804"</f>
        <v>9804</v>
      </c>
      <c r="D1281" s="247" t="s">
        <v>21</v>
      </c>
      <c r="E1281" s="248">
        <v>4</v>
      </c>
      <c r="F1281" s="249">
        <v>42465</v>
      </c>
      <c r="G1281" s="249">
        <v>44290</v>
      </c>
      <c r="H1281" s="247" t="s">
        <v>22</v>
      </c>
      <c r="I1281" s="250" t="s">
        <v>438</v>
      </c>
    </row>
    <row r="1282" spans="1:9">
      <c r="A1282" s="246">
        <v>1278</v>
      </c>
      <c r="B1282" s="247" t="s">
        <v>3497</v>
      </c>
      <c r="C1282" s="302" t="str">
        <f>"9806"</f>
        <v>9806</v>
      </c>
      <c r="D1282" s="247" t="s">
        <v>21</v>
      </c>
      <c r="E1282" s="248">
        <v>4</v>
      </c>
      <c r="F1282" s="249">
        <v>42465</v>
      </c>
      <c r="G1282" s="249">
        <v>44290</v>
      </c>
      <c r="H1282" s="247" t="s">
        <v>22</v>
      </c>
      <c r="I1282" s="250" t="s">
        <v>438</v>
      </c>
    </row>
    <row r="1283" spans="1:9">
      <c r="A1283" s="246">
        <v>1279</v>
      </c>
      <c r="B1283" s="247" t="s">
        <v>164</v>
      </c>
      <c r="C1283" s="302" t="str">
        <f>"9827"</f>
        <v>9827</v>
      </c>
      <c r="D1283" s="247" t="s">
        <v>13</v>
      </c>
      <c r="E1283" s="248">
        <v>7</v>
      </c>
      <c r="F1283" s="249">
        <v>40536</v>
      </c>
      <c r="G1283" s="249">
        <v>51493</v>
      </c>
      <c r="H1283" s="247" t="s">
        <v>14</v>
      </c>
      <c r="I1283" s="250" t="s">
        <v>79</v>
      </c>
    </row>
    <row r="1284" spans="1:9">
      <c r="A1284" s="246">
        <v>1280</v>
      </c>
      <c r="B1284" s="247" t="s">
        <v>505</v>
      </c>
      <c r="C1284" s="302" t="str">
        <f>"9838"</f>
        <v>9838</v>
      </c>
      <c r="D1284" s="247" t="s">
        <v>21</v>
      </c>
      <c r="E1284" s="248">
        <v>5</v>
      </c>
      <c r="F1284" s="249">
        <v>42465</v>
      </c>
      <c r="G1284" s="249">
        <v>44290</v>
      </c>
      <c r="H1284" s="247" t="s">
        <v>22</v>
      </c>
      <c r="I1284" s="250" t="s">
        <v>3342</v>
      </c>
    </row>
    <row r="1285" spans="1:9">
      <c r="A1285" s="246">
        <v>1281</v>
      </c>
      <c r="B1285" s="247" t="s">
        <v>3498</v>
      </c>
      <c r="C1285" s="302" t="str">
        <f>"9842"</f>
        <v>9842</v>
      </c>
      <c r="D1285" s="247" t="s">
        <v>18</v>
      </c>
      <c r="E1285" s="248">
        <v>4</v>
      </c>
      <c r="F1285" s="249">
        <v>39750</v>
      </c>
      <c r="G1285" s="249">
        <v>41575</v>
      </c>
      <c r="H1285" s="247" t="s">
        <v>14</v>
      </c>
      <c r="I1285" s="250" t="s">
        <v>438</v>
      </c>
    </row>
    <row r="1286" spans="1:9">
      <c r="A1286" s="246">
        <v>1282</v>
      </c>
      <c r="B1286" s="247" t="s">
        <v>474</v>
      </c>
      <c r="C1286" s="302" t="str">
        <f>"9857"</f>
        <v>9857</v>
      </c>
      <c r="D1286" s="247" t="s">
        <v>21</v>
      </c>
      <c r="E1286" s="248">
        <v>2</v>
      </c>
      <c r="F1286" s="249">
        <v>40501</v>
      </c>
      <c r="G1286" s="249">
        <v>42326</v>
      </c>
      <c r="H1286" s="247" t="s">
        <v>14</v>
      </c>
      <c r="I1286" s="250" t="s">
        <v>3357</v>
      </c>
    </row>
    <row r="1287" spans="1:9">
      <c r="A1287" s="246">
        <v>1283</v>
      </c>
      <c r="B1287" s="247" t="s">
        <v>3499</v>
      </c>
      <c r="C1287" s="302" t="str">
        <f>"9886"</f>
        <v>9886</v>
      </c>
      <c r="D1287" s="247" t="s">
        <v>18</v>
      </c>
      <c r="E1287" s="248">
        <v>10</v>
      </c>
      <c r="F1287" s="249">
        <v>39890</v>
      </c>
      <c r="G1287" s="249">
        <v>41715</v>
      </c>
      <c r="H1287" s="247" t="s">
        <v>84</v>
      </c>
      <c r="I1287" s="250" t="s">
        <v>3351</v>
      </c>
    </row>
    <row r="1288" spans="1:9">
      <c r="A1288" s="246">
        <v>1284</v>
      </c>
      <c r="B1288" s="247" t="s">
        <v>189</v>
      </c>
      <c r="C1288" s="302" t="str">
        <f>"9898"</f>
        <v>9898</v>
      </c>
      <c r="D1288" s="247" t="s">
        <v>30</v>
      </c>
      <c r="E1288" s="248">
        <v>4</v>
      </c>
      <c r="F1288" s="249">
        <v>41809</v>
      </c>
      <c r="G1288" s="249">
        <v>43634</v>
      </c>
      <c r="H1288" s="247" t="s">
        <v>14</v>
      </c>
      <c r="I1288" s="250" t="s">
        <v>3353</v>
      </c>
    </row>
    <row r="1289" spans="1:9">
      <c r="A1289" s="246">
        <v>1285</v>
      </c>
      <c r="B1289" s="247" t="s">
        <v>3500</v>
      </c>
      <c r="C1289" s="302" t="str">
        <f>"9927"</f>
        <v>9927</v>
      </c>
      <c r="D1289" s="247" t="s">
        <v>18</v>
      </c>
      <c r="E1289" s="248">
        <v>124</v>
      </c>
      <c r="F1289" s="249">
        <v>39832</v>
      </c>
      <c r="G1289" s="249">
        <v>41292</v>
      </c>
      <c r="H1289" s="247" t="s">
        <v>31</v>
      </c>
      <c r="I1289" s="250" t="s">
        <v>438</v>
      </c>
    </row>
    <row r="1290" spans="1:9">
      <c r="A1290" s="246">
        <v>1286</v>
      </c>
      <c r="B1290" s="247" t="s">
        <v>3474</v>
      </c>
      <c r="C1290" s="302" t="str">
        <f>"9945"</f>
        <v>9945</v>
      </c>
      <c r="D1290" s="247" t="s">
        <v>18</v>
      </c>
      <c r="E1290" s="248">
        <v>12</v>
      </c>
      <c r="F1290" s="249">
        <v>42219</v>
      </c>
      <c r="G1290" s="249">
        <v>44045</v>
      </c>
      <c r="H1290" s="247" t="s">
        <v>59</v>
      </c>
      <c r="I1290" s="250" t="s">
        <v>438</v>
      </c>
    </row>
    <row r="1291" spans="1:9">
      <c r="A1291" s="246">
        <v>1287</v>
      </c>
      <c r="B1291" s="247" t="s">
        <v>3501</v>
      </c>
      <c r="C1291" s="302" t="str">
        <f>"10165"</f>
        <v>10165</v>
      </c>
      <c r="D1291" s="247" t="s">
        <v>23</v>
      </c>
      <c r="E1291" s="248">
        <v>5</v>
      </c>
      <c r="F1291" s="249">
        <v>40749</v>
      </c>
      <c r="G1291" s="249">
        <v>41114</v>
      </c>
      <c r="H1291" s="247" t="s">
        <v>22</v>
      </c>
      <c r="I1291" s="250" t="s">
        <v>437</v>
      </c>
    </row>
    <row r="1292" spans="1:9">
      <c r="A1292" s="246">
        <v>1288</v>
      </c>
      <c r="B1292" s="247" t="s">
        <v>3501</v>
      </c>
      <c r="C1292" s="302" t="str">
        <f>"10166"</f>
        <v>10166</v>
      </c>
      <c r="D1292" s="247" t="s">
        <v>23</v>
      </c>
      <c r="E1292" s="248">
        <v>5</v>
      </c>
      <c r="F1292" s="249">
        <v>40749</v>
      </c>
      <c r="G1292" s="249">
        <v>41114</v>
      </c>
      <c r="H1292" s="247" t="s">
        <v>22</v>
      </c>
      <c r="I1292" s="250" t="s">
        <v>437</v>
      </c>
    </row>
    <row r="1293" spans="1:9">
      <c r="A1293" s="246">
        <v>1289</v>
      </c>
      <c r="B1293" s="247" t="s">
        <v>506</v>
      </c>
      <c r="C1293" s="302" t="str">
        <f>"10175"</f>
        <v>10175</v>
      </c>
      <c r="D1293" s="247" t="s">
        <v>21</v>
      </c>
      <c r="E1293" s="248">
        <v>3</v>
      </c>
      <c r="F1293" s="249">
        <v>42381</v>
      </c>
      <c r="G1293" s="249">
        <v>44207</v>
      </c>
      <c r="H1293" s="247" t="s">
        <v>22</v>
      </c>
      <c r="I1293" s="250" t="s">
        <v>3342</v>
      </c>
    </row>
    <row r="1294" spans="1:9">
      <c r="A1294" s="246">
        <v>1290</v>
      </c>
      <c r="B1294" s="247" t="s">
        <v>506</v>
      </c>
      <c r="C1294" s="302" t="str">
        <f>"10176"</f>
        <v>10176</v>
      </c>
      <c r="D1294" s="247" t="s">
        <v>21</v>
      </c>
      <c r="E1294" s="248">
        <v>5</v>
      </c>
      <c r="F1294" s="249">
        <v>42381</v>
      </c>
      <c r="G1294" s="249">
        <v>44207</v>
      </c>
      <c r="H1294" s="247" t="s">
        <v>22</v>
      </c>
      <c r="I1294" s="250" t="s">
        <v>3342</v>
      </c>
    </row>
    <row r="1295" spans="1:9">
      <c r="A1295" s="246">
        <v>1291</v>
      </c>
      <c r="B1295" s="247" t="s">
        <v>506</v>
      </c>
      <c r="C1295" s="302" t="str">
        <f>"10177"</f>
        <v>10177</v>
      </c>
      <c r="D1295" s="247" t="s">
        <v>21</v>
      </c>
      <c r="E1295" s="248">
        <v>5</v>
      </c>
      <c r="F1295" s="249">
        <v>42381</v>
      </c>
      <c r="G1295" s="249">
        <v>44207</v>
      </c>
      <c r="H1295" s="247" t="s">
        <v>22</v>
      </c>
      <c r="I1295" s="250" t="s">
        <v>3342</v>
      </c>
    </row>
    <row r="1296" spans="1:9">
      <c r="A1296" s="246">
        <v>1292</v>
      </c>
      <c r="B1296" s="247" t="s">
        <v>506</v>
      </c>
      <c r="C1296" s="302" t="str">
        <f>"10178"</f>
        <v>10178</v>
      </c>
      <c r="D1296" s="247" t="s">
        <v>21</v>
      </c>
      <c r="E1296" s="248">
        <v>5</v>
      </c>
      <c r="F1296" s="249">
        <v>42381</v>
      </c>
      <c r="G1296" s="249">
        <v>44207</v>
      </c>
      <c r="H1296" s="247" t="s">
        <v>22</v>
      </c>
      <c r="I1296" s="250" t="s">
        <v>3342</v>
      </c>
    </row>
    <row r="1297" spans="1:9">
      <c r="A1297" s="246">
        <v>1293</v>
      </c>
      <c r="B1297" s="247" t="s">
        <v>506</v>
      </c>
      <c r="C1297" s="302" t="str">
        <f>"10179"</f>
        <v>10179</v>
      </c>
      <c r="D1297" s="247" t="s">
        <v>21</v>
      </c>
      <c r="E1297" s="248">
        <v>5</v>
      </c>
      <c r="F1297" s="249">
        <v>42350</v>
      </c>
      <c r="G1297" s="249">
        <v>44207</v>
      </c>
      <c r="H1297" s="247" t="s">
        <v>22</v>
      </c>
      <c r="I1297" s="250" t="s">
        <v>3342</v>
      </c>
    </row>
    <row r="1298" spans="1:9">
      <c r="A1298" s="246">
        <v>1294</v>
      </c>
      <c r="B1298" s="247" t="s">
        <v>506</v>
      </c>
      <c r="C1298" s="302" t="str">
        <f>"10180"</f>
        <v>10180</v>
      </c>
      <c r="D1298" s="247" t="s">
        <v>21</v>
      </c>
      <c r="E1298" s="248">
        <v>5</v>
      </c>
      <c r="F1298" s="249">
        <v>42381</v>
      </c>
      <c r="G1298" s="249">
        <v>44207</v>
      </c>
      <c r="H1298" s="247" t="s">
        <v>22</v>
      </c>
      <c r="I1298" s="250" t="s">
        <v>3342</v>
      </c>
    </row>
    <row r="1299" spans="1:9">
      <c r="A1299" s="246">
        <v>1295</v>
      </c>
      <c r="B1299" s="247" t="s">
        <v>506</v>
      </c>
      <c r="C1299" s="302" t="str">
        <f>"10181"</f>
        <v>10181</v>
      </c>
      <c r="D1299" s="247" t="s">
        <v>21</v>
      </c>
      <c r="E1299" s="248">
        <v>5</v>
      </c>
      <c r="F1299" s="249">
        <v>42381</v>
      </c>
      <c r="G1299" s="249">
        <v>44207</v>
      </c>
      <c r="H1299" s="247" t="s">
        <v>22</v>
      </c>
      <c r="I1299" s="250" t="s">
        <v>3342</v>
      </c>
    </row>
    <row r="1300" spans="1:9">
      <c r="A1300" s="246">
        <v>1296</v>
      </c>
      <c r="B1300" s="247" t="s">
        <v>506</v>
      </c>
      <c r="C1300" s="302" t="str">
        <f>"10182"</f>
        <v>10182</v>
      </c>
      <c r="D1300" s="247" t="s">
        <v>21</v>
      </c>
      <c r="E1300" s="248">
        <v>5</v>
      </c>
      <c r="F1300" s="249">
        <v>42381</v>
      </c>
      <c r="G1300" s="249">
        <v>44207</v>
      </c>
      <c r="H1300" s="247" t="s">
        <v>22</v>
      </c>
      <c r="I1300" s="250" t="s">
        <v>3342</v>
      </c>
    </row>
    <row r="1301" spans="1:9">
      <c r="A1301" s="246">
        <v>1297</v>
      </c>
      <c r="B1301" s="247" t="s">
        <v>506</v>
      </c>
      <c r="C1301" s="302" t="str">
        <f>"10183"</f>
        <v>10183</v>
      </c>
      <c r="D1301" s="247" t="s">
        <v>21</v>
      </c>
      <c r="E1301" s="248">
        <v>5</v>
      </c>
      <c r="F1301" s="249">
        <v>42381</v>
      </c>
      <c r="G1301" s="249">
        <v>44207</v>
      </c>
      <c r="H1301" s="247" t="s">
        <v>22</v>
      </c>
      <c r="I1301" s="250" t="s">
        <v>3342</v>
      </c>
    </row>
    <row r="1302" spans="1:9">
      <c r="A1302" s="246">
        <v>1298</v>
      </c>
      <c r="B1302" s="247" t="s">
        <v>506</v>
      </c>
      <c r="C1302" s="302" t="str">
        <f>"10184"</f>
        <v>10184</v>
      </c>
      <c r="D1302" s="247" t="s">
        <v>21</v>
      </c>
      <c r="E1302" s="248">
        <v>5</v>
      </c>
      <c r="F1302" s="249">
        <v>42381</v>
      </c>
      <c r="G1302" s="249">
        <v>44207</v>
      </c>
      <c r="H1302" s="247" t="s">
        <v>22</v>
      </c>
      <c r="I1302" s="250" t="s">
        <v>3342</v>
      </c>
    </row>
    <row r="1303" spans="1:9">
      <c r="A1303" s="246">
        <v>1299</v>
      </c>
      <c r="B1303" s="247" t="s">
        <v>177</v>
      </c>
      <c r="C1303" s="302" t="str">
        <f>"10196"</f>
        <v>10196</v>
      </c>
      <c r="D1303" s="247" t="s">
        <v>18</v>
      </c>
      <c r="E1303" s="248">
        <v>157</v>
      </c>
      <c r="F1303" s="249">
        <v>39784</v>
      </c>
      <c r="G1303" s="249">
        <v>42795</v>
      </c>
      <c r="H1303" s="247" t="s">
        <v>59</v>
      </c>
      <c r="I1303" s="250" t="s">
        <v>3351</v>
      </c>
    </row>
    <row r="1304" spans="1:9">
      <c r="A1304" s="246">
        <v>1300</v>
      </c>
      <c r="B1304" s="247" t="s">
        <v>507</v>
      </c>
      <c r="C1304" s="302" t="str">
        <f>"10237"</f>
        <v>10237</v>
      </c>
      <c r="D1304" s="247" t="s">
        <v>21</v>
      </c>
      <c r="E1304" s="248">
        <v>2</v>
      </c>
      <c r="F1304" s="249">
        <v>41529</v>
      </c>
      <c r="G1304" s="249">
        <v>43354</v>
      </c>
      <c r="H1304" s="247" t="s">
        <v>89</v>
      </c>
      <c r="I1304" s="250" t="s">
        <v>3342</v>
      </c>
    </row>
    <row r="1305" spans="1:9">
      <c r="A1305" s="246">
        <v>1301</v>
      </c>
      <c r="B1305" s="247" t="s">
        <v>3502</v>
      </c>
      <c r="C1305" s="302" t="str">
        <f>"10242"</f>
        <v>10242</v>
      </c>
      <c r="D1305" s="247" t="s">
        <v>30</v>
      </c>
      <c r="E1305" s="248">
        <v>260</v>
      </c>
      <c r="F1305" s="249">
        <v>40116</v>
      </c>
      <c r="G1305" s="249">
        <v>43767</v>
      </c>
      <c r="H1305" s="247" t="s">
        <v>70</v>
      </c>
      <c r="I1305" s="250" t="s">
        <v>437</v>
      </c>
    </row>
    <row r="1306" spans="1:9">
      <c r="A1306" s="246">
        <v>1302</v>
      </c>
      <c r="B1306" s="247" t="s">
        <v>3474</v>
      </c>
      <c r="C1306" s="302" t="str">
        <f>"10313"</f>
        <v>10313</v>
      </c>
      <c r="D1306" s="247" t="s">
        <v>18</v>
      </c>
      <c r="E1306" s="248">
        <v>400</v>
      </c>
      <c r="F1306" s="249">
        <v>41866</v>
      </c>
      <c r="G1306" s="249">
        <v>43691</v>
      </c>
      <c r="H1306" s="247" t="s">
        <v>56</v>
      </c>
      <c r="I1306" s="250" t="s">
        <v>437</v>
      </c>
    </row>
    <row r="1307" spans="1:9">
      <c r="A1307" s="246">
        <v>1303</v>
      </c>
      <c r="B1307" s="247" t="s">
        <v>20</v>
      </c>
      <c r="C1307" s="302" t="str">
        <f>"10336"</f>
        <v>10336</v>
      </c>
      <c r="D1307" s="247" t="s">
        <v>21</v>
      </c>
      <c r="E1307" s="248">
        <v>5</v>
      </c>
      <c r="F1307" s="249">
        <v>42415</v>
      </c>
      <c r="G1307" s="249">
        <v>44241</v>
      </c>
      <c r="H1307" s="247" t="s">
        <v>22</v>
      </c>
      <c r="I1307" s="250" t="s">
        <v>3386</v>
      </c>
    </row>
    <row r="1308" spans="1:9">
      <c r="A1308" s="246">
        <v>1304</v>
      </c>
      <c r="B1308" s="247" t="s">
        <v>165</v>
      </c>
      <c r="C1308" s="302" t="str">
        <f>"10344"</f>
        <v>10344</v>
      </c>
      <c r="D1308" s="247" t="s">
        <v>30</v>
      </c>
      <c r="E1308" s="248">
        <v>4</v>
      </c>
      <c r="F1308" s="249">
        <v>43462</v>
      </c>
      <c r="G1308" s="249">
        <v>45287</v>
      </c>
      <c r="H1308" s="247" t="s">
        <v>73</v>
      </c>
      <c r="I1308" s="250" t="s">
        <v>79</v>
      </c>
    </row>
    <row r="1309" spans="1:9">
      <c r="A1309" s="246">
        <v>1305</v>
      </c>
      <c r="B1309" s="247" t="s">
        <v>17</v>
      </c>
      <c r="C1309" s="302" t="str">
        <f>"10346"</f>
        <v>10346</v>
      </c>
      <c r="D1309" s="247" t="s">
        <v>18</v>
      </c>
      <c r="E1309" s="248">
        <v>77</v>
      </c>
      <c r="F1309" s="249">
        <v>41822</v>
      </c>
      <c r="G1309" s="249">
        <v>43647</v>
      </c>
      <c r="H1309" s="247" t="s">
        <v>19</v>
      </c>
      <c r="I1309" s="250" t="s">
        <v>3342</v>
      </c>
    </row>
    <row r="1310" spans="1:9">
      <c r="A1310" s="246">
        <v>1306</v>
      </c>
      <c r="B1310" s="247" t="s">
        <v>43</v>
      </c>
      <c r="C1310" s="302" t="str">
        <f>"10384"</f>
        <v>10384</v>
      </c>
      <c r="D1310" s="247" t="s">
        <v>13</v>
      </c>
      <c r="E1310" s="248">
        <v>8</v>
      </c>
      <c r="F1310" s="249">
        <v>40393</v>
      </c>
      <c r="G1310" s="249">
        <v>51350</v>
      </c>
      <c r="H1310" s="247" t="s">
        <v>16</v>
      </c>
      <c r="I1310" s="250" t="s">
        <v>79</v>
      </c>
    </row>
    <row r="1311" spans="1:9">
      <c r="A1311" s="246">
        <v>1307</v>
      </c>
      <c r="B1311" s="247" t="s">
        <v>166</v>
      </c>
      <c r="C1311" s="302" t="str">
        <f>"10385"</f>
        <v>10385</v>
      </c>
      <c r="D1311" s="247" t="s">
        <v>13</v>
      </c>
      <c r="E1311" s="248">
        <v>4</v>
      </c>
      <c r="F1311" s="249">
        <v>40393</v>
      </c>
      <c r="G1311" s="249">
        <v>51350</v>
      </c>
      <c r="H1311" s="247" t="s">
        <v>14</v>
      </c>
      <c r="I1311" s="250" t="s">
        <v>79</v>
      </c>
    </row>
    <row r="1312" spans="1:9">
      <c r="A1312" s="246">
        <v>1308</v>
      </c>
      <c r="B1312" s="247" t="s">
        <v>43</v>
      </c>
      <c r="C1312" s="302" t="str">
        <f>"10387"</f>
        <v>10387</v>
      </c>
      <c r="D1312" s="247" t="s">
        <v>13</v>
      </c>
      <c r="E1312" s="248">
        <v>3</v>
      </c>
      <c r="F1312" s="249">
        <v>40396</v>
      </c>
      <c r="G1312" s="249">
        <v>51353</v>
      </c>
      <c r="H1312" s="247" t="s">
        <v>14</v>
      </c>
      <c r="I1312" s="250" t="s">
        <v>79</v>
      </c>
    </row>
    <row r="1313" spans="1:9">
      <c r="A1313" s="246">
        <v>1309</v>
      </c>
      <c r="B1313" s="247" t="s">
        <v>43</v>
      </c>
      <c r="C1313" s="302" t="str">
        <f>"10388"</f>
        <v>10388</v>
      </c>
      <c r="D1313" s="247" t="s">
        <v>13</v>
      </c>
      <c r="E1313" s="248">
        <v>3</v>
      </c>
      <c r="F1313" s="249">
        <v>40393</v>
      </c>
      <c r="G1313" s="249">
        <v>51350</v>
      </c>
      <c r="H1313" s="247" t="s">
        <v>14</v>
      </c>
      <c r="I1313" s="250" t="s">
        <v>79</v>
      </c>
    </row>
    <row r="1314" spans="1:9">
      <c r="A1314" s="246">
        <v>1310</v>
      </c>
      <c r="B1314" s="247" t="s">
        <v>43</v>
      </c>
      <c r="C1314" s="302" t="str">
        <f>"10389"</f>
        <v>10389</v>
      </c>
      <c r="D1314" s="247" t="s">
        <v>13</v>
      </c>
      <c r="E1314" s="248">
        <v>6</v>
      </c>
      <c r="F1314" s="249">
        <v>40396</v>
      </c>
      <c r="G1314" s="249">
        <v>51353</v>
      </c>
      <c r="H1314" s="247" t="s">
        <v>14</v>
      </c>
      <c r="I1314" s="250" t="s">
        <v>79</v>
      </c>
    </row>
    <row r="1315" spans="1:9">
      <c r="A1315" s="246">
        <v>1311</v>
      </c>
      <c r="B1315" s="247" t="s">
        <v>3503</v>
      </c>
      <c r="C1315" s="302" t="str">
        <f>"10430"</f>
        <v>10430</v>
      </c>
      <c r="D1315" s="247" t="s">
        <v>18</v>
      </c>
      <c r="E1315" s="248">
        <v>224</v>
      </c>
      <c r="F1315" s="249">
        <v>39896</v>
      </c>
      <c r="G1315" s="249">
        <v>41940</v>
      </c>
      <c r="H1315" s="247" t="s">
        <v>70</v>
      </c>
      <c r="I1315" s="250" t="s">
        <v>438</v>
      </c>
    </row>
    <row r="1316" spans="1:9">
      <c r="A1316" s="246">
        <v>1312</v>
      </c>
      <c r="B1316" s="247" t="s">
        <v>3504</v>
      </c>
      <c r="C1316" s="302" t="str">
        <f>"10434"</f>
        <v>10434</v>
      </c>
      <c r="D1316" s="247" t="s">
        <v>18</v>
      </c>
      <c r="E1316" s="248">
        <v>220</v>
      </c>
      <c r="F1316" s="249">
        <v>42087</v>
      </c>
      <c r="G1316" s="249">
        <v>43182</v>
      </c>
      <c r="H1316" s="247" t="s">
        <v>70</v>
      </c>
      <c r="I1316" s="250" t="s">
        <v>438</v>
      </c>
    </row>
    <row r="1317" spans="1:9">
      <c r="A1317" s="246">
        <v>1313</v>
      </c>
      <c r="B1317" s="247" t="s">
        <v>508</v>
      </c>
      <c r="C1317" s="302" t="str">
        <f>"10462"</f>
        <v>10462</v>
      </c>
      <c r="D1317" s="247" t="s">
        <v>21</v>
      </c>
      <c r="E1317" s="248">
        <v>5</v>
      </c>
      <c r="F1317" s="249">
        <v>42330</v>
      </c>
      <c r="G1317" s="249">
        <v>44156</v>
      </c>
      <c r="H1317" s="247" t="s">
        <v>14</v>
      </c>
      <c r="I1317" s="250" t="s">
        <v>3342</v>
      </c>
    </row>
    <row r="1318" spans="1:9">
      <c r="A1318" s="246">
        <v>1314</v>
      </c>
      <c r="B1318" s="247" t="s">
        <v>508</v>
      </c>
      <c r="C1318" s="302" t="str">
        <f>"10463"</f>
        <v>10463</v>
      </c>
      <c r="D1318" s="247" t="s">
        <v>21</v>
      </c>
      <c r="E1318" s="248">
        <v>5</v>
      </c>
      <c r="F1318" s="249">
        <v>42330</v>
      </c>
      <c r="G1318" s="249">
        <v>44156</v>
      </c>
      <c r="H1318" s="247" t="s">
        <v>14</v>
      </c>
      <c r="I1318" s="250" t="s">
        <v>3342</v>
      </c>
    </row>
    <row r="1319" spans="1:9">
      <c r="A1319" s="246">
        <v>1315</v>
      </c>
      <c r="B1319" s="247" t="s">
        <v>509</v>
      </c>
      <c r="C1319" s="302" t="str">
        <f>"10465"</f>
        <v>10465</v>
      </c>
      <c r="D1319" s="247" t="s">
        <v>23</v>
      </c>
      <c r="E1319" s="248">
        <v>5</v>
      </c>
      <c r="F1319" s="249">
        <v>40718</v>
      </c>
      <c r="G1319" s="249">
        <v>41083</v>
      </c>
      <c r="H1319" s="247" t="s">
        <v>22</v>
      </c>
      <c r="I1319" s="250" t="s">
        <v>3413</v>
      </c>
    </row>
    <row r="1320" spans="1:9">
      <c r="A1320" s="246">
        <v>1316</v>
      </c>
      <c r="B1320" s="247" t="s">
        <v>509</v>
      </c>
      <c r="C1320" s="302" t="str">
        <f>"10466"</f>
        <v>10466</v>
      </c>
      <c r="D1320" s="247" t="s">
        <v>23</v>
      </c>
      <c r="E1320" s="248">
        <v>5</v>
      </c>
      <c r="F1320" s="249">
        <v>39948</v>
      </c>
      <c r="G1320" s="249">
        <v>40312</v>
      </c>
      <c r="H1320" s="247" t="s">
        <v>22</v>
      </c>
      <c r="I1320" s="250" t="s">
        <v>3413</v>
      </c>
    </row>
    <row r="1321" spans="1:9">
      <c r="A1321" s="246">
        <v>1317</v>
      </c>
      <c r="B1321" s="247" t="s">
        <v>509</v>
      </c>
      <c r="C1321" s="302" t="str">
        <f>"10467"</f>
        <v>10467</v>
      </c>
      <c r="D1321" s="247" t="s">
        <v>21</v>
      </c>
      <c r="E1321" s="248">
        <v>5</v>
      </c>
      <c r="F1321" s="249">
        <v>40770</v>
      </c>
      <c r="G1321" s="249">
        <v>42596</v>
      </c>
      <c r="H1321" s="247" t="s">
        <v>22</v>
      </c>
      <c r="I1321" s="250" t="s">
        <v>3417</v>
      </c>
    </row>
    <row r="1322" spans="1:9">
      <c r="A1322" s="246">
        <v>1318</v>
      </c>
      <c r="B1322" s="247" t="s">
        <v>509</v>
      </c>
      <c r="C1322" s="302" t="str">
        <f>"10468"</f>
        <v>10468</v>
      </c>
      <c r="D1322" s="247" t="s">
        <v>21</v>
      </c>
      <c r="E1322" s="248">
        <v>5</v>
      </c>
      <c r="F1322" s="249">
        <v>40770</v>
      </c>
      <c r="G1322" s="249">
        <v>42596</v>
      </c>
      <c r="H1322" s="247" t="s">
        <v>22</v>
      </c>
      <c r="I1322" s="250" t="s">
        <v>3417</v>
      </c>
    </row>
    <row r="1323" spans="1:9">
      <c r="A1323" s="246">
        <v>1319</v>
      </c>
      <c r="B1323" s="247" t="s">
        <v>509</v>
      </c>
      <c r="C1323" s="302" t="str">
        <f>"10469"</f>
        <v>10469</v>
      </c>
      <c r="D1323" s="247" t="s">
        <v>21</v>
      </c>
      <c r="E1323" s="248">
        <v>5</v>
      </c>
      <c r="F1323" s="249">
        <v>40770</v>
      </c>
      <c r="G1323" s="249">
        <v>42596</v>
      </c>
      <c r="H1323" s="247" t="s">
        <v>22</v>
      </c>
      <c r="I1323" s="250" t="s">
        <v>3417</v>
      </c>
    </row>
    <row r="1324" spans="1:9">
      <c r="A1324" s="246">
        <v>1320</v>
      </c>
      <c r="B1324" s="247" t="s">
        <v>509</v>
      </c>
      <c r="C1324" s="302" t="str">
        <f>"10470"</f>
        <v>10470</v>
      </c>
      <c r="D1324" s="247" t="s">
        <v>21</v>
      </c>
      <c r="E1324" s="248">
        <v>5</v>
      </c>
      <c r="F1324" s="249">
        <v>40770</v>
      </c>
      <c r="G1324" s="249">
        <v>42596</v>
      </c>
      <c r="H1324" s="247" t="s">
        <v>22</v>
      </c>
      <c r="I1324" s="250" t="s">
        <v>3417</v>
      </c>
    </row>
    <row r="1325" spans="1:9">
      <c r="A1325" s="246">
        <v>1321</v>
      </c>
      <c r="B1325" s="247" t="s">
        <v>509</v>
      </c>
      <c r="C1325" s="302" t="str">
        <f>"10471"</f>
        <v>10471</v>
      </c>
      <c r="D1325" s="247" t="s">
        <v>21</v>
      </c>
      <c r="E1325" s="248">
        <v>5</v>
      </c>
      <c r="F1325" s="249">
        <v>40770</v>
      </c>
      <c r="G1325" s="249">
        <v>42596</v>
      </c>
      <c r="H1325" s="247" t="s">
        <v>22</v>
      </c>
      <c r="I1325" s="250" t="s">
        <v>3417</v>
      </c>
    </row>
    <row r="1326" spans="1:9">
      <c r="A1326" s="246">
        <v>1322</v>
      </c>
      <c r="B1326" s="247" t="s">
        <v>509</v>
      </c>
      <c r="C1326" s="302" t="str">
        <f>"10472"</f>
        <v>10472</v>
      </c>
      <c r="D1326" s="247" t="s">
        <v>21</v>
      </c>
      <c r="E1326" s="248">
        <v>5</v>
      </c>
      <c r="F1326" s="249">
        <v>40770</v>
      </c>
      <c r="G1326" s="249">
        <v>42596</v>
      </c>
      <c r="H1326" s="247" t="s">
        <v>22</v>
      </c>
      <c r="I1326" s="250" t="s">
        <v>3417</v>
      </c>
    </row>
    <row r="1327" spans="1:9">
      <c r="A1327" s="246">
        <v>1323</v>
      </c>
      <c r="B1327" s="247" t="s">
        <v>509</v>
      </c>
      <c r="C1327" s="302" t="str">
        <f>"10473"</f>
        <v>10473</v>
      </c>
      <c r="D1327" s="247" t="s">
        <v>21</v>
      </c>
      <c r="E1327" s="248">
        <v>5</v>
      </c>
      <c r="F1327" s="249">
        <v>40770</v>
      </c>
      <c r="G1327" s="249">
        <v>42596</v>
      </c>
      <c r="H1327" s="247" t="s">
        <v>22</v>
      </c>
      <c r="I1327" s="250" t="s">
        <v>3417</v>
      </c>
    </row>
    <row r="1328" spans="1:9">
      <c r="A1328" s="246">
        <v>1324</v>
      </c>
      <c r="B1328" s="247" t="s">
        <v>509</v>
      </c>
      <c r="C1328" s="302" t="str">
        <f>"10474"</f>
        <v>10474</v>
      </c>
      <c r="D1328" s="247" t="s">
        <v>21</v>
      </c>
      <c r="E1328" s="248">
        <v>5</v>
      </c>
      <c r="F1328" s="249">
        <v>40770</v>
      </c>
      <c r="G1328" s="249">
        <v>42596</v>
      </c>
      <c r="H1328" s="247" t="s">
        <v>22</v>
      </c>
      <c r="I1328" s="250" t="s">
        <v>3417</v>
      </c>
    </row>
    <row r="1329" spans="1:9">
      <c r="A1329" s="246">
        <v>1325</v>
      </c>
      <c r="B1329" s="247" t="s">
        <v>3496</v>
      </c>
      <c r="C1329" s="302" t="str">
        <f>"10682"</f>
        <v>10682</v>
      </c>
      <c r="D1329" s="247" t="s">
        <v>13</v>
      </c>
      <c r="E1329" s="248">
        <v>60</v>
      </c>
      <c r="F1329" s="249">
        <v>41767</v>
      </c>
      <c r="G1329" s="249">
        <v>52724</v>
      </c>
      <c r="H1329" s="247" t="s">
        <v>59</v>
      </c>
      <c r="I1329" s="250" t="s">
        <v>438</v>
      </c>
    </row>
    <row r="1330" spans="1:9">
      <c r="A1330" s="246">
        <v>1326</v>
      </c>
      <c r="B1330" s="247" t="s">
        <v>3505</v>
      </c>
      <c r="C1330" s="302" t="str">
        <f>"10700"</f>
        <v>10700</v>
      </c>
      <c r="D1330" s="247" t="s">
        <v>23</v>
      </c>
      <c r="E1330" s="248">
        <v>5</v>
      </c>
      <c r="F1330" s="249">
        <v>39959</v>
      </c>
      <c r="G1330" s="249">
        <v>40323</v>
      </c>
      <c r="H1330" s="247" t="s">
        <v>22</v>
      </c>
      <c r="I1330" s="250" t="s">
        <v>437</v>
      </c>
    </row>
    <row r="1331" spans="1:9">
      <c r="A1331" s="246">
        <v>1327</v>
      </c>
      <c r="B1331" s="247" t="s">
        <v>3506</v>
      </c>
      <c r="C1331" s="302" t="str">
        <f>"10710"</f>
        <v>10710</v>
      </c>
      <c r="D1331" s="247" t="s">
        <v>23</v>
      </c>
      <c r="E1331" s="248">
        <v>5</v>
      </c>
      <c r="F1331" s="249">
        <v>39959</v>
      </c>
      <c r="G1331" s="249">
        <v>40323</v>
      </c>
      <c r="H1331" s="247" t="s">
        <v>22</v>
      </c>
      <c r="I1331" s="250" t="s">
        <v>437</v>
      </c>
    </row>
    <row r="1332" spans="1:9">
      <c r="A1332" s="246">
        <v>1328</v>
      </c>
      <c r="B1332" s="247" t="s">
        <v>167</v>
      </c>
      <c r="C1332" s="302" t="str">
        <f>"10715"</f>
        <v>10715</v>
      </c>
      <c r="D1332" s="247" t="s">
        <v>18</v>
      </c>
      <c r="E1332" s="248">
        <v>8</v>
      </c>
      <c r="F1332" s="249">
        <v>43531</v>
      </c>
      <c r="G1332" s="249">
        <v>45357</v>
      </c>
      <c r="H1332" s="247" t="s">
        <v>14</v>
      </c>
      <c r="I1332" s="250" t="s">
        <v>79</v>
      </c>
    </row>
    <row r="1333" spans="1:9">
      <c r="A1333" s="246">
        <v>1329</v>
      </c>
      <c r="B1333" s="247" t="s">
        <v>3507</v>
      </c>
      <c r="C1333" s="302" t="str">
        <f>"10770"</f>
        <v>10770</v>
      </c>
      <c r="D1333" s="247" t="s">
        <v>13</v>
      </c>
      <c r="E1333" s="248">
        <v>142</v>
      </c>
      <c r="F1333" s="249">
        <v>41953</v>
      </c>
      <c r="G1333" s="249">
        <v>52910</v>
      </c>
      <c r="H1333" s="247" t="s">
        <v>16</v>
      </c>
      <c r="I1333" s="250" t="s">
        <v>438</v>
      </c>
    </row>
    <row r="1334" spans="1:9">
      <c r="A1334" s="246">
        <v>1330</v>
      </c>
      <c r="B1334" s="247" t="s">
        <v>3508</v>
      </c>
      <c r="C1334" s="302" t="str">
        <f>"10810"</f>
        <v>10810</v>
      </c>
      <c r="D1334" s="247" t="s">
        <v>23</v>
      </c>
      <c r="E1334" s="248">
        <v>5</v>
      </c>
      <c r="F1334" s="249">
        <v>39912</v>
      </c>
      <c r="G1334" s="249">
        <v>40276</v>
      </c>
      <c r="H1334" s="247" t="s">
        <v>14</v>
      </c>
      <c r="I1334" s="250" t="s">
        <v>437</v>
      </c>
    </row>
    <row r="1335" spans="1:9">
      <c r="A1335" s="246">
        <v>1331</v>
      </c>
      <c r="B1335" s="247" t="s">
        <v>3508</v>
      </c>
      <c r="C1335" s="302" t="str">
        <f>"10816"</f>
        <v>10816</v>
      </c>
      <c r="D1335" s="247" t="s">
        <v>23</v>
      </c>
      <c r="E1335" s="248">
        <v>5</v>
      </c>
      <c r="F1335" s="249">
        <v>39912</v>
      </c>
      <c r="G1335" s="249">
        <v>40276</v>
      </c>
      <c r="H1335" s="247" t="s">
        <v>14</v>
      </c>
      <c r="I1335" s="250" t="s">
        <v>437</v>
      </c>
    </row>
    <row r="1336" spans="1:9">
      <c r="A1336" s="246">
        <v>1332</v>
      </c>
      <c r="B1336" s="247" t="s">
        <v>510</v>
      </c>
      <c r="C1336" s="302" t="str">
        <f>"10850"</f>
        <v>10850</v>
      </c>
      <c r="D1336" s="247" t="s">
        <v>21</v>
      </c>
      <c r="E1336" s="248">
        <v>3</v>
      </c>
      <c r="F1336" s="249">
        <v>41146</v>
      </c>
      <c r="G1336" s="249">
        <v>42971</v>
      </c>
      <c r="H1336" s="247" t="s">
        <v>22</v>
      </c>
      <c r="I1336" s="250" t="s">
        <v>3342</v>
      </c>
    </row>
    <row r="1337" spans="1:9">
      <c r="A1337" s="246">
        <v>1333</v>
      </c>
      <c r="B1337" s="247" t="s">
        <v>390</v>
      </c>
      <c r="C1337" s="302" t="str">
        <f>"10862"</f>
        <v>10862</v>
      </c>
      <c r="D1337" s="247" t="s">
        <v>18</v>
      </c>
      <c r="E1337" s="248">
        <v>70</v>
      </c>
      <c r="F1337" s="249">
        <v>42643</v>
      </c>
      <c r="G1337" s="249">
        <v>44468</v>
      </c>
      <c r="H1337" s="247" t="s">
        <v>14</v>
      </c>
      <c r="I1337" s="250" t="s">
        <v>448</v>
      </c>
    </row>
    <row r="1338" spans="1:9">
      <c r="A1338" s="246">
        <v>1334</v>
      </c>
      <c r="B1338" s="247" t="s">
        <v>390</v>
      </c>
      <c r="C1338" s="302" t="str">
        <f>"10864"</f>
        <v>10864</v>
      </c>
      <c r="D1338" s="247" t="s">
        <v>18</v>
      </c>
      <c r="E1338" s="248">
        <v>49</v>
      </c>
      <c r="F1338" s="249">
        <v>42643</v>
      </c>
      <c r="G1338" s="249">
        <v>44468</v>
      </c>
      <c r="H1338" s="247" t="s">
        <v>16</v>
      </c>
      <c r="I1338" s="250" t="s">
        <v>448</v>
      </c>
    </row>
    <row r="1339" spans="1:9">
      <c r="A1339" s="246">
        <v>1335</v>
      </c>
      <c r="B1339" s="247" t="s">
        <v>390</v>
      </c>
      <c r="C1339" s="302" t="str">
        <f>"10867"</f>
        <v>10867</v>
      </c>
      <c r="D1339" s="247" t="s">
        <v>18</v>
      </c>
      <c r="E1339" s="248">
        <v>65</v>
      </c>
      <c r="F1339" s="249">
        <v>42643</v>
      </c>
      <c r="G1339" s="249">
        <v>44468</v>
      </c>
      <c r="H1339" s="247" t="s">
        <v>16</v>
      </c>
      <c r="I1339" s="250" t="s">
        <v>448</v>
      </c>
    </row>
    <row r="1340" spans="1:9">
      <c r="A1340" s="246">
        <v>1336</v>
      </c>
      <c r="B1340" s="247" t="s">
        <v>3505</v>
      </c>
      <c r="C1340" s="302" t="str">
        <f>"10871"</f>
        <v>10871</v>
      </c>
      <c r="D1340" s="247" t="s">
        <v>23</v>
      </c>
      <c r="E1340" s="248">
        <v>5</v>
      </c>
      <c r="F1340" s="249">
        <v>39959</v>
      </c>
      <c r="G1340" s="249">
        <v>40323</v>
      </c>
      <c r="H1340" s="247" t="s">
        <v>22</v>
      </c>
      <c r="I1340" s="250" t="s">
        <v>437</v>
      </c>
    </row>
    <row r="1341" spans="1:9">
      <c r="A1341" s="246">
        <v>1337</v>
      </c>
      <c r="B1341" s="247" t="s">
        <v>485</v>
      </c>
      <c r="C1341" s="302" t="str">
        <f>"10882"</f>
        <v>10882</v>
      </c>
      <c r="D1341" s="247" t="s">
        <v>30</v>
      </c>
      <c r="E1341" s="248">
        <v>8</v>
      </c>
      <c r="F1341" s="249">
        <v>42431</v>
      </c>
      <c r="G1341" s="249">
        <v>46798</v>
      </c>
      <c r="H1341" s="247" t="s">
        <v>84</v>
      </c>
      <c r="I1341" s="250" t="s">
        <v>3351</v>
      </c>
    </row>
    <row r="1342" spans="1:9">
      <c r="A1342" s="246">
        <v>1338</v>
      </c>
      <c r="B1342" s="247" t="s">
        <v>267</v>
      </c>
      <c r="C1342" s="302" t="str">
        <f>"10912"</f>
        <v>10912</v>
      </c>
      <c r="D1342" s="247" t="s">
        <v>23</v>
      </c>
      <c r="E1342" s="248">
        <v>4</v>
      </c>
      <c r="F1342" s="249">
        <v>41185</v>
      </c>
      <c r="G1342" s="249">
        <v>41549</v>
      </c>
      <c r="H1342" s="247" t="s">
        <v>16</v>
      </c>
      <c r="I1342" s="250" t="s">
        <v>3413</v>
      </c>
    </row>
    <row r="1343" spans="1:9">
      <c r="A1343" s="246">
        <v>1339</v>
      </c>
      <c r="B1343" s="247" t="s">
        <v>267</v>
      </c>
      <c r="C1343" s="302" t="str">
        <f>"10913"</f>
        <v>10913</v>
      </c>
      <c r="D1343" s="247" t="s">
        <v>23</v>
      </c>
      <c r="E1343" s="248">
        <v>4</v>
      </c>
      <c r="F1343" s="249">
        <v>41185</v>
      </c>
      <c r="G1343" s="249">
        <v>41549</v>
      </c>
      <c r="H1343" s="247" t="s">
        <v>16</v>
      </c>
      <c r="I1343" s="250" t="s">
        <v>3413</v>
      </c>
    </row>
    <row r="1344" spans="1:9">
      <c r="A1344" s="246">
        <v>1340</v>
      </c>
      <c r="B1344" s="247" t="s">
        <v>267</v>
      </c>
      <c r="C1344" s="302" t="str">
        <f>"10914"</f>
        <v>10914</v>
      </c>
      <c r="D1344" s="247" t="s">
        <v>23</v>
      </c>
      <c r="E1344" s="248">
        <v>3</v>
      </c>
      <c r="F1344" s="249">
        <v>41185</v>
      </c>
      <c r="G1344" s="249">
        <v>41549</v>
      </c>
      <c r="H1344" s="247" t="s">
        <v>16</v>
      </c>
      <c r="I1344" s="250" t="s">
        <v>3413</v>
      </c>
    </row>
    <row r="1345" spans="1:9">
      <c r="A1345" s="246">
        <v>1341</v>
      </c>
      <c r="B1345" s="247" t="s">
        <v>267</v>
      </c>
      <c r="C1345" s="302" t="str">
        <f>"10915"</f>
        <v>10915</v>
      </c>
      <c r="D1345" s="247" t="s">
        <v>23</v>
      </c>
      <c r="E1345" s="248">
        <v>4</v>
      </c>
      <c r="F1345" s="249">
        <v>41185</v>
      </c>
      <c r="G1345" s="249">
        <v>41549</v>
      </c>
      <c r="H1345" s="247" t="s">
        <v>16</v>
      </c>
      <c r="I1345" s="250" t="s">
        <v>3413</v>
      </c>
    </row>
    <row r="1346" spans="1:9">
      <c r="A1346" s="246">
        <v>1342</v>
      </c>
      <c r="B1346" s="247" t="s">
        <v>3509</v>
      </c>
      <c r="C1346" s="302" t="str">
        <f>"10961"</f>
        <v>10961</v>
      </c>
      <c r="D1346" s="247" t="s">
        <v>18</v>
      </c>
      <c r="E1346" s="248">
        <v>161</v>
      </c>
      <c r="F1346" s="249">
        <v>39911</v>
      </c>
      <c r="G1346" s="249">
        <v>41736</v>
      </c>
      <c r="H1346" s="247" t="s">
        <v>56</v>
      </c>
      <c r="I1346" s="250" t="s">
        <v>438</v>
      </c>
    </row>
    <row r="1347" spans="1:9">
      <c r="A1347" s="246">
        <v>1343</v>
      </c>
      <c r="B1347" s="247" t="s">
        <v>3509</v>
      </c>
      <c r="C1347" s="302" t="str">
        <f>"10962"</f>
        <v>10962</v>
      </c>
      <c r="D1347" s="247" t="s">
        <v>18</v>
      </c>
      <c r="E1347" s="248">
        <v>140</v>
      </c>
      <c r="F1347" s="249">
        <v>39911</v>
      </c>
      <c r="G1347" s="249">
        <v>41736</v>
      </c>
      <c r="H1347" s="247" t="s">
        <v>56</v>
      </c>
      <c r="I1347" s="250" t="s">
        <v>438</v>
      </c>
    </row>
    <row r="1348" spans="1:9">
      <c r="A1348" s="246">
        <v>1344</v>
      </c>
      <c r="B1348" s="247" t="s">
        <v>3509</v>
      </c>
      <c r="C1348" s="302" t="str">
        <f>"10963"</f>
        <v>10963</v>
      </c>
      <c r="D1348" s="247" t="s">
        <v>18</v>
      </c>
      <c r="E1348" s="248">
        <v>334</v>
      </c>
      <c r="F1348" s="249">
        <v>39911</v>
      </c>
      <c r="G1348" s="249">
        <v>41736</v>
      </c>
      <c r="H1348" s="247" t="s">
        <v>56</v>
      </c>
      <c r="I1348" s="250" t="s">
        <v>438</v>
      </c>
    </row>
    <row r="1349" spans="1:9">
      <c r="A1349" s="246">
        <v>1345</v>
      </c>
      <c r="B1349" s="247" t="s">
        <v>3509</v>
      </c>
      <c r="C1349" s="302" t="str">
        <f>"10965"</f>
        <v>10965</v>
      </c>
      <c r="D1349" s="247" t="s">
        <v>18</v>
      </c>
      <c r="E1349" s="248">
        <v>265</v>
      </c>
      <c r="F1349" s="249">
        <v>39911</v>
      </c>
      <c r="G1349" s="249">
        <v>41736</v>
      </c>
      <c r="H1349" s="247" t="s">
        <v>56</v>
      </c>
      <c r="I1349" s="250" t="s">
        <v>438</v>
      </c>
    </row>
    <row r="1350" spans="1:9">
      <c r="A1350" s="246">
        <v>1346</v>
      </c>
      <c r="B1350" s="247" t="s">
        <v>3509</v>
      </c>
      <c r="C1350" s="302" t="str">
        <f>"10966"</f>
        <v>10966</v>
      </c>
      <c r="D1350" s="247" t="s">
        <v>18</v>
      </c>
      <c r="E1350" s="248">
        <v>208</v>
      </c>
      <c r="F1350" s="249">
        <v>39911</v>
      </c>
      <c r="G1350" s="249">
        <v>41736</v>
      </c>
      <c r="H1350" s="247" t="s">
        <v>56</v>
      </c>
      <c r="I1350" s="250" t="s">
        <v>438</v>
      </c>
    </row>
    <row r="1351" spans="1:9">
      <c r="A1351" s="246">
        <v>1347</v>
      </c>
      <c r="B1351" s="247" t="s">
        <v>3509</v>
      </c>
      <c r="C1351" s="302" t="str">
        <f>"10967"</f>
        <v>10967</v>
      </c>
      <c r="D1351" s="247" t="s">
        <v>18</v>
      </c>
      <c r="E1351" s="248">
        <v>65</v>
      </c>
      <c r="F1351" s="249">
        <v>39911</v>
      </c>
      <c r="G1351" s="249">
        <v>41736</v>
      </c>
      <c r="H1351" s="247" t="s">
        <v>56</v>
      </c>
      <c r="I1351" s="250" t="s">
        <v>438</v>
      </c>
    </row>
    <row r="1352" spans="1:9">
      <c r="A1352" s="246">
        <v>1348</v>
      </c>
      <c r="B1352" s="247" t="s">
        <v>3509</v>
      </c>
      <c r="C1352" s="302" t="str">
        <f>"10970"</f>
        <v>10970</v>
      </c>
      <c r="D1352" s="247" t="s">
        <v>18</v>
      </c>
      <c r="E1352" s="248">
        <v>400</v>
      </c>
      <c r="F1352" s="249">
        <v>39911</v>
      </c>
      <c r="G1352" s="249">
        <v>41736</v>
      </c>
      <c r="H1352" s="247" t="s">
        <v>56</v>
      </c>
      <c r="I1352" s="250" t="s">
        <v>438</v>
      </c>
    </row>
    <row r="1353" spans="1:9">
      <c r="A1353" s="246">
        <v>1349</v>
      </c>
      <c r="B1353" s="247" t="s">
        <v>267</v>
      </c>
      <c r="C1353" s="302" t="str">
        <f>"11034"</f>
        <v>11034</v>
      </c>
      <c r="D1353" s="247" t="s">
        <v>23</v>
      </c>
      <c r="E1353" s="248">
        <v>4</v>
      </c>
      <c r="F1353" s="249">
        <v>41185</v>
      </c>
      <c r="G1353" s="249">
        <v>41549</v>
      </c>
      <c r="H1353" s="247" t="s">
        <v>16</v>
      </c>
      <c r="I1353" s="250" t="s">
        <v>3413</v>
      </c>
    </row>
    <row r="1354" spans="1:9">
      <c r="A1354" s="246">
        <v>1350</v>
      </c>
      <c r="B1354" s="247" t="s">
        <v>3510</v>
      </c>
      <c r="C1354" s="302" t="str">
        <f>"11037"</f>
        <v>11037</v>
      </c>
      <c r="D1354" s="247" t="s">
        <v>18</v>
      </c>
      <c r="E1354" s="248">
        <v>250</v>
      </c>
      <c r="F1354" s="249">
        <v>40350</v>
      </c>
      <c r="G1354" s="249">
        <v>42175</v>
      </c>
      <c r="H1354" s="247" t="s">
        <v>3350</v>
      </c>
      <c r="I1354" s="250" t="s">
        <v>437</v>
      </c>
    </row>
    <row r="1355" spans="1:9">
      <c r="A1355" s="246">
        <v>1351</v>
      </c>
      <c r="B1355" s="247" t="s">
        <v>511</v>
      </c>
      <c r="C1355" s="302" t="str">
        <f>"11061"</f>
        <v>11061</v>
      </c>
      <c r="D1355" s="247" t="s">
        <v>18</v>
      </c>
      <c r="E1355" s="248">
        <v>6</v>
      </c>
      <c r="F1355" s="249">
        <v>39995</v>
      </c>
      <c r="G1355" s="249">
        <v>41455</v>
      </c>
      <c r="H1355" s="247" t="s">
        <v>25</v>
      </c>
      <c r="I1355" s="250" t="s">
        <v>448</v>
      </c>
    </row>
    <row r="1356" spans="1:9">
      <c r="A1356" s="246">
        <v>1352</v>
      </c>
      <c r="B1356" s="247" t="s">
        <v>512</v>
      </c>
      <c r="C1356" s="302" t="str">
        <f>"11117"</f>
        <v>11117</v>
      </c>
      <c r="D1356" s="247" t="s">
        <v>21</v>
      </c>
      <c r="E1356" s="248">
        <v>2</v>
      </c>
      <c r="F1356" s="249">
        <v>40592</v>
      </c>
      <c r="G1356" s="249">
        <v>42417</v>
      </c>
      <c r="H1356" s="247" t="s">
        <v>22</v>
      </c>
      <c r="I1356" s="250" t="s">
        <v>3342</v>
      </c>
    </row>
    <row r="1357" spans="1:9">
      <c r="A1357" s="246">
        <v>1353</v>
      </c>
      <c r="B1357" s="247" t="s">
        <v>512</v>
      </c>
      <c r="C1357" s="302" t="str">
        <f>"11118"</f>
        <v>11118</v>
      </c>
      <c r="D1357" s="247" t="s">
        <v>21</v>
      </c>
      <c r="E1357" s="248">
        <v>1</v>
      </c>
      <c r="F1357" s="249">
        <v>40592</v>
      </c>
      <c r="G1357" s="249">
        <v>42417</v>
      </c>
      <c r="H1357" s="247" t="s">
        <v>22</v>
      </c>
      <c r="I1357" s="250" t="s">
        <v>3342</v>
      </c>
    </row>
    <row r="1358" spans="1:9">
      <c r="A1358" s="246">
        <v>1354</v>
      </c>
      <c r="B1358" s="247" t="s">
        <v>513</v>
      </c>
      <c r="C1358" s="302" t="str">
        <f>"11140"</f>
        <v>11140</v>
      </c>
      <c r="D1358" s="247" t="s">
        <v>23</v>
      </c>
      <c r="E1358" s="248">
        <v>5</v>
      </c>
      <c r="F1358" s="249">
        <v>40082</v>
      </c>
      <c r="G1358" s="249">
        <v>40446</v>
      </c>
      <c r="H1358" s="247" t="s">
        <v>22</v>
      </c>
      <c r="I1358" s="250" t="s">
        <v>437</v>
      </c>
    </row>
    <row r="1359" spans="1:9">
      <c r="A1359" s="246">
        <v>1355</v>
      </c>
      <c r="B1359" s="247" t="s">
        <v>514</v>
      </c>
      <c r="C1359" s="302" t="str">
        <f>"11159"</f>
        <v>11159</v>
      </c>
      <c r="D1359" s="247" t="s">
        <v>18</v>
      </c>
      <c r="E1359" s="248">
        <v>46</v>
      </c>
      <c r="F1359" s="249">
        <v>39890</v>
      </c>
      <c r="G1359" s="249">
        <v>44272</v>
      </c>
      <c r="H1359" s="247" t="s">
        <v>24</v>
      </c>
      <c r="I1359" s="250" t="s">
        <v>3369</v>
      </c>
    </row>
    <row r="1360" spans="1:9">
      <c r="A1360" s="246">
        <v>1356</v>
      </c>
      <c r="B1360" s="247" t="s">
        <v>515</v>
      </c>
      <c r="C1360" s="302" t="str">
        <f>"11179"</f>
        <v>11179</v>
      </c>
      <c r="D1360" s="247" t="s">
        <v>30</v>
      </c>
      <c r="E1360" s="248">
        <v>152</v>
      </c>
      <c r="F1360" s="249">
        <v>40144</v>
      </c>
      <c r="G1360" s="249">
        <v>41969</v>
      </c>
      <c r="H1360" s="247" t="s">
        <v>14</v>
      </c>
      <c r="I1360" s="250" t="s">
        <v>437</v>
      </c>
    </row>
    <row r="1361" spans="1:9">
      <c r="A1361" s="246">
        <v>1357</v>
      </c>
      <c r="B1361" s="247" t="s">
        <v>114</v>
      </c>
      <c r="C1361" s="302" t="str">
        <f>"11180"</f>
        <v>11180</v>
      </c>
      <c r="D1361" s="247" t="s">
        <v>30</v>
      </c>
      <c r="E1361" s="248">
        <v>99</v>
      </c>
      <c r="F1361" s="249">
        <v>41970</v>
      </c>
      <c r="G1361" s="249">
        <v>45022</v>
      </c>
      <c r="H1361" s="247" t="s">
        <v>14</v>
      </c>
      <c r="I1361" s="250" t="s">
        <v>3351</v>
      </c>
    </row>
    <row r="1362" spans="1:9">
      <c r="A1362" s="246">
        <v>1358</v>
      </c>
      <c r="B1362" s="247" t="s">
        <v>43</v>
      </c>
      <c r="C1362" s="302" t="str">
        <f>"11229"</f>
        <v>11229</v>
      </c>
      <c r="D1362" s="247" t="s">
        <v>13</v>
      </c>
      <c r="E1362" s="248">
        <v>21</v>
      </c>
      <c r="F1362" s="249">
        <v>39808</v>
      </c>
      <c r="G1362" s="249">
        <v>45385</v>
      </c>
      <c r="H1362" s="247" t="s">
        <v>16</v>
      </c>
      <c r="I1362" s="250" t="s">
        <v>79</v>
      </c>
    </row>
    <row r="1363" spans="1:9">
      <c r="A1363" s="246">
        <v>1359</v>
      </c>
      <c r="B1363" s="247" t="s">
        <v>3511</v>
      </c>
      <c r="C1363" s="302" t="str">
        <f>"11230"</f>
        <v>11230</v>
      </c>
      <c r="D1363" s="247" t="s">
        <v>21</v>
      </c>
      <c r="E1363" s="248">
        <v>5</v>
      </c>
      <c r="F1363" s="249">
        <v>40275</v>
      </c>
      <c r="G1363" s="249">
        <v>42100</v>
      </c>
      <c r="H1363" s="247" t="s">
        <v>22</v>
      </c>
      <c r="I1363" s="250" t="s">
        <v>438</v>
      </c>
    </row>
    <row r="1364" spans="1:9">
      <c r="A1364" s="246">
        <v>1360</v>
      </c>
      <c r="B1364" s="247" t="s">
        <v>3511</v>
      </c>
      <c r="C1364" s="302" t="str">
        <f>"11231"</f>
        <v>11231</v>
      </c>
      <c r="D1364" s="247" t="s">
        <v>21</v>
      </c>
      <c r="E1364" s="248">
        <v>5</v>
      </c>
      <c r="F1364" s="249">
        <v>40275</v>
      </c>
      <c r="G1364" s="249">
        <v>42100</v>
      </c>
      <c r="H1364" s="247" t="s">
        <v>22</v>
      </c>
      <c r="I1364" s="250" t="s">
        <v>438</v>
      </c>
    </row>
    <row r="1365" spans="1:9">
      <c r="A1365" s="246">
        <v>1361</v>
      </c>
      <c r="B1365" s="247" t="s">
        <v>3511</v>
      </c>
      <c r="C1365" s="302" t="str">
        <f>"11232"</f>
        <v>11232</v>
      </c>
      <c r="D1365" s="247" t="s">
        <v>21</v>
      </c>
      <c r="E1365" s="248">
        <v>5</v>
      </c>
      <c r="F1365" s="249">
        <v>40275</v>
      </c>
      <c r="G1365" s="249">
        <v>42100</v>
      </c>
      <c r="H1365" s="247" t="s">
        <v>22</v>
      </c>
      <c r="I1365" s="250" t="s">
        <v>438</v>
      </c>
    </row>
    <row r="1366" spans="1:9">
      <c r="A1366" s="246">
        <v>1362</v>
      </c>
      <c r="B1366" s="247" t="s">
        <v>3511</v>
      </c>
      <c r="C1366" s="302" t="str">
        <f>"11233"</f>
        <v>11233</v>
      </c>
      <c r="D1366" s="247" t="s">
        <v>21</v>
      </c>
      <c r="E1366" s="248">
        <v>5</v>
      </c>
      <c r="F1366" s="249">
        <v>40275</v>
      </c>
      <c r="G1366" s="249">
        <v>42100</v>
      </c>
      <c r="H1366" s="247" t="s">
        <v>22</v>
      </c>
      <c r="I1366" s="250" t="s">
        <v>438</v>
      </c>
    </row>
    <row r="1367" spans="1:9">
      <c r="A1367" s="246">
        <v>1363</v>
      </c>
      <c r="B1367" s="247" t="s">
        <v>3511</v>
      </c>
      <c r="C1367" s="302" t="str">
        <f>"11234"</f>
        <v>11234</v>
      </c>
      <c r="D1367" s="247" t="s">
        <v>21</v>
      </c>
      <c r="E1367" s="248">
        <v>4</v>
      </c>
      <c r="F1367" s="249">
        <v>40275</v>
      </c>
      <c r="G1367" s="249">
        <v>42100</v>
      </c>
      <c r="H1367" s="247" t="s">
        <v>22</v>
      </c>
      <c r="I1367" s="250" t="s">
        <v>438</v>
      </c>
    </row>
    <row r="1368" spans="1:9">
      <c r="A1368" s="246">
        <v>1364</v>
      </c>
      <c r="B1368" s="247" t="s">
        <v>3511</v>
      </c>
      <c r="C1368" s="302" t="str">
        <f>"11236"</f>
        <v>11236</v>
      </c>
      <c r="D1368" s="247" t="s">
        <v>21</v>
      </c>
      <c r="E1368" s="248">
        <v>4</v>
      </c>
      <c r="F1368" s="249">
        <v>40275</v>
      </c>
      <c r="G1368" s="249">
        <v>42100</v>
      </c>
      <c r="H1368" s="247" t="s">
        <v>22</v>
      </c>
      <c r="I1368" s="250" t="s">
        <v>438</v>
      </c>
    </row>
    <row r="1369" spans="1:9">
      <c r="A1369" s="246">
        <v>1365</v>
      </c>
      <c r="B1369" s="247" t="s">
        <v>3512</v>
      </c>
      <c r="C1369" s="302" t="str">
        <f>"11241"</f>
        <v>11241</v>
      </c>
      <c r="D1369" s="247" t="s">
        <v>23</v>
      </c>
      <c r="E1369" s="248">
        <v>5</v>
      </c>
      <c r="F1369" s="249">
        <v>39898</v>
      </c>
      <c r="G1369" s="249">
        <v>40262</v>
      </c>
      <c r="H1369" s="247" t="s">
        <v>22</v>
      </c>
      <c r="I1369" s="250" t="s">
        <v>437</v>
      </c>
    </row>
    <row r="1370" spans="1:9">
      <c r="A1370" s="246">
        <v>1366</v>
      </c>
      <c r="B1370" s="247" t="s">
        <v>3513</v>
      </c>
      <c r="C1370" s="302" t="str">
        <f>"11365"</f>
        <v>11365</v>
      </c>
      <c r="D1370" s="247" t="s">
        <v>18</v>
      </c>
      <c r="E1370" s="248">
        <v>97</v>
      </c>
      <c r="F1370" s="249">
        <v>41452</v>
      </c>
      <c r="G1370" s="249">
        <v>42181</v>
      </c>
      <c r="H1370" s="247" t="s">
        <v>22</v>
      </c>
      <c r="I1370" s="250" t="s">
        <v>438</v>
      </c>
    </row>
    <row r="1371" spans="1:9">
      <c r="A1371" s="246">
        <v>1367</v>
      </c>
      <c r="B1371" s="247" t="s">
        <v>98</v>
      </c>
      <c r="C1371" s="302" t="str">
        <f>"11367"</f>
        <v>11367</v>
      </c>
      <c r="D1371" s="247" t="s">
        <v>13</v>
      </c>
      <c r="E1371" s="248">
        <v>10</v>
      </c>
      <c r="F1371" s="249">
        <v>40709</v>
      </c>
      <c r="G1371" s="249">
        <v>51666</v>
      </c>
      <c r="H1371" s="247" t="s">
        <v>14</v>
      </c>
      <c r="I1371" s="250" t="s">
        <v>79</v>
      </c>
    </row>
    <row r="1372" spans="1:9">
      <c r="A1372" s="246">
        <v>1368</v>
      </c>
      <c r="B1372" s="247" t="s">
        <v>3514</v>
      </c>
      <c r="C1372" s="302" t="str">
        <f>"11372"</f>
        <v>11372</v>
      </c>
      <c r="D1372" s="247" t="s">
        <v>30</v>
      </c>
      <c r="E1372" s="248">
        <v>14</v>
      </c>
      <c r="F1372" s="249">
        <v>42530</v>
      </c>
      <c r="G1372" s="249">
        <v>44355</v>
      </c>
      <c r="H1372" s="247" t="s">
        <v>16</v>
      </c>
      <c r="I1372" s="250" t="s">
        <v>438</v>
      </c>
    </row>
    <row r="1373" spans="1:9">
      <c r="A1373" s="246">
        <v>1369</v>
      </c>
      <c r="B1373" s="247" t="s">
        <v>3514</v>
      </c>
      <c r="C1373" s="302" t="str">
        <f>"11373"</f>
        <v>11373</v>
      </c>
      <c r="D1373" s="247" t="s">
        <v>30</v>
      </c>
      <c r="E1373" s="248">
        <v>10</v>
      </c>
      <c r="F1373" s="249">
        <v>42530</v>
      </c>
      <c r="G1373" s="249">
        <v>44355</v>
      </c>
      <c r="H1373" s="247" t="s">
        <v>16</v>
      </c>
      <c r="I1373" s="250" t="s">
        <v>438</v>
      </c>
    </row>
    <row r="1374" spans="1:9">
      <c r="A1374" s="246">
        <v>1370</v>
      </c>
      <c r="B1374" s="247" t="s">
        <v>43</v>
      </c>
      <c r="C1374" s="302" t="str">
        <f>"11382"</f>
        <v>11382</v>
      </c>
      <c r="D1374" s="247" t="s">
        <v>13</v>
      </c>
      <c r="E1374" s="248">
        <v>2</v>
      </c>
      <c r="F1374" s="249">
        <v>41552</v>
      </c>
      <c r="G1374" s="249">
        <v>52508</v>
      </c>
      <c r="H1374" s="247" t="s">
        <v>14</v>
      </c>
      <c r="I1374" s="250" t="s">
        <v>79</v>
      </c>
    </row>
    <row r="1375" spans="1:9">
      <c r="A1375" s="246">
        <v>1371</v>
      </c>
      <c r="B1375" s="247" t="s">
        <v>100</v>
      </c>
      <c r="C1375" s="302" t="str">
        <f>"11383"</f>
        <v>11383</v>
      </c>
      <c r="D1375" s="247" t="s">
        <v>13</v>
      </c>
      <c r="E1375" s="248">
        <v>2</v>
      </c>
      <c r="F1375" s="249">
        <v>40246</v>
      </c>
      <c r="G1375" s="249">
        <v>51203</v>
      </c>
      <c r="H1375" s="247" t="s">
        <v>14</v>
      </c>
      <c r="I1375" s="250" t="s">
        <v>79</v>
      </c>
    </row>
    <row r="1376" spans="1:9">
      <c r="A1376" s="246">
        <v>1372</v>
      </c>
      <c r="B1376" s="247" t="s">
        <v>100</v>
      </c>
      <c r="C1376" s="302" t="str">
        <f>"11384"</f>
        <v>11384</v>
      </c>
      <c r="D1376" s="247" t="s">
        <v>13</v>
      </c>
      <c r="E1376" s="248">
        <v>9</v>
      </c>
      <c r="F1376" s="249">
        <v>40246</v>
      </c>
      <c r="G1376" s="249">
        <v>51203</v>
      </c>
      <c r="H1376" s="247" t="s">
        <v>14</v>
      </c>
      <c r="I1376" s="250" t="s">
        <v>79</v>
      </c>
    </row>
    <row r="1377" spans="1:9">
      <c r="A1377" s="246">
        <v>1373</v>
      </c>
      <c r="B1377" s="247" t="s">
        <v>100</v>
      </c>
      <c r="C1377" s="302" t="str">
        <f>"11385"</f>
        <v>11385</v>
      </c>
      <c r="D1377" s="247" t="s">
        <v>13</v>
      </c>
      <c r="E1377" s="248">
        <v>28</v>
      </c>
      <c r="F1377" s="249">
        <v>40246</v>
      </c>
      <c r="G1377" s="249">
        <v>51203</v>
      </c>
      <c r="H1377" s="247" t="s">
        <v>14</v>
      </c>
      <c r="I1377" s="250" t="s">
        <v>79</v>
      </c>
    </row>
    <row r="1378" spans="1:9">
      <c r="A1378" s="246">
        <v>1374</v>
      </c>
      <c r="B1378" s="247" t="s">
        <v>100</v>
      </c>
      <c r="C1378" s="302" t="str">
        <f>"11386"</f>
        <v>11386</v>
      </c>
      <c r="D1378" s="247" t="s">
        <v>13</v>
      </c>
      <c r="E1378" s="248">
        <v>1</v>
      </c>
      <c r="F1378" s="249">
        <v>40246</v>
      </c>
      <c r="G1378" s="249">
        <v>51203</v>
      </c>
      <c r="H1378" s="247" t="s">
        <v>14</v>
      </c>
      <c r="I1378" s="250" t="s">
        <v>79</v>
      </c>
    </row>
    <row r="1379" spans="1:9">
      <c r="A1379" s="246">
        <v>1375</v>
      </c>
      <c r="B1379" s="247" t="s">
        <v>100</v>
      </c>
      <c r="C1379" s="302" t="str">
        <f>"11387"</f>
        <v>11387</v>
      </c>
      <c r="D1379" s="247" t="s">
        <v>13</v>
      </c>
      <c r="E1379" s="248">
        <v>2</v>
      </c>
      <c r="F1379" s="249">
        <v>40246</v>
      </c>
      <c r="G1379" s="249">
        <v>51203</v>
      </c>
      <c r="H1379" s="247" t="s">
        <v>14</v>
      </c>
      <c r="I1379" s="250" t="s">
        <v>79</v>
      </c>
    </row>
    <row r="1380" spans="1:9">
      <c r="A1380" s="246">
        <v>1376</v>
      </c>
      <c r="B1380" s="247" t="s">
        <v>3515</v>
      </c>
      <c r="C1380" s="302" t="str">
        <f>"11398"</f>
        <v>11398</v>
      </c>
      <c r="D1380" s="247" t="s">
        <v>30</v>
      </c>
      <c r="E1380" s="248">
        <v>9</v>
      </c>
      <c r="F1380" s="249">
        <v>43377</v>
      </c>
      <c r="G1380" s="249">
        <v>45202</v>
      </c>
      <c r="H1380" s="247" t="s">
        <v>70</v>
      </c>
      <c r="I1380" s="250" t="s">
        <v>438</v>
      </c>
    </row>
    <row r="1381" spans="1:9">
      <c r="A1381" s="246">
        <v>1377</v>
      </c>
      <c r="B1381" s="247" t="s">
        <v>3515</v>
      </c>
      <c r="C1381" s="302" t="str">
        <f>"11400"</f>
        <v>11400</v>
      </c>
      <c r="D1381" s="247" t="s">
        <v>30</v>
      </c>
      <c r="E1381" s="248">
        <v>65</v>
      </c>
      <c r="F1381" s="249">
        <v>43389</v>
      </c>
      <c r="G1381" s="249">
        <v>45214</v>
      </c>
      <c r="H1381" s="247" t="s">
        <v>219</v>
      </c>
      <c r="I1381" s="250" t="s">
        <v>438</v>
      </c>
    </row>
    <row r="1382" spans="1:9">
      <c r="A1382" s="246">
        <v>1378</v>
      </c>
      <c r="B1382" s="247" t="s">
        <v>168</v>
      </c>
      <c r="C1382" s="302" t="str">
        <f>"11426"</f>
        <v>11426</v>
      </c>
      <c r="D1382" s="247" t="s">
        <v>21</v>
      </c>
      <c r="E1382" s="248">
        <v>1</v>
      </c>
      <c r="F1382" s="249">
        <v>43624</v>
      </c>
      <c r="G1382" s="249">
        <v>45450</v>
      </c>
      <c r="H1382" s="247" t="s">
        <v>89</v>
      </c>
      <c r="I1382" s="250" t="s">
        <v>79</v>
      </c>
    </row>
    <row r="1383" spans="1:9">
      <c r="A1383" s="246">
        <v>1379</v>
      </c>
      <c r="B1383" s="247" t="s">
        <v>3514</v>
      </c>
      <c r="C1383" s="302" t="str">
        <f>"11434"</f>
        <v>11434</v>
      </c>
      <c r="D1383" s="247" t="s">
        <v>30</v>
      </c>
      <c r="E1383" s="248">
        <v>21</v>
      </c>
      <c r="F1383" s="249">
        <v>42530</v>
      </c>
      <c r="G1383" s="249">
        <v>44355</v>
      </c>
      <c r="H1383" s="247" t="s">
        <v>16</v>
      </c>
      <c r="I1383" s="250" t="s">
        <v>438</v>
      </c>
    </row>
    <row r="1384" spans="1:9">
      <c r="A1384" s="246">
        <v>1380</v>
      </c>
      <c r="B1384" s="247" t="s">
        <v>135</v>
      </c>
      <c r="C1384" s="302" t="str">
        <f>"11447"</f>
        <v>11447</v>
      </c>
      <c r="D1384" s="247" t="s">
        <v>13</v>
      </c>
      <c r="E1384" s="248">
        <v>267</v>
      </c>
      <c r="F1384" s="249">
        <v>41771</v>
      </c>
      <c r="G1384" s="249">
        <v>47249</v>
      </c>
      <c r="H1384" s="247" t="s">
        <v>32</v>
      </c>
      <c r="I1384" s="250" t="s">
        <v>79</v>
      </c>
    </row>
    <row r="1385" spans="1:9">
      <c r="A1385" s="246">
        <v>1381</v>
      </c>
      <c r="B1385" s="247" t="s">
        <v>135</v>
      </c>
      <c r="C1385" s="302" t="str">
        <f>"11467"</f>
        <v>11467</v>
      </c>
      <c r="D1385" s="247" t="s">
        <v>13</v>
      </c>
      <c r="E1385" s="248">
        <v>281</v>
      </c>
      <c r="F1385" s="249">
        <v>41771</v>
      </c>
      <c r="G1385" s="249">
        <v>47249</v>
      </c>
      <c r="H1385" s="247" t="s">
        <v>32</v>
      </c>
      <c r="I1385" s="250" t="s">
        <v>79</v>
      </c>
    </row>
    <row r="1386" spans="1:9">
      <c r="A1386" s="246">
        <v>1382</v>
      </c>
      <c r="B1386" s="247" t="s">
        <v>135</v>
      </c>
      <c r="C1386" s="302" t="str">
        <f>"11468"</f>
        <v>11468</v>
      </c>
      <c r="D1386" s="247" t="s">
        <v>13</v>
      </c>
      <c r="E1386" s="248">
        <v>54</v>
      </c>
      <c r="F1386" s="249">
        <v>41771</v>
      </c>
      <c r="G1386" s="249">
        <v>47249</v>
      </c>
      <c r="H1386" s="247" t="s">
        <v>32</v>
      </c>
      <c r="I1386" s="250" t="s">
        <v>79</v>
      </c>
    </row>
    <row r="1387" spans="1:9">
      <c r="A1387" s="246">
        <v>1383</v>
      </c>
      <c r="B1387" s="247" t="s">
        <v>135</v>
      </c>
      <c r="C1387" s="302" t="str">
        <f>"11469"</f>
        <v>11469</v>
      </c>
      <c r="D1387" s="247" t="s">
        <v>13</v>
      </c>
      <c r="E1387" s="248">
        <v>108</v>
      </c>
      <c r="F1387" s="249">
        <v>39945</v>
      </c>
      <c r="G1387" s="249">
        <v>45423</v>
      </c>
      <c r="H1387" s="247" t="s">
        <v>32</v>
      </c>
      <c r="I1387" s="250" t="s">
        <v>79</v>
      </c>
    </row>
    <row r="1388" spans="1:9">
      <c r="A1388" s="246">
        <v>1384</v>
      </c>
      <c r="B1388" s="247" t="s">
        <v>135</v>
      </c>
      <c r="C1388" s="302" t="str">
        <f>"11470"</f>
        <v>11470</v>
      </c>
      <c r="D1388" s="247" t="s">
        <v>13</v>
      </c>
      <c r="E1388" s="248">
        <v>36</v>
      </c>
      <c r="F1388" s="249">
        <v>42159</v>
      </c>
      <c r="G1388" s="249">
        <v>47637</v>
      </c>
      <c r="H1388" s="247" t="s">
        <v>32</v>
      </c>
      <c r="I1388" s="250" t="s">
        <v>79</v>
      </c>
    </row>
    <row r="1389" spans="1:9">
      <c r="A1389" s="246">
        <v>1385</v>
      </c>
      <c r="B1389" s="247" t="s">
        <v>135</v>
      </c>
      <c r="C1389" s="302" t="str">
        <f>"11471"</f>
        <v>11471</v>
      </c>
      <c r="D1389" s="247" t="s">
        <v>13</v>
      </c>
      <c r="E1389" s="248">
        <v>133</v>
      </c>
      <c r="F1389" s="249">
        <v>41771</v>
      </c>
      <c r="G1389" s="249">
        <v>47249</v>
      </c>
      <c r="H1389" s="247" t="s">
        <v>32</v>
      </c>
      <c r="I1389" s="250" t="s">
        <v>79</v>
      </c>
    </row>
    <row r="1390" spans="1:9">
      <c r="A1390" s="246">
        <v>1386</v>
      </c>
      <c r="B1390" s="247" t="s">
        <v>135</v>
      </c>
      <c r="C1390" s="302" t="str">
        <f>"11472"</f>
        <v>11472</v>
      </c>
      <c r="D1390" s="247" t="s">
        <v>13</v>
      </c>
      <c r="E1390" s="248">
        <v>100</v>
      </c>
      <c r="F1390" s="249">
        <v>42159</v>
      </c>
      <c r="G1390" s="249">
        <v>47637</v>
      </c>
      <c r="H1390" s="247" t="s">
        <v>32</v>
      </c>
      <c r="I1390" s="250" t="s">
        <v>79</v>
      </c>
    </row>
    <row r="1391" spans="1:9">
      <c r="A1391" s="246">
        <v>1387</v>
      </c>
      <c r="B1391" s="247" t="s">
        <v>169</v>
      </c>
      <c r="C1391" s="302" t="str">
        <f>"11474"</f>
        <v>11474</v>
      </c>
      <c r="D1391" s="247" t="s">
        <v>163</v>
      </c>
      <c r="E1391" s="248">
        <v>2</v>
      </c>
      <c r="F1391" s="249">
        <v>39951</v>
      </c>
      <c r="G1391" s="249">
        <v>40315</v>
      </c>
      <c r="H1391" s="247" t="s">
        <v>22</v>
      </c>
      <c r="I1391" s="250" t="s">
        <v>79</v>
      </c>
    </row>
    <row r="1392" spans="1:9">
      <c r="A1392" s="246">
        <v>1388</v>
      </c>
      <c r="B1392" s="247" t="s">
        <v>1940</v>
      </c>
      <c r="C1392" s="302" t="str">
        <f>"11498"</f>
        <v>11498</v>
      </c>
      <c r="D1392" s="247" t="s">
        <v>18</v>
      </c>
      <c r="E1392" s="248">
        <v>400</v>
      </c>
      <c r="F1392" s="249">
        <v>41908</v>
      </c>
      <c r="G1392" s="249">
        <v>45290</v>
      </c>
      <c r="H1392" s="247" t="s">
        <v>59</v>
      </c>
      <c r="I1392" s="250" t="s">
        <v>3351</v>
      </c>
    </row>
    <row r="1393" spans="1:9">
      <c r="A1393" s="246">
        <v>1389</v>
      </c>
      <c r="B1393" s="247" t="s">
        <v>1940</v>
      </c>
      <c r="C1393" s="302" t="str">
        <f>"11501"</f>
        <v>11501</v>
      </c>
      <c r="D1393" s="247" t="s">
        <v>18</v>
      </c>
      <c r="E1393" s="248">
        <v>400</v>
      </c>
      <c r="F1393" s="249">
        <v>41908</v>
      </c>
      <c r="G1393" s="249">
        <v>44984</v>
      </c>
      <c r="H1393" s="247" t="s">
        <v>59</v>
      </c>
      <c r="I1393" s="250" t="s">
        <v>3351</v>
      </c>
    </row>
    <row r="1394" spans="1:9">
      <c r="A1394" s="246">
        <v>1390</v>
      </c>
      <c r="B1394" s="247" t="s">
        <v>121</v>
      </c>
      <c r="C1394" s="302" t="str">
        <f>"11505"</f>
        <v>11505</v>
      </c>
      <c r="D1394" s="247" t="s">
        <v>23</v>
      </c>
      <c r="E1394" s="248">
        <v>4</v>
      </c>
      <c r="F1394" s="249">
        <v>40673</v>
      </c>
      <c r="G1394" s="249">
        <v>41038</v>
      </c>
      <c r="H1394" s="247" t="s">
        <v>16</v>
      </c>
      <c r="I1394" s="250" t="s">
        <v>437</v>
      </c>
    </row>
    <row r="1395" spans="1:9">
      <c r="A1395" s="246">
        <v>1391</v>
      </c>
      <c r="B1395" s="247" t="s">
        <v>121</v>
      </c>
      <c r="C1395" s="302" t="str">
        <f>"11506"</f>
        <v>11506</v>
      </c>
      <c r="D1395" s="247" t="s">
        <v>23</v>
      </c>
      <c r="E1395" s="248">
        <v>3</v>
      </c>
      <c r="F1395" s="249">
        <v>40308</v>
      </c>
      <c r="G1395" s="249">
        <v>41038</v>
      </c>
      <c r="H1395" s="247" t="s">
        <v>16</v>
      </c>
      <c r="I1395" s="250" t="s">
        <v>437</v>
      </c>
    </row>
    <row r="1396" spans="1:9">
      <c r="A1396" s="246">
        <v>1392</v>
      </c>
      <c r="B1396" s="247" t="s">
        <v>121</v>
      </c>
      <c r="C1396" s="302" t="str">
        <f>"11507"</f>
        <v>11507</v>
      </c>
      <c r="D1396" s="247" t="s">
        <v>23</v>
      </c>
      <c r="E1396" s="248">
        <v>5</v>
      </c>
      <c r="F1396" s="249">
        <v>40673</v>
      </c>
      <c r="G1396" s="249">
        <v>41038</v>
      </c>
      <c r="H1396" s="247" t="s">
        <v>16</v>
      </c>
      <c r="I1396" s="250" t="s">
        <v>437</v>
      </c>
    </row>
    <row r="1397" spans="1:9">
      <c r="A1397" s="246">
        <v>1393</v>
      </c>
      <c r="B1397" s="247" t="s">
        <v>121</v>
      </c>
      <c r="C1397" s="302" t="str">
        <f>"11508"</f>
        <v>11508</v>
      </c>
      <c r="D1397" s="247" t="s">
        <v>23</v>
      </c>
      <c r="E1397" s="248">
        <v>5</v>
      </c>
      <c r="F1397" s="249">
        <v>40673</v>
      </c>
      <c r="G1397" s="249">
        <v>41038</v>
      </c>
      <c r="H1397" s="247" t="s">
        <v>16</v>
      </c>
      <c r="I1397" s="250" t="s">
        <v>437</v>
      </c>
    </row>
    <row r="1398" spans="1:9">
      <c r="A1398" s="246">
        <v>1394</v>
      </c>
      <c r="B1398" s="247" t="s">
        <v>3516</v>
      </c>
      <c r="C1398" s="302" t="str">
        <f>"11515"</f>
        <v>11515</v>
      </c>
      <c r="D1398" s="247" t="s">
        <v>18</v>
      </c>
      <c r="E1398" s="248">
        <v>18</v>
      </c>
      <c r="F1398" s="249">
        <v>41490</v>
      </c>
      <c r="G1398" s="249">
        <v>42219</v>
      </c>
      <c r="H1398" s="247" t="s">
        <v>24</v>
      </c>
      <c r="I1398" s="250" t="s">
        <v>437</v>
      </c>
    </row>
    <row r="1399" spans="1:9">
      <c r="A1399" s="246">
        <v>1395</v>
      </c>
      <c r="B1399" s="247" t="s">
        <v>64</v>
      </c>
      <c r="C1399" s="302" t="str">
        <f>"11516"</f>
        <v>11516</v>
      </c>
      <c r="D1399" s="247" t="s">
        <v>13</v>
      </c>
      <c r="E1399" s="248">
        <v>4</v>
      </c>
      <c r="F1399" s="249">
        <v>44819</v>
      </c>
      <c r="G1399" s="249">
        <v>50297</v>
      </c>
      <c r="H1399" s="247" t="s">
        <v>14</v>
      </c>
      <c r="I1399" s="250" t="s">
        <v>79</v>
      </c>
    </row>
    <row r="1400" spans="1:9">
      <c r="A1400" s="246">
        <v>1396</v>
      </c>
      <c r="B1400" s="247" t="s">
        <v>64</v>
      </c>
      <c r="C1400" s="302" t="str">
        <f>"11517"</f>
        <v>11517</v>
      </c>
      <c r="D1400" s="247" t="s">
        <v>13</v>
      </c>
      <c r="E1400" s="248">
        <v>11</v>
      </c>
      <c r="F1400" s="249">
        <v>44819</v>
      </c>
      <c r="G1400" s="249">
        <v>50297</v>
      </c>
      <c r="H1400" s="247" t="s">
        <v>14</v>
      </c>
      <c r="I1400" s="250" t="s">
        <v>79</v>
      </c>
    </row>
    <row r="1401" spans="1:9">
      <c r="A1401" s="246">
        <v>1397</v>
      </c>
      <c r="B1401" s="247" t="s">
        <v>43</v>
      </c>
      <c r="C1401" s="302" t="str">
        <f>"11522"</f>
        <v>11522</v>
      </c>
      <c r="D1401" s="247" t="s">
        <v>13</v>
      </c>
      <c r="E1401" s="248">
        <v>3</v>
      </c>
      <c r="F1401" s="249">
        <v>40102</v>
      </c>
      <c r="G1401" s="249">
        <v>45384</v>
      </c>
      <c r="H1401" s="247" t="s">
        <v>16</v>
      </c>
      <c r="I1401" s="250" t="s">
        <v>79</v>
      </c>
    </row>
    <row r="1402" spans="1:9">
      <c r="A1402" s="246">
        <v>1398</v>
      </c>
      <c r="B1402" s="247" t="s">
        <v>513</v>
      </c>
      <c r="C1402" s="302" t="str">
        <f>"11536"</f>
        <v>11536</v>
      </c>
      <c r="D1402" s="247" t="s">
        <v>23</v>
      </c>
      <c r="E1402" s="248">
        <v>5</v>
      </c>
      <c r="F1402" s="249">
        <v>40082</v>
      </c>
      <c r="G1402" s="249">
        <v>40446</v>
      </c>
      <c r="H1402" s="247" t="s">
        <v>22</v>
      </c>
      <c r="I1402" s="250" t="s">
        <v>437</v>
      </c>
    </row>
    <row r="1403" spans="1:9">
      <c r="A1403" s="246">
        <v>1399</v>
      </c>
      <c r="B1403" s="247" t="s">
        <v>513</v>
      </c>
      <c r="C1403" s="302" t="str">
        <f>"11537"</f>
        <v>11537</v>
      </c>
      <c r="D1403" s="247" t="s">
        <v>23</v>
      </c>
      <c r="E1403" s="248">
        <v>3</v>
      </c>
      <c r="F1403" s="249">
        <v>40082</v>
      </c>
      <c r="G1403" s="249">
        <v>40446</v>
      </c>
      <c r="H1403" s="247" t="s">
        <v>22</v>
      </c>
      <c r="I1403" s="250" t="s">
        <v>437</v>
      </c>
    </row>
    <row r="1404" spans="1:9">
      <c r="A1404" s="246">
        <v>1400</v>
      </c>
      <c r="B1404" s="247" t="s">
        <v>513</v>
      </c>
      <c r="C1404" s="302" t="str">
        <f>"11538"</f>
        <v>11538</v>
      </c>
      <c r="D1404" s="247" t="s">
        <v>23</v>
      </c>
      <c r="E1404" s="248">
        <v>5</v>
      </c>
      <c r="F1404" s="249">
        <v>40082</v>
      </c>
      <c r="G1404" s="249">
        <v>40446</v>
      </c>
      <c r="H1404" s="247" t="s">
        <v>22</v>
      </c>
      <c r="I1404" s="250" t="s">
        <v>437</v>
      </c>
    </row>
    <row r="1405" spans="1:9">
      <c r="A1405" s="246">
        <v>1401</v>
      </c>
      <c r="B1405" s="247" t="s">
        <v>513</v>
      </c>
      <c r="C1405" s="302" t="str">
        <f>"11539"</f>
        <v>11539</v>
      </c>
      <c r="D1405" s="247" t="s">
        <v>23</v>
      </c>
      <c r="E1405" s="248">
        <v>4</v>
      </c>
      <c r="F1405" s="249">
        <v>40082</v>
      </c>
      <c r="G1405" s="249">
        <v>40446</v>
      </c>
      <c r="H1405" s="247" t="s">
        <v>22</v>
      </c>
      <c r="I1405" s="250" t="s">
        <v>437</v>
      </c>
    </row>
    <row r="1406" spans="1:9">
      <c r="A1406" s="246">
        <v>1402</v>
      </c>
      <c r="B1406" s="247" t="s">
        <v>513</v>
      </c>
      <c r="C1406" s="302" t="str">
        <f>"11540"</f>
        <v>11540</v>
      </c>
      <c r="D1406" s="247" t="s">
        <v>23</v>
      </c>
      <c r="E1406" s="248">
        <v>3</v>
      </c>
      <c r="F1406" s="249">
        <v>40091</v>
      </c>
      <c r="G1406" s="249">
        <v>40455</v>
      </c>
      <c r="H1406" s="247" t="s">
        <v>22</v>
      </c>
      <c r="I1406" s="250" t="s">
        <v>437</v>
      </c>
    </row>
    <row r="1407" spans="1:9">
      <c r="A1407" s="246">
        <v>1403</v>
      </c>
      <c r="B1407" s="247" t="s">
        <v>3517</v>
      </c>
      <c r="C1407" s="302" t="str">
        <f>"11541"</f>
        <v>11541</v>
      </c>
      <c r="D1407" s="247" t="s">
        <v>21</v>
      </c>
      <c r="E1407" s="248">
        <v>5</v>
      </c>
      <c r="F1407" s="249">
        <v>42281</v>
      </c>
      <c r="G1407" s="249">
        <v>44107</v>
      </c>
      <c r="H1407" s="247" t="s">
        <v>22</v>
      </c>
      <c r="I1407" s="250" t="s">
        <v>433</v>
      </c>
    </row>
    <row r="1408" spans="1:9">
      <c r="A1408" s="246">
        <v>1404</v>
      </c>
      <c r="B1408" s="247" t="s">
        <v>15</v>
      </c>
      <c r="C1408" s="302" t="str">
        <f>"11557"</f>
        <v>11557</v>
      </c>
      <c r="D1408" s="247" t="s">
        <v>13</v>
      </c>
      <c r="E1408" s="248">
        <v>28</v>
      </c>
      <c r="F1408" s="249">
        <v>40057</v>
      </c>
      <c r="G1408" s="249">
        <v>51013</v>
      </c>
      <c r="H1408" s="247" t="s">
        <v>16</v>
      </c>
      <c r="I1408" s="250" t="s">
        <v>3378</v>
      </c>
    </row>
    <row r="1409" spans="1:9">
      <c r="A1409" s="246">
        <v>1405</v>
      </c>
      <c r="B1409" s="247" t="s">
        <v>3514</v>
      </c>
      <c r="C1409" s="302" t="str">
        <f>"11558"</f>
        <v>11558</v>
      </c>
      <c r="D1409" s="247" t="s">
        <v>30</v>
      </c>
      <c r="E1409" s="248">
        <v>25</v>
      </c>
      <c r="F1409" s="249">
        <v>42530</v>
      </c>
      <c r="G1409" s="249">
        <v>44355</v>
      </c>
      <c r="H1409" s="247" t="s">
        <v>16</v>
      </c>
      <c r="I1409" s="250" t="s">
        <v>438</v>
      </c>
    </row>
    <row r="1410" spans="1:9">
      <c r="A1410" s="246">
        <v>1406</v>
      </c>
      <c r="B1410" s="247" t="s">
        <v>516</v>
      </c>
      <c r="C1410" s="302" t="str">
        <f>"11562"</f>
        <v>11562</v>
      </c>
      <c r="D1410" s="247" t="s">
        <v>21</v>
      </c>
      <c r="E1410" s="248">
        <v>2</v>
      </c>
      <c r="F1410" s="249">
        <v>41906</v>
      </c>
      <c r="G1410" s="249">
        <v>43731</v>
      </c>
      <c r="H1410" s="247" t="s">
        <v>89</v>
      </c>
      <c r="I1410" s="250" t="s">
        <v>3342</v>
      </c>
    </row>
    <row r="1411" spans="1:9">
      <c r="A1411" s="246">
        <v>1407</v>
      </c>
      <c r="B1411" s="247" t="s">
        <v>3518</v>
      </c>
      <c r="C1411" s="302" t="str">
        <f>"11595"</f>
        <v>11595</v>
      </c>
      <c r="D1411" s="247" t="s">
        <v>23</v>
      </c>
      <c r="E1411" s="248">
        <v>4</v>
      </c>
      <c r="F1411" s="249">
        <v>40613</v>
      </c>
      <c r="G1411" s="249">
        <v>40978</v>
      </c>
      <c r="H1411" s="247" t="s">
        <v>89</v>
      </c>
      <c r="I1411" s="250" t="s">
        <v>433</v>
      </c>
    </row>
    <row r="1412" spans="1:9">
      <c r="A1412" s="246">
        <v>1408</v>
      </c>
      <c r="B1412" s="247" t="s">
        <v>20</v>
      </c>
      <c r="C1412" s="302" t="str">
        <f>"11598"</f>
        <v>11598</v>
      </c>
      <c r="D1412" s="247" t="s">
        <v>21</v>
      </c>
      <c r="E1412" s="248">
        <v>3</v>
      </c>
      <c r="F1412" s="249">
        <v>42874</v>
      </c>
      <c r="G1412" s="249">
        <v>44699</v>
      </c>
      <c r="H1412" s="247" t="s">
        <v>22</v>
      </c>
      <c r="I1412" s="250" t="s">
        <v>3342</v>
      </c>
    </row>
    <row r="1413" spans="1:9">
      <c r="A1413" s="246">
        <v>1409</v>
      </c>
      <c r="B1413" s="247" t="s">
        <v>43</v>
      </c>
      <c r="C1413" s="302" t="str">
        <f>"11599"</f>
        <v>11599</v>
      </c>
      <c r="D1413" s="247" t="s">
        <v>13</v>
      </c>
      <c r="E1413" s="248">
        <v>26</v>
      </c>
      <c r="F1413" s="249">
        <v>40102</v>
      </c>
      <c r="G1413" s="249">
        <v>45385</v>
      </c>
      <c r="H1413" s="247" t="s">
        <v>16</v>
      </c>
      <c r="I1413" s="250" t="s">
        <v>79</v>
      </c>
    </row>
    <row r="1414" spans="1:9">
      <c r="A1414" s="246">
        <v>1410</v>
      </c>
      <c r="B1414" s="247" t="s">
        <v>43</v>
      </c>
      <c r="C1414" s="302" t="str">
        <f>"11600"</f>
        <v>11600</v>
      </c>
      <c r="D1414" s="247" t="s">
        <v>13</v>
      </c>
      <c r="E1414" s="248">
        <v>8</v>
      </c>
      <c r="F1414" s="249">
        <v>40102</v>
      </c>
      <c r="G1414" s="249">
        <v>45385</v>
      </c>
      <c r="H1414" s="247" t="s">
        <v>16</v>
      </c>
      <c r="I1414" s="250" t="s">
        <v>79</v>
      </c>
    </row>
    <row r="1415" spans="1:9">
      <c r="A1415" s="246">
        <v>1411</v>
      </c>
      <c r="B1415" s="247" t="s">
        <v>97</v>
      </c>
      <c r="C1415" s="302" t="str">
        <f>"11602"</f>
        <v>11602</v>
      </c>
      <c r="D1415" s="247" t="s">
        <v>13</v>
      </c>
      <c r="E1415" s="248">
        <v>2</v>
      </c>
      <c r="F1415" s="249">
        <v>40102</v>
      </c>
      <c r="G1415" s="249">
        <v>45385</v>
      </c>
      <c r="H1415" s="247" t="s">
        <v>16</v>
      </c>
      <c r="I1415" s="250" t="s">
        <v>79</v>
      </c>
    </row>
    <row r="1416" spans="1:9">
      <c r="A1416" s="246">
        <v>1412</v>
      </c>
      <c r="B1416" s="247" t="s">
        <v>3519</v>
      </c>
      <c r="C1416" s="302" t="str">
        <f>"11616"</f>
        <v>11616</v>
      </c>
      <c r="D1416" s="247" t="s">
        <v>23</v>
      </c>
      <c r="E1416" s="248">
        <v>5</v>
      </c>
      <c r="F1416" s="249">
        <v>40458</v>
      </c>
      <c r="G1416" s="249">
        <v>40822</v>
      </c>
      <c r="H1416" s="247" t="s">
        <v>22</v>
      </c>
      <c r="I1416" s="250" t="s">
        <v>437</v>
      </c>
    </row>
    <row r="1417" spans="1:9">
      <c r="A1417" s="246">
        <v>1413</v>
      </c>
      <c r="B1417" s="247" t="s">
        <v>3519</v>
      </c>
      <c r="C1417" s="302" t="str">
        <f>"11617"</f>
        <v>11617</v>
      </c>
      <c r="D1417" s="247" t="s">
        <v>23</v>
      </c>
      <c r="E1417" s="248">
        <v>5</v>
      </c>
      <c r="F1417" s="249">
        <v>40458</v>
      </c>
      <c r="G1417" s="249">
        <v>40822</v>
      </c>
      <c r="H1417" s="247" t="s">
        <v>22</v>
      </c>
      <c r="I1417" s="250" t="s">
        <v>437</v>
      </c>
    </row>
    <row r="1418" spans="1:9">
      <c r="A1418" s="246">
        <v>1414</v>
      </c>
      <c r="B1418" s="247" t="s">
        <v>3519</v>
      </c>
      <c r="C1418" s="302" t="str">
        <f>"11619"</f>
        <v>11619</v>
      </c>
      <c r="D1418" s="247" t="s">
        <v>23</v>
      </c>
      <c r="E1418" s="248">
        <v>4</v>
      </c>
      <c r="F1418" s="249">
        <v>40458</v>
      </c>
      <c r="G1418" s="249">
        <v>40822</v>
      </c>
      <c r="H1418" s="247" t="s">
        <v>22</v>
      </c>
      <c r="I1418" s="250" t="s">
        <v>437</v>
      </c>
    </row>
    <row r="1419" spans="1:9">
      <c r="A1419" s="246">
        <v>1415</v>
      </c>
      <c r="B1419" s="247" t="s">
        <v>169</v>
      </c>
      <c r="C1419" s="302" t="str">
        <f>"11620"</f>
        <v>11620</v>
      </c>
      <c r="D1419" s="247" t="s">
        <v>163</v>
      </c>
      <c r="E1419" s="248">
        <v>4</v>
      </c>
      <c r="F1419" s="249">
        <v>40087</v>
      </c>
      <c r="G1419" s="249">
        <v>40451</v>
      </c>
      <c r="H1419" s="247" t="s">
        <v>22</v>
      </c>
      <c r="I1419" s="250" t="s">
        <v>79</v>
      </c>
    </row>
    <row r="1420" spans="1:9">
      <c r="A1420" s="246">
        <v>1416</v>
      </c>
      <c r="B1420" s="247" t="s">
        <v>169</v>
      </c>
      <c r="C1420" s="302" t="str">
        <f>"11621"</f>
        <v>11621</v>
      </c>
      <c r="D1420" s="247" t="s">
        <v>163</v>
      </c>
      <c r="E1420" s="248">
        <v>5</v>
      </c>
      <c r="F1420" s="249">
        <v>40087</v>
      </c>
      <c r="G1420" s="249">
        <v>40451</v>
      </c>
      <c r="H1420" s="247" t="s">
        <v>22</v>
      </c>
      <c r="I1420" s="250" t="s">
        <v>79</v>
      </c>
    </row>
    <row r="1421" spans="1:9">
      <c r="A1421" s="246">
        <v>1417</v>
      </c>
      <c r="B1421" s="247" t="s">
        <v>169</v>
      </c>
      <c r="C1421" s="302" t="str">
        <f>"11622"</f>
        <v>11622</v>
      </c>
      <c r="D1421" s="247" t="s">
        <v>163</v>
      </c>
      <c r="E1421" s="248">
        <v>5</v>
      </c>
      <c r="F1421" s="249">
        <v>40087</v>
      </c>
      <c r="G1421" s="249">
        <v>40451</v>
      </c>
      <c r="H1421" s="247" t="s">
        <v>22</v>
      </c>
      <c r="I1421" s="250" t="s">
        <v>79</v>
      </c>
    </row>
    <row r="1422" spans="1:9">
      <c r="A1422" s="246">
        <v>1418</v>
      </c>
      <c r="B1422" s="247" t="s">
        <v>169</v>
      </c>
      <c r="C1422" s="302" t="str">
        <f>"11623"</f>
        <v>11623</v>
      </c>
      <c r="D1422" s="247" t="s">
        <v>163</v>
      </c>
      <c r="E1422" s="248">
        <v>5</v>
      </c>
      <c r="F1422" s="249">
        <v>40087</v>
      </c>
      <c r="G1422" s="249">
        <v>40451</v>
      </c>
      <c r="H1422" s="247" t="s">
        <v>22</v>
      </c>
      <c r="I1422" s="250" t="s">
        <v>79</v>
      </c>
    </row>
    <row r="1423" spans="1:9">
      <c r="A1423" s="246">
        <v>1419</v>
      </c>
      <c r="B1423" s="247" t="s">
        <v>169</v>
      </c>
      <c r="C1423" s="302" t="str">
        <f>"11624"</f>
        <v>11624</v>
      </c>
      <c r="D1423" s="247" t="s">
        <v>163</v>
      </c>
      <c r="E1423" s="248">
        <v>5</v>
      </c>
      <c r="F1423" s="249">
        <v>42390</v>
      </c>
      <c r="G1423" s="249">
        <v>44216</v>
      </c>
      <c r="H1423" s="247" t="s">
        <v>22</v>
      </c>
      <c r="I1423" s="250" t="s">
        <v>79</v>
      </c>
    </row>
    <row r="1424" spans="1:9">
      <c r="A1424" s="246">
        <v>1420</v>
      </c>
      <c r="B1424" s="247" t="s">
        <v>3520</v>
      </c>
      <c r="C1424" s="302" t="str">
        <f>"11630"</f>
        <v>11630</v>
      </c>
      <c r="D1424" s="247" t="s">
        <v>18</v>
      </c>
      <c r="E1424" s="248">
        <v>3</v>
      </c>
      <c r="F1424" s="249">
        <v>40145</v>
      </c>
      <c r="G1424" s="249">
        <v>41605</v>
      </c>
      <c r="H1424" s="247" t="s">
        <v>26</v>
      </c>
      <c r="I1424" s="250" t="s">
        <v>438</v>
      </c>
    </row>
    <row r="1425" spans="1:9">
      <c r="A1425" s="246">
        <v>1421</v>
      </c>
      <c r="B1425" s="247" t="s">
        <v>3520</v>
      </c>
      <c r="C1425" s="302" t="str">
        <f>"11631"</f>
        <v>11631</v>
      </c>
      <c r="D1425" s="247" t="s">
        <v>18</v>
      </c>
      <c r="E1425" s="248">
        <v>36</v>
      </c>
      <c r="F1425" s="249">
        <v>40323</v>
      </c>
      <c r="G1425" s="249">
        <v>41783</v>
      </c>
      <c r="H1425" s="247" t="s">
        <v>84</v>
      </c>
      <c r="I1425" s="250" t="s">
        <v>438</v>
      </c>
    </row>
    <row r="1426" spans="1:9">
      <c r="A1426" s="246">
        <v>1422</v>
      </c>
      <c r="B1426" s="247" t="s">
        <v>3520</v>
      </c>
      <c r="C1426" s="302" t="str">
        <f>"11632"</f>
        <v>11632</v>
      </c>
      <c r="D1426" s="247" t="s">
        <v>18</v>
      </c>
      <c r="E1426" s="248">
        <v>47</v>
      </c>
      <c r="F1426" s="249">
        <v>40145</v>
      </c>
      <c r="G1426" s="249">
        <v>41605</v>
      </c>
      <c r="H1426" s="247" t="s">
        <v>84</v>
      </c>
      <c r="I1426" s="250" t="s">
        <v>433</v>
      </c>
    </row>
    <row r="1427" spans="1:9">
      <c r="A1427" s="246">
        <v>1423</v>
      </c>
      <c r="B1427" s="247" t="s">
        <v>3520</v>
      </c>
      <c r="C1427" s="302" t="str">
        <f>"11633"</f>
        <v>11633</v>
      </c>
      <c r="D1427" s="247" t="s">
        <v>18</v>
      </c>
      <c r="E1427" s="248">
        <v>40</v>
      </c>
      <c r="F1427" s="249">
        <v>40134</v>
      </c>
      <c r="G1427" s="249">
        <v>41594</v>
      </c>
      <c r="H1427" s="247" t="s">
        <v>24</v>
      </c>
      <c r="I1427" s="250" t="s">
        <v>438</v>
      </c>
    </row>
    <row r="1428" spans="1:9">
      <c r="A1428" s="246">
        <v>1424</v>
      </c>
      <c r="B1428" s="247" t="s">
        <v>3520</v>
      </c>
      <c r="C1428" s="302" t="str">
        <f>"11634"</f>
        <v>11634</v>
      </c>
      <c r="D1428" s="247" t="s">
        <v>18</v>
      </c>
      <c r="E1428" s="248">
        <v>30</v>
      </c>
      <c r="F1428" s="249">
        <v>40134</v>
      </c>
      <c r="G1428" s="249">
        <v>41594</v>
      </c>
      <c r="H1428" s="247" t="s">
        <v>219</v>
      </c>
      <c r="I1428" s="250" t="s">
        <v>438</v>
      </c>
    </row>
    <row r="1429" spans="1:9">
      <c r="A1429" s="246">
        <v>1425</v>
      </c>
      <c r="B1429" s="247" t="s">
        <v>3514</v>
      </c>
      <c r="C1429" s="302" t="str">
        <f>"11648"</f>
        <v>11648</v>
      </c>
      <c r="D1429" s="247" t="s">
        <v>30</v>
      </c>
      <c r="E1429" s="248">
        <v>17</v>
      </c>
      <c r="F1429" s="249">
        <v>42530</v>
      </c>
      <c r="G1429" s="249">
        <v>44355</v>
      </c>
      <c r="H1429" s="247" t="s">
        <v>16</v>
      </c>
      <c r="I1429" s="250" t="s">
        <v>438</v>
      </c>
    </row>
    <row r="1430" spans="1:9">
      <c r="A1430" s="246">
        <v>1426</v>
      </c>
      <c r="B1430" s="247" t="s">
        <v>511</v>
      </c>
      <c r="C1430" s="302" t="str">
        <f>"11655"</f>
        <v>11655</v>
      </c>
      <c r="D1430" s="247" t="s">
        <v>18</v>
      </c>
      <c r="E1430" s="248">
        <v>13</v>
      </c>
      <c r="F1430" s="249">
        <v>40184</v>
      </c>
      <c r="G1430" s="249">
        <v>42009</v>
      </c>
      <c r="H1430" s="247" t="s">
        <v>25</v>
      </c>
      <c r="I1430" s="250" t="s">
        <v>3369</v>
      </c>
    </row>
    <row r="1431" spans="1:9">
      <c r="A1431" s="246">
        <v>1427</v>
      </c>
      <c r="B1431" s="247" t="s">
        <v>511</v>
      </c>
      <c r="C1431" s="302" t="str">
        <f>"11656"</f>
        <v>11656</v>
      </c>
      <c r="D1431" s="247" t="s">
        <v>18</v>
      </c>
      <c r="E1431" s="248">
        <v>3</v>
      </c>
      <c r="F1431" s="249">
        <v>40184</v>
      </c>
      <c r="G1431" s="249">
        <v>42009</v>
      </c>
      <c r="H1431" s="247" t="s">
        <v>14</v>
      </c>
      <c r="I1431" s="250" t="s">
        <v>3369</v>
      </c>
    </row>
    <row r="1432" spans="1:9">
      <c r="A1432" s="246">
        <v>1428</v>
      </c>
      <c r="B1432" s="247" t="s">
        <v>511</v>
      </c>
      <c r="C1432" s="302" t="str">
        <f>"11657"</f>
        <v>11657</v>
      </c>
      <c r="D1432" s="247" t="s">
        <v>18</v>
      </c>
      <c r="E1432" s="248">
        <v>4</v>
      </c>
      <c r="F1432" s="249">
        <v>40184</v>
      </c>
      <c r="G1432" s="249">
        <v>42009</v>
      </c>
      <c r="H1432" s="247" t="s">
        <v>25</v>
      </c>
      <c r="I1432" s="250" t="s">
        <v>3369</v>
      </c>
    </row>
    <row r="1433" spans="1:9">
      <c r="A1433" s="246">
        <v>1429</v>
      </c>
      <c r="B1433" s="247" t="s">
        <v>511</v>
      </c>
      <c r="C1433" s="302" t="str">
        <f>"11658"</f>
        <v>11658</v>
      </c>
      <c r="D1433" s="247" t="s">
        <v>18</v>
      </c>
      <c r="E1433" s="248">
        <v>2</v>
      </c>
      <c r="F1433" s="249">
        <v>40184</v>
      </c>
      <c r="G1433" s="249">
        <v>42009</v>
      </c>
      <c r="H1433" s="247" t="s">
        <v>14</v>
      </c>
      <c r="I1433" s="250" t="s">
        <v>3369</v>
      </c>
    </row>
    <row r="1434" spans="1:9">
      <c r="A1434" s="246">
        <v>1430</v>
      </c>
      <c r="B1434" s="247" t="s">
        <v>517</v>
      </c>
      <c r="C1434" s="302" t="str">
        <f>"11664"</f>
        <v>11664</v>
      </c>
      <c r="D1434" s="247" t="s">
        <v>30</v>
      </c>
      <c r="E1434" s="248">
        <v>58</v>
      </c>
      <c r="F1434" s="249">
        <v>41928</v>
      </c>
      <c r="G1434" s="249">
        <v>43753</v>
      </c>
      <c r="H1434" s="247" t="s">
        <v>24</v>
      </c>
      <c r="I1434" s="250" t="s">
        <v>3359</v>
      </c>
    </row>
    <row r="1435" spans="1:9">
      <c r="A1435" s="246">
        <v>1431</v>
      </c>
      <c r="B1435" s="247" t="s">
        <v>3521</v>
      </c>
      <c r="C1435" s="302" t="str">
        <f>"11718"</f>
        <v>11718</v>
      </c>
      <c r="D1435" s="247" t="s">
        <v>18</v>
      </c>
      <c r="E1435" s="248">
        <v>160</v>
      </c>
      <c r="F1435" s="249">
        <v>40397</v>
      </c>
      <c r="G1435" s="249">
        <v>42222</v>
      </c>
      <c r="H1435" s="247" t="s">
        <v>84</v>
      </c>
      <c r="I1435" s="250" t="s">
        <v>438</v>
      </c>
    </row>
    <row r="1436" spans="1:9">
      <c r="A1436" s="246">
        <v>1432</v>
      </c>
      <c r="B1436" s="247" t="s">
        <v>3522</v>
      </c>
      <c r="C1436" s="302" t="str">
        <f>"11735"</f>
        <v>11735</v>
      </c>
      <c r="D1436" s="247" t="s">
        <v>18</v>
      </c>
      <c r="E1436" s="248">
        <v>10</v>
      </c>
      <c r="F1436" s="249">
        <v>41866</v>
      </c>
      <c r="G1436" s="249">
        <v>43691</v>
      </c>
      <c r="H1436" s="247" t="s">
        <v>22</v>
      </c>
      <c r="I1436" s="250" t="s">
        <v>438</v>
      </c>
    </row>
    <row r="1437" spans="1:9">
      <c r="A1437" s="246">
        <v>1433</v>
      </c>
      <c r="B1437" s="247" t="s">
        <v>518</v>
      </c>
      <c r="C1437" s="302" t="str">
        <f>"11737"</f>
        <v>11737</v>
      </c>
      <c r="D1437" s="247" t="s">
        <v>21</v>
      </c>
      <c r="E1437" s="248">
        <v>5</v>
      </c>
      <c r="F1437" s="249">
        <v>42487</v>
      </c>
      <c r="G1437" s="249">
        <v>44312</v>
      </c>
      <c r="H1437" s="247" t="s">
        <v>22</v>
      </c>
      <c r="I1437" s="250" t="s">
        <v>3342</v>
      </c>
    </row>
    <row r="1438" spans="1:9">
      <c r="A1438" s="246">
        <v>1434</v>
      </c>
      <c r="B1438" s="247" t="s">
        <v>518</v>
      </c>
      <c r="C1438" s="302" t="str">
        <f>"11738"</f>
        <v>11738</v>
      </c>
      <c r="D1438" s="247" t="s">
        <v>21</v>
      </c>
      <c r="E1438" s="248">
        <v>5</v>
      </c>
      <c r="F1438" s="249">
        <v>42487</v>
      </c>
      <c r="G1438" s="249">
        <v>44312</v>
      </c>
      <c r="H1438" s="247" t="s">
        <v>22</v>
      </c>
      <c r="I1438" s="250" t="s">
        <v>3342</v>
      </c>
    </row>
    <row r="1439" spans="1:9">
      <c r="A1439" s="246">
        <v>1435</v>
      </c>
      <c r="B1439" s="247" t="s">
        <v>518</v>
      </c>
      <c r="C1439" s="302" t="str">
        <f>"11739"</f>
        <v>11739</v>
      </c>
      <c r="D1439" s="247" t="s">
        <v>21</v>
      </c>
      <c r="E1439" s="248">
        <v>5</v>
      </c>
      <c r="F1439" s="249">
        <v>42487</v>
      </c>
      <c r="G1439" s="249">
        <v>44312</v>
      </c>
      <c r="H1439" s="247" t="s">
        <v>22</v>
      </c>
      <c r="I1439" s="250" t="s">
        <v>3342</v>
      </c>
    </row>
    <row r="1440" spans="1:9">
      <c r="A1440" s="246">
        <v>1436</v>
      </c>
      <c r="B1440" s="247" t="s">
        <v>102</v>
      </c>
      <c r="C1440" s="302" t="str">
        <f>"11751"</f>
        <v>11751</v>
      </c>
      <c r="D1440" s="247" t="s">
        <v>13</v>
      </c>
      <c r="E1440" s="248">
        <v>5</v>
      </c>
      <c r="F1440" s="249">
        <v>40158</v>
      </c>
      <c r="G1440" s="249">
        <v>51114</v>
      </c>
      <c r="H1440" s="247" t="s">
        <v>14</v>
      </c>
      <c r="I1440" s="250" t="s">
        <v>79</v>
      </c>
    </row>
    <row r="1441" spans="1:9">
      <c r="A1441" s="246">
        <v>1437</v>
      </c>
      <c r="B1441" s="247" t="s">
        <v>1923</v>
      </c>
      <c r="C1441" s="302" t="str">
        <f>"11765"</f>
        <v>11765</v>
      </c>
      <c r="D1441" s="247" t="s">
        <v>21</v>
      </c>
      <c r="E1441" s="248">
        <v>5</v>
      </c>
      <c r="F1441" s="249">
        <v>43012</v>
      </c>
      <c r="G1441" s="249">
        <v>44837</v>
      </c>
      <c r="H1441" s="247" t="s">
        <v>16</v>
      </c>
      <c r="I1441" s="250" t="s">
        <v>3342</v>
      </c>
    </row>
    <row r="1442" spans="1:9">
      <c r="A1442" s="246">
        <v>1438</v>
      </c>
      <c r="B1442" s="247" t="s">
        <v>1923</v>
      </c>
      <c r="C1442" s="302" t="str">
        <f>"11766"</f>
        <v>11766</v>
      </c>
      <c r="D1442" s="247" t="s">
        <v>21</v>
      </c>
      <c r="E1442" s="248">
        <v>5</v>
      </c>
      <c r="F1442" s="249">
        <v>43012</v>
      </c>
      <c r="G1442" s="249">
        <v>44837</v>
      </c>
      <c r="H1442" s="247" t="s">
        <v>16</v>
      </c>
      <c r="I1442" s="250" t="s">
        <v>3342</v>
      </c>
    </row>
    <row r="1443" spans="1:9">
      <c r="A1443" s="246">
        <v>1439</v>
      </c>
      <c r="B1443" s="247" t="s">
        <v>1923</v>
      </c>
      <c r="C1443" s="302" t="str">
        <f>"11767"</f>
        <v>11767</v>
      </c>
      <c r="D1443" s="247" t="s">
        <v>21</v>
      </c>
      <c r="E1443" s="248">
        <v>5</v>
      </c>
      <c r="F1443" s="249">
        <v>43012</v>
      </c>
      <c r="G1443" s="249">
        <v>44837</v>
      </c>
      <c r="H1443" s="247" t="s">
        <v>16</v>
      </c>
      <c r="I1443" s="250" t="s">
        <v>3342</v>
      </c>
    </row>
    <row r="1444" spans="1:9">
      <c r="A1444" s="246">
        <v>1440</v>
      </c>
      <c r="B1444" s="247" t="s">
        <v>1923</v>
      </c>
      <c r="C1444" s="302" t="str">
        <f>"11769"</f>
        <v>11769</v>
      </c>
      <c r="D1444" s="247" t="s">
        <v>21</v>
      </c>
      <c r="E1444" s="248">
        <v>5</v>
      </c>
      <c r="F1444" s="249">
        <v>43012</v>
      </c>
      <c r="G1444" s="249">
        <v>44837</v>
      </c>
      <c r="H1444" s="247" t="s">
        <v>16</v>
      </c>
      <c r="I1444" s="250" t="s">
        <v>3342</v>
      </c>
    </row>
    <row r="1445" spans="1:9">
      <c r="A1445" s="246">
        <v>1441</v>
      </c>
      <c r="B1445" s="247" t="s">
        <v>136</v>
      </c>
      <c r="C1445" s="302" t="str">
        <f>"11796"</f>
        <v>11796</v>
      </c>
      <c r="D1445" s="247" t="s">
        <v>18</v>
      </c>
      <c r="E1445" s="248">
        <v>280</v>
      </c>
      <c r="F1445" s="249">
        <v>40312</v>
      </c>
      <c r="G1445" s="249">
        <v>41772</v>
      </c>
      <c r="H1445" s="247" t="s">
        <v>32</v>
      </c>
      <c r="I1445" s="250" t="s">
        <v>79</v>
      </c>
    </row>
    <row r="1446" spans="1:9">
      <c r="A1446" s="246">
        <v>1442</v>
      </c>
      <c r="B1446" s="247" t="s">
        <v>136</v>
      </c>
      <c r="C1446" s="302" t="str">
        <f>"11797"</f>
        <v>11797</v>
      </c>
      <c r="D1446" s="247" t="s">
        <v>18</v>
      </c>
      <c r="E1446" s="248">
        <v>436</v>
      </c>
      <c r="F1446" s="249">
        <v>40312</v>
      </c>
      <c r="G1446" s="249">
        <v>41772</v>
      </c>
      <c r="H1446" s="247" t="s">
        <v>32</v>
      </c>
      <c r="I1446" s="250" t="s">
        <v>79</v>
      </c>
    </row>
    <row r="1447" spans="1:9">
      <c r="A1447" s="246">
        <v>1443</v>
      </c>
      <c r="B1447" s="247" t="s">
        <v>136</v>
      </c>
      <c r="C1447" s="302" t="str">
        <f>"11798"</f>
        <v>11798</v>
      </c>
      <c r="D1447" s="247" t="s">
        <v>18</v>
      </c>
      <c r="E1447" s="248">
        <v>348</v>
      </c>
      <c r="F1447" s="249">
        <v>40312</v>
      </c>
      <c r="G1447" s="249">
        <v>41772</v>
      </c>
      <c r="H1447" s="247" t="s">
        <v>32</v>
      </c>
      <c r="I1447" s="250" t="s">
        <v>79</v>
      </c>
    </row>
    <row r="1448" spans="1:9">
      <c r="A1448" s="246">
        <v>1444</v>
      </c>
      <c r="B1448" s="247" t="s">
        <v>136</v>
      </c>
      <c r="C1448" s="302" t="str">
        <f>"11800"</f>
        <v>11800</v>
      </c>
      <c r="D1448" s="247" t="s">
        <v>18</v>
      </c>
      <c r="E1448" s="248">
        <v>252</v>
      </c>
      <c r="F1448" s="249">
        <v>40312</v>
      </c>
      <c r="G1448" s="249">
        <v>41772</v>
      </c>
      <c r="H1448" s="247" t="s">
        <v>32</v>
      </c>
      <c r="I1448" s="250" t="s">
        <v>438</v>
      </c>
    </row>
    <row r="1449" spans="1:9">
      <c r="A1449" s="246">
        <v>1445</v>
      </c>
      <c r="B1449" s="247" t="s">
        <v>136</v>
      </c>
      <c r="C1449" s="302" t="str">
        <f>"11801"</f>
        <v>11801</v>
      </c>
      <c r="D1449" s="247" t="s">
        <v>18</v>
      </c>
      <c r="E1449" s="248">
        <v>140</v>
      </c>
      <c r="F1449" s="249">
        <v>40425</v>
      </c>
      <c r="G1449" s="249">
        <v>41885</v>
      </c>
      <c r="H1449" s="247" t="s">
        <v>32</v>
      </c>
      <c r="I1449" s="250" t="s">
        <v>79</v>
      </c>
    </row>
    <row r="1450" spans="1:9">
      <c r="A1450" s="246">
        <v>1446</v>
      </c>
      <c r="B1450" s="247" t="s">
        <v>136</v>
      </c>
      <c r="C1450" s="302" t="str">
        <f>"11816"</f>
        <v>11816</v>
      </c>
      <c r="D1450" s="247" t="s">
        <v>18</v>
      </c>
      <c r="E1450" s="248">
        <v>460</v>
      </c>
      <c r="F1450" s="249">
        <v>40312</v>
      </c>
      <c r="G1450" s="249">
        <v>41772</v>
      </c>
      <c r="H1450" s="247" t="s">
        <v>32</v>
      </c>
      <c r="I1450" s="250" t="s">
        <v>79</v>
      </c>
    </row>
    <row r="1451" spans="1:9">
      <c r="A1451" s="246">
        <v>1447</v>
      </c>
      <c r="B1451" s="247" t="s">
        <v>136</v>
      </c>
      <c r="C1451" s="302" t="str">
        <f>"11817"</f>
        <v>11817</v>
      </c>
      <c r="D1451" s="247" t="s">
        <v>18</v>
      </c>
      <c r="E1451" s="248">
        <v>370</v>
      </c>
      <c r="F1451" s="249">
        <v>40312</v>
      </c>
      <c r="G1451" s="249">
        <v>41772</v>
      </c>
      <c r="H1451" s="247" t="s">
        <v>32</v>
      </c>
      <c r="I1451" s="250" t="s">
        <v>79</v>
      </c>
    </row>
    <row r="1452" spans="1:9">
      <c r="A1452" s="246">
        <v>1448</v>
      </c>
      <c r="B1452" s="247" t="s">
        <v>3523</v>
      </c>
      <c r="C1452" s="302" t="str">
        <f>"11848"</f>
        <v>11848</v>
      </c>
      <c r="D1452" s="247" t="s">
        <v>21</v>
      </c>
      <c r="E1452" s="248">
        <v>5</v>
      </c>
      <c r="F1452" s="249">
        <v>42298</v>
      </c>
      <c r="G1452" s="249">
        <v>44124</v>
      </c>
      <c r="H1452" s="247" t="s">
        <v>19</v>
      </c>
      <c r="I1452" s="250" t="s">
        <v>438</v>
      </c>
    </row>
    <row r="1453" spans="1:9">
      <c r="A1453" s="246">
        <v>1449</v>
      </c>
      <c r="B1453" s="247" t="s">
        <v>3523</v>
      </c>
      <c r="C1453" s="302" t="str">
        <f>"11849"</f>
        <v>11849</v>
      </c>
      <c r="D1453" s="247" t="s">
        <v>21</v>
      </c>
      <c r="E1453" s="248">
        <v>5</v>
      </c>
      <c r="F1453" s="249">
        <v>42298</v>
      </c>
      <c r="G1453" s="249">
        <v>44124</v>
      </c>
      <c r="H1453" s="247" t="s">
        <v>19</v>
      </c>
      <c r="I1453" s="250" t="s">
        <v>438</v>
      </c>
    </row>
    <row r="1454" spans="1:9">
      <c r="A1454" s="246">
        <v>1450</v>
      </c>
      <c r="B1454" s="247" t="s">
        <v>3523</v>
      </c>
      <c r="C1454" s="302" t="str">
        <f>"11850"</f>
        <v>11850</v>
      </c>
      <c r="D1454" s="247" t="s">
        <v>21</v>
      </c>
      <c r="E1454" s="248">
        <v>5</v>
      </c>
      <c r="F1454" s="249">
        <v>42298</v>
      </c>
      <c r="G1454" s="249">
        <v>44124</v>
      </c>
      <c r="H1454" s="247" t="s">
        <v>19</v>
      </c>
      <c r="I1454" s="250" t="s">
        <v>438</v>
      </c>
    </row>
    <row r="1455" spans="1:9">
      <c r="A1455" s="246">
        <v>1451</v>
      </c>
      <c r="B1455" s="247" t="s">
        <v>3523</v>
      </c>
      <c r="C1455" s="302" t="str">
        <f>"11851"</f>
        <v>11851</v>
      </c>
      <c r="D1455" s="247" t="s">
        <v>21</v>
      </c>
      <c r="E1455" s="248">
        <v>5</v>
      </c>
      <c r="F1455" s="249">
        <v>42298</v>
      </c>
      <c r="G1455" s="249">
        <v>44124</v>
      </c>
      <c r="H1455" s="247" t="s">
        <v>19</v>
      </c>
      <c r="I1455" s="250" t="s">
        <v>438</v>
      </c>
    </row>
    <row r="1456" spans="1:9">
      <c r="A1456" s="246">
        <v>1452</v>
      </c>
      <c r="B1456" s="247" t="s">
        <v>3523</v>
      </c>
      <c r="C1456" s="302" t="str">
        <f>"11852"</f>
        <v>11852</v>
      </c>
      <c r="D1456" s="247" t="s">
        <v>21</v>
      </c>
      <c r="E1456" s="248">
        <v>5</v>
      </c>
      <c r="F1456" s="249">
        <v>42298</v>
      </c>
      <c r="G1456" s="249">
        <v>44124</v>
      </c>
      <c r="H1456" s="247" t="s">
        <v>19</v>
      </c>
      <c r="I1456" s="250" t="s">
        <v>438</v>
      </c>
    </row>
    <row r="1457" spans="1:9">
      <c r="A1457" s="246">
        <v>1453</v>
      </c>
      <c r="B1457" s="247" t="s">
        <v>3523</v>
      </c>
      <c r="C1457" s="302" t="str">
        <f>"11853"</f>
        <v>11853</v>
      </c>
      <c r="D1457" s="247" t="s">
        <v>21</v>
      </c>
      <c r="E1457" s="248">
        <v>5</v>
      </c>
      <c r="F1457" s="249">
        <v>42298</v>
      </c>
      <c r="G1457" s="249">
        <v>44124</v>
      </c>
      <c r="H1457" s="247" t="s">
        <v>19</v>
      </c>
      <c r="I1457" s="250" t="s">
        <v>438</v>
      </c>
    </row>
    <row r="1458" spans="1:9">
      <c r="A1458" s="246">
        <v>1454</v>
      </c>
      <c r="B1458" s="247" t="s">
        <v>3523</v>
      </c>
      <c r="C1458" s="302" t="str">
        <f>"11854"</f>
        <v>11854</v>
      </c>
      <c r="D1458" s="247" t="s">
        <v>21</v>
      </c>
      <c r="E1458" s="248">
        <v>5</v>
      </c>
      <c r="F1458" s="249">
        <v>42298</v>
      </c>
      <c r="G1458" s="249">
        <v>44124</v>
      </c>
      <c r="H1458" s="247" t="s">
        <v>19</v>
      </c>
      <c r="I1458" s="250" t="s">
        <v>438</v>
      </c>
    </row>
    <row r="1459" spans="1:9">
      <c r="A1459" s="246">
        <v>1455</v>
      </c>
      <c r="B1459" s="247" t="s">
        <v>3523</v>
      </c>
      <c r="C1459" s="302" t="str">
        <f>"11855"</f>
        <v>11855</v>
      </c>
      <c r="D1459" s="247" t="s">
        <v>21</v>
      </c>
      <c r="E1459" s="248">
        <v>5</v>
      </c>
      <c r="F1459" s="249">
        <v>42298</v>
      </c>
      <c r="G1459" s="249">
        <v>44124</v>
      </c>
      <c r="H1459" s="247" t="s">
        <v>19</v>
      </c>
      <c r="I1459" s="250" t="s">
        <v>438</v>
      </c>
    </row>
    <row r="1460" spans="1:9">
      <c r="A1460" s="246">
        <v>1456</v>
      </c>
      <c r="B1460" s="247" t="s">
        <v>3523</v>
      </c>
      <c r="C1460" s="302" t="str">
        <f>"11856"</f>
        <v>11856</v>
      </c>
      <c r="D1460" s="247" t="s">
        <v>21</v>
      </c>
      <c r="E1460" s="248">
        <v>5</v>
      </c>
      <c r="F1460" s="249">
        <v>42298</v>
      </c>
      <c r="G1460" s="249">
        <v>44124</v>
      </c>
      <c r="H1460" s="247" t="s">
        <v>19</v>
      </c>
      <c r="I1460" s="250" t="s">
        <v>438</v>
      </c>
    </row>
    <row r="1461" spans="1:9">
      <c r="A1461" s="246">
        <v>1457</v>
      </c>
      <c r="B1461" s="247" t="s">
        <v>72</v>
      </c>
      <c r="C1461" s="302" t="str">
        <f>"11859"</f>
        <v>11859</v>
      </c>
      <c r="D1461" s="247" t="s">
        <v>18</v>
      </c>
      <c r="E1461" s="248">
        <v>303</v>
      </c>
      <c r="F1461" s="249">
        <v>40326</v>
      </c>
      <c r="G1461" s="249">
        <v>42151</v>
      </c>
      <c r="H1461" s="247" t="s">
        <v>73</v>
      </c>
      <c r="I1461" s="250" t="s">
        <v>3342</v>
      </c>
    </row>
    <row r="1462" spans="1:9">
      <c r="A1462" s="246">
        <v>1458</v>
      </c>
      <c r="B1462" s="247" t="s">
        <v>72</v>
      </c>
      <c r="C1462" s="302" t="str">
        <f>"11861"</f>
        <v>11861</v>
      </c>
      <c r="D1462" s="247" t="s">
        <v>13</v>
      </c>
      <c r="E1462" s="248">
        <v>174</v>
      </c>
      <c r="F1462" s="249">
        <v>41793</v>
      </c>
      <c r="G1462" s="249">
        <v>52750</v>
      </c>
      <c r="H1462" s="247" t="s">
        <v>34</v>
      </c>
      <c r="I1462" s="250" t="s">
        <v>79</v>
      </c>
    </row>
    <row r="1463" spans="1:9">
      <c r="A1463" s="246">
        <v>1459</v>
      </c>
      <c r="B1463" s="247" t="s">
        <v>72</v>
      </c>
      <c r="C1463" s="302" t="str">
        <f>"11866"</f>
        <v>11866</v>
      </c>
      <c r="D1463" s="247" t="s">
        <v>18</v>
      </c>
      <c r="E1463" s="248">
        <v>235</v>
      </c>
      <c r="F1463" s="249">
        <v>40389</v>
      </c>
      <c r="G1463" s="249">
        <v>41849</v>
      </c>
      <c r="H1463" s="247" t="s">
        <v>34</v>
      </c>
      <c r="I1463" s="250" t="s">
        <v>3342</v>
      </c>
    </row>
    <row r="1464" spans="1:9">
      <c r="A1464" s="246">
        <v>1460</v>
      </c>
      <c r="B1464" s="247" t="s">
        <v>72</v>
      </c>
      <c r="C1464" s="302" t="str">
        <f>"11867"</f>
        <v>11867</v>
      </c>
      <c r="D1464" s="247" t="s">
        <v>18</v>
      </c>
      <c r="E1464" s="248">
        <v>235</v>
      </c>
      <c r="F1464" s="249">
        <v>40389</v>
      </c>
      <c r="G1464" s="249">
        <v>41849</v>
      </c>
      <c r="H1464" s="247" t="s">
        <v>34</v>
      </c>
      <c r="I1464" s="250" t="s">
        <v>3342</v>
      </c>
    </row>
    <row r="1465" spans="1:9">
      <c r="A1465" s="246">
        <v>1461</v>
      </c>
      <c r="B1465" s="247" t="s">
        <v>72</v>
      </c>
      <c r="C1465" s="302" t="str">
        <f>"11876"</f>
        <v>11876</v>
      </c>
      <c r="D1465" s="247" t="s">
        <v>18</v>
      </c>
      <c r="E1465" s="248">
        <v>230</v>
      </c>
      <c r="F1465" s="249">
        <v>43502</v>
      </c>
      <c r="G1465" s="249">
        <v>45327</v>
      </c>
      <c r="H1465" s="247" t="s">
        <v>73</v>
      </c>
      <c r="I1465" s="250" t="s">
        <v>433</v>
      </c>
    </row>
    <row r="1466" spans="1:9">
      <c r="A1466" s="246">
        <v>1462</v>
      </c>
      <c r="B1466" s="247" t="s">
        <v>72</v>
      </c>
      <c r="C1466" s="302" t="str">
        <f>"11877"</f>
        <v>11877</v>
      </c>
      <c r="D1466" s="247" t="s">
        <v>18</v>
      </c>
      <c r="E1466" s="248">
        <v>220</v>
      </c>
      <c r="F1466" s="249">
        <v>43496</v>
      </c>
      <c r="G1466" s="249">
        <v>45321</v>
      </c>
      <c r="H1466" s="247" t="s">
        <v>73</v>
      </c>
      <c r="I1466" s="250" t="s">
        <v>79</v>
      </c>
    </row>
    <row r="1467" spans="1:9">
      <c r="A1467" s="246">
        <v>1463</v>
      </c>
      <c r="B1467" s="247" t="s">
        <v>72</v>
      </c>
      <c r="C1467" s="302" t="str">
        <f>"11878"</f>
        <v>11878</v>
      </c>
      <c r="D1467" s="247" t="s">
        <v>18</v>
      </c>
      <c r="E1467" s="248">
        <v>220</v>
      </c>
      <c r="F1467" s="249">
        <v>43496</v>
      </c>
      <c r="G1467" s="249">
        <v>45321</v>
      </c>
      <c r="H1467" s="247" t="s">
        <v>73</v>
      </c>
      <c r="I1467" s="250" t="s">
        <v>79</v>
      </c>
    </row>
    <row r="1468" spans="1:9">
      <c r="A1468" s="246">
        <v>1464</v>
      </c>
      <c r="B1468" s="247" t="s">
        <v>72</v>
      </c>
      <c r="C1468" s="302" t="str">
        <f>"11879"</f>
        <v>11879</v>
      </c>
      <c r="D1468" s="247" t="s">
        <v>18</v>
      </c>
      <c r="E1468" s="248">
        <v>232</v>
      </c>
      <c r="F1468" s="249">
        <v>43496</v>
      </c>
      <c r="G1468" s="249">
        <v>45321</v>
      </c>
      <c r="H1468" s="247" t="s">
        <v>73</v>
      </c>
      <c r="I1468" s="250" t="s">
        <v>79</v>
      </c>
    </row>
    <row r="1469" spans="1:9">
      <c r="A1469" s="246">
        <v>1465</v>
      </c>
      <c r="B1469" s="247" t="s">
        <v>72</v>
      </c>
      <c r="C1469" s="302" t="str">
        <f>"11880"</f>
        <v>11880</v>
      </c>
      <c r="D1469" s="247" t="s">
        <v>18</v>
      </c>
      <c r="E1469" s="248">
        <v>230</v>
      </c>
      <c r="F1469" s="249">
        <v>40326</v>
      </c>
      <c r="G1469" s="249">
        <v>42151</v>
      </c>
      <c r="H1469" s="247" t="s">
        <v>73</v>
      </c>
      <c r="I1469" s="250" t="s">
        <v>3342</v>
      </c>
    </row>
    <row r="1470" spans="1:9">
      <c r="A1470" s="246">
        <v>1466</v>
      </c>
      <c r="B1470" s="247" t="s">
        <v>72</v>
      </c>
      <c r="C1470" s="302" t="str">
        <f>"11881"</f>
        <v>11881</v>
      </c>
      <c r="D1470" s="247" t="s">
        <v>18</v>
      </c>
      <c r="E1470" s="248">
        <v>92</v>
      </c>
      <c r="F1470" s="249">
        <v>43414</v>
      </c>
      <c r="G1470" s="249">
        <v>45239</v>
      </c>
      <c r="H1470" s="247" t="s">
        <v>73</v>
      </c>
      <c r="I1470" s="250" t="s">
        <v>79</v>
      </c>
    </row>
    <row r="1471" spans="1:9">
      <c r="A1471" s="246">
        <v>1467</v>
      </c>
      <c r="B1471" s="247" t="s">
        <v>3524</v>
      </c>
      <c r="C1471" s="302" t="str">
        <f>"11912"</f>
        <v>11912</v>
      </c>
      <c r="D1471" s="247" t="s">
        <v>21</v>
      </c>
      <c r="E1471" s="248">
        <v>1</v>
      </c>
      <c r="F1471" s="249">
        <v>42164</v>
      </c>
      <c r="G1471" s="249">
        <v>43990</v>
      </c>
      <c r="H1471" s="247" t="s">
        <v>14</v>
      </c>
      <c r="I1471" s="250" t="s">
        <v>3386</v>
      </c>
    </row>
    <row r="1472" spans="1:9">
      <c r="A1472" s="246">
        <v>1468</v>
      </c>
      <c r="B1472" s="247" t="s">
        <v>33</v>
      </c>
      <c r="C1472" s="302" t="str">
        <f>"11923"</f>
        <v>11923</v>
      </c>
      <c r="D1472" s="247" t="s">
        <v>13</v>
      </c>
      <c r="E1472" s="248">
        <v>462</v>
      </c>
      <c r="F1472" s="249">
        <v>41624</v>
      </c>
      <c r="G1472" s="249">
        <v>52580</v>
      </c>
      <c r="H1472" s="247" t="s">
        <v>34</v>
      </c>
      <c r="I1472" s="250" t="s">
        <v>79</v>
      </c>
    </row>
    <row r="1473" spans="1:9">
      <c r="A1473" s="246">
        <v>1469</v>
      </c>
      <c r="B1473" s="247" t="s">
        <v>33</v>
      </c>
      <c r="C1473" s="302" t="str">
        <f>"11924"</f>
        <v>11924</v>
      </c>
      <c r="D1473" s="247" t="s">
        <v>13</v>
      </c>
      <c r="E1473" s="248">
        <v>232</v>
      </c>
      <c r="F1473" s="249">
        <v>41624</v>
      </c>
      <c r="G1473" s="249">
        <v>52580</v>
      </c>
      <c r="H1473" s="247" t="s">
        <v>34</v>
      </c>
      <c r="I1473" s="250" t="s">
        <v>79</v>
      </c>
    </row>
    <row r="1474" spans="1:9">
      <c r="A1474" s="246">
        <v>1470</v>
      </c>
      <c r="B1474" s="247" t="s">
        <v>518</v>
      </c>
      <c r="C1474" s="302" t="str">
        <f>"11942"</f>
        <v>11942</v>
      </c>
      <c r="D1474" s="247" t="s">
        <v>21</v>
      </c>
      <c r="E1474" s="248">
        <v>4</v>
      </c>
      <c r="F1474" s="249">
        <v>42487</v>
      </c>
      <c r="G1474" s="249">
        <v>44312</v>
      </c>
      <c r="H1474" s="247" t="s">
        <v>22</v>
      </c>
      <c r="I1474" s="250" t="s">
        <v>3342</v>
      </c>
    </row>
    <row r="1475" spans="1:9">
      <c r="A1475" s="246">
        <v>1471</v>
      </c>
      <c r="B1475" s="247" t="s">
        <v>518</v>
      </c>
      <c r="C1475" s="302" t="str">
        <f>"11945"</f>
        <v>11945</v>
      </c>
      <c r="D1475" s="247" t="s">
        <v>21</v>
      </c>
      <c r="E1475" s="248">
        <v>5</v>
      </c>
      <c r="F1475" s="249">
        <v>42487</v>
      </c>
      <c r="G1475" s="249">
        <v>44312</v>
      </c>
      <c r="H1475" s="247" t="s">
        <v>22</v>
      </c>
      <c r="I1475" s="250" t="s">
        <v>3342</v>
      </c>
    </row>
    <row r="1476" spans="1:9">
      <c r="A1476" s="246">
        <v>1472</v>
      </c>
      <c r="B1476" s="247" t="s">
        <v>518</v>
      </c>
      <c r="C1476" s="302" t="str">
        <f>"11946"</f>
        <v>11946</v>
      </c>
      <c r="D1476" s="247" t="s">
        <v>21</v>
      </c>
      <c r="E1476" s="248">
        <v>5</v>
      </c>
      <c r="F1476" s="249">
        <v>42487</v>
      </c>
      <c r="G1476" s="249">
        <v>44312</v>
      </c>
      <c r="H1476" s="247" t="s">
        <v>22</v>
      </c>
      <c r="I1476" s="250" t="s">
        <v>3342</v>
      </c>
    </row>
    <row r="1477" spans="1:9">
      <c r="A1477" s="246">
        <v>1473</v>
      </c>
      <c r="B1477" s="247" t="s">
        <v>518</v>
      </c>
      <c r="C1477" s="302" t="str">
        <f>"11947"</f>
        <v>11947</v>
      </c>
      <c r="D1477" s="247" t="s">
        <v>21</v>
      </c>
      <c r="E1477" s="248">
        <v>5</v>
      </c>
      <c r="F1477" s="249">
        <v>42487</v>
      </c>
      <c r="G1477" s="249">
        <v>44312</v>
      </c>
      <c r="H1477" s="247" t="s">
        <v>22</v>
      </c>
      <c r="I1477" s="250" t="s">
        <v>3342</v>
      </c>
    </row>
    <row r="1478" spans="1:9">
      <c r="A1478" s="246">
        <v>1474</v>
      </c>
      <c r="B1478" s="247" t="s">
        <v>3525</v>
      </c>
      <c r="C1478" s="302" t="str">
        <f>"11967"</f>
        <v>11967</v>
      </c>
      <c r="D1478" s="247" t="s">
        <v>21</v>
      </c>
      <c r="E1478" s="248">
        <v>5</v>
      </c>
      <c r="F1478" s="249">
        <v>42198</v>
      </c>
      <c r="G1478" s="249">
        <v>44024</v>
      </c>
      <c r="H1478" s="247" t="s">
        <v>22</v>
      </c>
      <c r="I1478" s="250" t="s">
        <v>438</v>
      </c>
    </row>
    <row r="1479" spans="1:9">
      <c r="A1479" s="246">
        <v>1475</v>
      </c>
      <c r="B1479" s="247" t="s">
        <v>3526</v>
      </c>
      <c r="C1479" s="302" t="str">
        <f>"12019"</f>
        <v>12019</v>
      </c>
      <c r="D1479" s="247" t="s">
        <v>21</v>
      </c>
      <c r="E1479" s="248">
        <v>4</v>
      </c>
      <c r="F1479" s="249">
        <v>43278</v>
      </c>
      <c r="G1479" s="249">
        <v>45103</v>
      </c>
      <c r="H1479" s="247" t="s">
        <v>14</v>
      </c>
      <c r="I1479" s="250" t="s">
        <v>438</v>
      </c>
    </row>
    <row r="1480" spans="1:9">
      <c r="A1480" s="246">
        <v>1476</v>
      </c>
      <c r="B1480" s="247" t="s">
        <v>3526</v>
      </c>
      <c r="C1480" s="302" t="str">
        <f>"12021"</f>
        <v>12021</v>
      </c>
      <c r="D1480" s="247" t="s">
        <v>21</v>
      </c>
      <c r="E1480" s="248">
        <v>4</v>
      </c>
      <c r="F1480" s="249">
        <v>43278</v>
      </c>
      <c r="G1480" s="249">
        <v>45103</v>
      </c>
      <c r="H1480" s="247" t="s">
        <v>14</v>
      </c>
      <c r="I1480" s="250" t="s">
        <v>438</v>
      </c>
    </row>
    <row r="1481" spans="1:9">
      <c r="A1481" s="246">
        <v>1477</v>
      </c>
      <c r="B1481" s="247" t="s">
        <v>519</v>
      </c>
      <c r="C1481" s="302" t="str">
        <f>"12022"</f>
        <v>12022</v>
      </c>
      <c r="D1481" s="247" t="s">
        <v>13</v>
      </c>
      <c r="E1481" s="248">
        <v>42</v>
      </c>
      <c r="F1481" s="249">
        <v>40292</v>
      </c>
      <c r="G1481" s="249">
        <v>42584</v>
      </c>
      <c r="H1481" s="247" t="s">
        <v>31</v>
      </c>
      <c r="I1481" s="250" t="s">
        <v>438</v>
      </c>
    </row>
    <row r="1482" spans="1:9">
      <c r="A1482" s="246">
        <v>1478</v>
      </c>
      <c r="B1482" s="247" t="s">
        <v>519</v>
      </c>
      <c r="C1482" s="302" t="str">
        <f>"12023"</f>
        <v>12023</v>
      </c>
      <c r="D1482" s="247" t="s">
        <v>13</v>
      </c>
      <c r="E1482" s="248">
        <v>462</v>
      </c>
      <c r="F1482" s="249">
        <v>40292</v>
      </c>
      <c r="G1482" s="249">
        <v>42003</v>
      </c>
      <c r="H1482" s="247" t="s">
        <v>31</v>
      </c>
      <c r="I1482" s="250" t="s">
        <v>3359</v>
      </c>
    </row>
    <row r="1483" spans="1:9">
      <c r="A1483" s="246">
        <v>1479</v>
      </c>
      <c r="B1483" s="247" t="s">
        <v>519</v>
      </c>
      <c r="C1483" s="302" t="str">
        <f>"12024"</f>
        <v>12024</v>
      </c>
      <c r="D1483" s="247" t="s">
        <v>13</v>
      </c>
      <c r="E1483" s="248">
        <v>296</v>
      </c>
      <c r="F1483" s="249">
        <v>42004</v>
      </c>
      <c r="G1483" s="249">
        <v>47482</v>
      </c>
      <c r="H1483" s="247" t="s">
        <v>31</v>
      </c>
      <c r="I1483" s="250" t="s">
        <v>3359</v>
      </c>
    </row>
    <row r="1484" spans="1:9">
      <c r="A1484" s="246">
        <v>1480</v>
      </c>
      <c r="B1484" s="247" t="s">
        <v>519</v>
      </c>
      <c r="C1484" s="302" t="str">
        <f>"12025"</f>
        <v>12025</v>
      </c>
      <c r="D1484" s="247" t="s">
        <v>13</v>
      </c>
      <c r="E1484" s="248">
        <v>204</v>
      </c>
      <c r="F1484" s="249">
        <v>42004</v>
      </c>
      <c r="G1484" s="249">
        <v>47482</v>
      </c>
      <c r="H1484" s="247" t="s">
        <v>31</v>
      </c>
      <c r="I1484" s="250" t="s">
        <v>3359</v>
      </c>
    </row>
    <row r="1485" spans="1:9">
      <c r="A1485" s="246">
        <v>1481</v>
      </c>
      <c r="B1485" s="247" t="s">
        <v>519</v>
      </c>
      <c r="C1485" s="302" t="str">
        <f>"12026"</f>
        <v>12026</v>
      </c>
      <c r="D1485" s="247" t="s">
        <v>13</v>
      </c>
      <c r="E1485" s="248">
        <v>278</v>
      </c>
      <c r="F1485" s="249">
        <v>42004</v>
      </c>
      <c r="G1485" s="249">
        <v>47482</v>
      </c>
      <c r="H1485" s="247" t="s">
        <v>31</v>
      </c>
      <c r="I1485" s="250" t="s">
        <v>437</v>
      </c>
    </row>
    <row r="1486" spans="1:9">
      <c r="A1486" s="246">
        <v>1482</v>
      </c>
      <c r="B1486" s="247" t="s">
        <v>519</v>
      </c>
      <c r="C1486" s="302" t="str">
        <f>"12027"</f>
        <v>12027</v>
      </c>
      <c r="D1486" s="247" t="s">
        <v>13</v>
      </c>
      <c r="E1486" s="248">
        <v>101</v>
      </c>
      <c r="F1486" s="249">
        <v>42004</v>
      </c>
      <c r="G1486" s="249">
        <v>47482</v>
      </c>
      <c r="H1486" s="247" t="s">
        <v>31</v>
      </c>
      <c r="I1486" s="250" t="s">
        <v>3359</v>
      </c>
    </row>
    <row r="1487" spans="1:9">
      <c r="A1487" s="246">
        <v>1483</v>
      </c>
      <c r="B1487" s="247" t="s">
        <v>519</v>
      </c>
      <c r="C1487" s="302" t="str">
        <f>"12028"</f>
        <v>12028</v>
      </c>
      <c r="D1487" s="247" t="s">
        <v>13</v>
      </c>
      <c r="E1487" s="248">
        <v>317</v>
      </c>
      <c r="F1487" s="249">
        <v>41949</v>
      </c>
      <c r="G1487" s="249">
        <v>47427</v>
      </c>
      <c r="H1487" s="247" t="s">
        <v>31</v>
      </c>
      <c r="I1487" s="250" t="s">
        <v>437</v>
      </c>
    </row>
    <row r="1488" spans="1:9">
      <c r="A1488" s="246">
        <v>1484</v>
      </c>
      <c r="B1488" s="247" t="s">
        <v>519</v>
      </c>
      <c r="C1488" s="302" t="str">
        <f>"12029"</f>
        <v>12029</v>
      </c>
      <c r="D1488" s="247" t="s">
        <v>13</v>
      </c>
      <c r="E1488" s="248">
        <v>351</v>
      </c>
      <c r="F1488" s="249">
        <v>41771</v>
      </c>
      <c r="G1488" s="249">
        <v>47249</v>
      </c>
      <c r="H1488" s="247" t="s">
        <v>31</v>
      </c>
      <c r="I1488" s="250" t="s">
        <v>437</v>
      </c>
    </row>
    <row r="1489" spans="1:9">
      <c r="A1489" s="246">
        <v>1485</v>
      </c>
      <c r="B1489" s="247" t="s">
        <v>519</v>
      </c>
      <c r="C1489" s="302" t="str">
        <f>"12032"</f>
        <v>12032</v>
      </c>
      <c r="D1489" s="247" t="s">
        <v>13</v>
      </c>
      <c r="E1489" s="248">
        <v>425</v>
      </c>
      <c r="F1489" s="249">
        <v>41771</v>
      </c>
      <c r="G1489" s="249">
        <v>47249</v>
      </c>
      <c r="H1489" s="247" t="s">
        <v>31</v>
      </c>
      <c r="I1489" s="250" t="s">
        <v>3359</v>
      </c>
    </row>
    <row r="1490" spans="1:9">
      <c r="A1490" s="246">
        <v>1486</v>
      </c>
      <c r="B1490" s="247" t="s">
        <v>519</v>
      </c>
      <c r="C1490" s="302" t="str">
        <f>"12033"</f>
        <v>12033</v>
      </c>
      <c r="D1490" s="247" t="s">
        <v>13</v>
      </c>
      <c r="E1490" s="248">
        <v>156</v>
      </c>
      <c r="F1490" s="249">
        <v>41771</v>
      </c>
      <c r="G1490" s="249">
        <v>47249</v>
      </c>
      <c r="H1490" s="247" t="s">
        <v>31</v>
      </c>
      <c r="I1490" s="250" t="s">
        <v>3359</v>
      </c>
    </row>
    <row r="1491" spans="1:9">
      <c r="A1491" s="246">
        <v>1487</v>
      </c>
      <c r="B1491" s="247" t="s">
        <v>169</v>
      </c>
      <c r="C1491" s="302" t="str">
        <f>"12037"</f>
        <v>12037</v>
      </c>
      <c r="D1491" s="247" t="s">
        <v>163</v>
      </c>
      <c r="E1491" s="248">
        <v>3</v>
      </c>
      <c r="F1491" s="249">
        <v>43073</v>
      </c>
      <c r="G1491" s="249">
        <v>44898</v>
      </c>
      <c r="H1491" s="247" t="s">
        <v>89</v>
      </c>
      <c r="I1491" s="250" t="s">
        <v>79</v>
      </c>
    </row>
    <row r="1492" spans="1:9">
      <c r="A1492" s="246">
        <v>1488</v>
      </c>
      <c r="B1492" s="247" t="s">
        <v>3527</v>
      </c>
      <c r="C1492" s="302" t="str">
        <f>"12074"</f>
        <v>12074</v>
      </c>
      <c r="D1492" s="247" t="s">
        <v>18</v>
      </c>
      <c r="E1492" s="248">
        <v>3</v>
      </c>
      <c r="F1492" s="249">
        <v>40428</v>
      </c>
      <c r="G1492" s="249">
        <v>41888</v>
      </c>
      <c r="H1492" s="247" t="s">
        <v>26</v>
      </c>
      <c r="I1492" s="250" t="s">
        <v>3386</v>
      </c>
    </row>
    <row r="1493" spans="1:9">
      <c r="A1493" s="246">
        <v>1489</v>
      </c>
      <c r="B1493" s="247" t="s">
        <v>72</v>
      </c>
      <c r="C1493" s="302" t="str">
        <f>"12084"</f>
        <v>12084</v>
      </c>
      <c r="D1493" s="247" t="s">
        <v>18</v>
      </c>
      <c r="E1493" s="248">
        <v>386</v>
      </c>
      <c r="F1493" s="249">
        <v>43083</v>
      </c>
      <c r="G1493" s="249">
        <v>44908</v>
      </c>
      <c r="H1493" s="247" t="s">
        <v>73</v>
      </c>
      <c r="I1493" s="250" t="s">
        <v>433</v>
      </c>
    </row>
    <row r="1494" spans="1:9">
      <c r="A1494" s="246">
        <v>1490</v>
      </c>
      <c r="B1494" s="247" t="s">
        <v>72</v>
      </c>
      <c r="C1494" s="302" t="str">
        <f>"12085"</f>
        <v>12085</v>
      </c>
      <c r="D1494" s="247" t="s">
        <v>18</v>
      </c>
      <c r="E1494" s="248">
        <v>213</v>
      </c>
      <c r="F1494" s="249">
        <v>43083</v>
      </c>
      <c r="G1494" s="249">
        <v>44908</v>
      </c>
      <c r="H1494" s="247" t="s">
        <v>73</v>
      </c>
      <c r="I1494" s="250" t="s">
        <v>79</v>
      </c>
    </row>
    <row r="1495" spans="1:9">
      <c r="A1495" s="246">
        <v>1491</v>
      </c>
      <c r="B1495" s="247" t="s">
        <v>3528</v>
      </c>
      <c r="C1495" s="302" t="str">
        <f>"12086"</f>
        <v>12086</v>
      </c>
      <c r="D1495" s="247" t="s">
        <v>21</v>
      </c>
      <c r="E1495" s="248">
        <v>2</v>
      </c>
      <c r="F1495" s="249">
        <v>41073</v>
      </c>
      <c r="G1495" s="249">
        <v>42898</v>
      </c>
      <c r="H1495" s="247" t="s">
        <v>22</v>
      </c>
      <c r="I1495" s="250" t="s">
        <v>3342</v>
      </c>
    </row>
    <row r="1496" spans="1:9">
      <c r="A1496" s="246">
        <v>1492</v>
      </c>
      <c r="B1496" s="247" t="s">
        <v>170</v>
      </c>
      <c r="C1496" s="302" t="str">
        <f>"12092"</f>
        <v>12092</v>
      </c>
      <c r="D1496" s="247" t="s">
        <v>13</v>
      </c>
      <c r="E1496" s="248">
        <v>1</v>
      </c>
      <c r="F1496" s="249">
        <v>40443</v>
      </c>
      <c r="G1496" s="249">
        <v>45385</v>
      </c>
      <c r="H1496" s="247" t="s">
        <v>16</v>
      </c>
      <c r="I1496" s="250" t="s">
        <v>79</v>
      </c>
    </row>
    <row r="1497" spans="1:9">
      <c r="A1497" s="246">
        <v>1493</v>
      </c>
      <c r="B1497" s="247" t="s">
        <v>170</v>
      </c>
      <c r="C1497" s="302" t="str">
        <f>"12093"</f>
        <v>12093</v>
      </c>
      <c r="D1497" s="247" t="s">
        <v>13</v>
      </c>
      <c r="E1497" s="248">
        <v>3</v>
      </c>
      <c r="F1497" s="249">
        <v>40443</v>
      </c>
      <c r="G1497" s="249">
        <v>45385</v>
      </c>
      <c r="H1497" s="247" t="s">
        <v>16</v>
      </c>
      <c r="I1497" s="250" t="s">
        <v>79</v>
      </c>
    </row>
    <row r="1498" spans="1:9">
      <c r="A1498" s="246">
        <v>1494</v>
      </c>
      <c r="B1498" s="247" t="s">
        <v>43</v>
      </c>
      <c r="C1498" s="302" t="str">
        <f>"12094"</f>
        <v>12094</v>
      </c>
      <c r="D1498" s="247" t="s">
        <v>13</v>
      </c>
      <c r="E1498" s="248">
        <v>2</v>
      </c>
      <c r="F1498" s="249">
        <v>39906</v>
      </c>
      <c r="G1498" s="249">
        <v>45384</v>
      </c>
      <c r="H1498" s="247" t="s">
        <v>14</v>
      </c>
      <c r="I1498" s="250" t="s">
        <v>79</v>
      </c>
    </row>
    <row r="1499" spans="1:9">
      <c r="A1499" s="246">
        <v>1495</v>
      </c>
      <c r="B1499" s="247" t="s">
        <v>3529</v>
      </c>
      <c r="C1499" s="302" t="str">
        <f>"12102"</f>
        <v>12102</v>
      </c>
      <c r="D1499" s="247" t="s">
        <v>18</v>
      </c>
      <c r="E1499" s="248">
        <v>20</v>
      </c>
      <c r="F1499" s="249">
        <v>40417</v>
      </c>
      <c r="G1499" s="249">
        <v>42242</v>
      </c>
      <c r="H1499" s="247" t="s">
        <v>84</v>
      </c>
      <c r="I1499" s="250" t="s">
        <v>438</v>
      </c>
    </row>
    <row r="1500" spans="1:9">
      <c r="A1500" s="246">
        <v>1496</v>
      </c>
      <c r="B1500" s="247" t="s">
        <v>125</v>
      </c>
      <c r="C1500" s="302" t="str">
        <f>"12107"</f>
        <v>12107</v>
      </c>
      <c r="D1500" s="247" t="s">
        <v>18</v>
      </c>
      <c r="E1500" s="248">
        <v>51</v>
      </c>
      <c r="F1500" s="249">
        <v>42248</v>
      </c>
      <c r="G1500" s="249">
        <v>43993</v>
      </c>
      <c r="H1500" s="247" t="s">
        <v>14</v>
      </c>
      <c r="I1500" s="250" t="s">
        <v>448</v>
      </c>
    </row>
    <row r="1501" spans="1:9">
      <c r="A1501" s="246">
        <v>1497</v>
      </c>
      <c r="B1501" s="247" t="s">
        <v>242</v>
      </c>
      <c r="C1501" s="302" t="str">
        <f>"12108"</f>
        <v>12108</v>
      </c>
      <c r="D1501" s="247" t="s">
        <v>18</v>
      </c>
      <c r="E1501" s="248">
        <v>109</v>
      </c>
      <c r="F1501" s="249">
        <v>40424</v>
      </c>
      <c r="G1501" s="249">
        <v>43410</v>
      </c>
      <c r="H1501" s="247" t="s">
        <v>14</v>
      </c>
      <c r="I1501" s="250" t="s">
        <v>3412</v>
      </c>
    </row>
    <row r="1502" spans="1:9">
      <c r="A1502" s="246">
        <v>1498</v>
      </c>
      <c r="B1502" s="247" t="s">
        <v>3530</v>
      </c>
      <c r="C1502" s="302" t="str">
        <f>"12109"</f>
        <v>12109</v>
      </c>
      <c r="D1502" s="247" t="s">
        <v>18</v>
      </c>
      <c r="E1502" s="248">
        <v>448</v>
      </c>
      <c r="F1502" s="249">
        <v>40424</v>
      </c>
      <c r="G1502" s="249">
        <v>44280</v>
      </c>
      <c r="H1502" s="247" t="s">
        <v>14</v>
      </c>
      <c r="I1502" s="250" t="s">
        <v>438</v>
      </c>
    </row>
    <row r="1503" spans="1:9">
      <c r="A1503" s="246">
        <v>1499</v>
      </c>
      <c r="B1503" s="247" t="s">
        <v>171</v>
      </c>
      <c r="C1503" s="302" t="str">
        <f>"12112"</f>
        <v>12112</v>
      </c>
      <c r="D1503" s="247" t="s">
        <v>13</v>
      </c>
      <c r="E1503" s="248">
        <v>17</v>
      </c>
      <c r="F1503" s="249">
        <v>42716</v>
      </c>
      <c r="G1503" s="249">
        <v>53672</v>
      </c>
      <c r="H1503" s="247" t="s">
        <v>16</v>
      </c>
      <c r="I1503" s="250" t="s">
        <v>79</v>
      </c>
    </row>
    <row r="1504" spans="1:9">
      <c r="A1504" s="246">
        <v>1500</v>
      </c>
      <c r="B1504" s="247" t="s">
        <v>15</v>
      </c>
      <c r="C1504" s="302" t="str">
        <f>"12113"</f>
        <v>12113</v>
      </c>
      <c r="D1504" s="247" t="s">
        <v>13</v>
      </c>
      <c r="E1504" s="248">
        <v>90</v>
      </c>
      <c r="F1504" s="249">
        <v>41144</v>
      </c>
      <c r="G1504" s="249">
        <v>52100</v>
      </c>
      <c r="H1504" s="247" t="s">
        <v>14</v>
      </c>
      <c r="I1504" s="250" t="s">
        <v>79</v>
      </c>
    </row>
    <row r="1505" spans="1:9">
      <c r="A1505" s="246">
        <v>1501</v>
      </c>
      <c r="B1505" s="247" t="s">
        <v>172</v>
      </c>
      <c r="C1505" s="302" t="str">
        <f>"12114"</f>
        <v>12114</v>
      </c>
      <c r="D1505" s="247" t="s">
        <v>13</v>
      </c>
      <c r="E1505" s="248">
        <v>218</v>
      </c>
      <c r="F1505" s="249">
        <v>41705</v>
      </c>
      <c r="G1505" s="249">
        <v>52662</v>
      </c>
      <c r="H1505" s="247" t="s">
        <v>14</v>
      </c>
      <c r="I1505" s="250" t="s">
        <v>79</v>
      </c>
    </row>
    <row r="1506" spans="1:9">
      <c r="A1506" s="246">
        <v>1502</v>
      </c>
      <c r="B1506" s="247" t="s">
        <v>173</v>
      </c>
      <c r="C1506" s="302" t="str">
        <f>"12115"</f>
        <v>12115</v>
      </c>
      <c r="D1506" s="247" t="s">
        <v>13</v>
      </c>
      <c r="E1506" s="248">
        <v>40</v>
      </c>
      <c r="F1506" s="249">
        <v>43252</v>
      </c>
      <c r="G1506" s="249">
        <v>54209</v>
      </c>
      <c r="H1506" s="247" t="s">
        <v>16</v>
      </c>
      <c r="I1506" s="250" t="s">
        <v>79</v>
      </c>
    </row>
    <row r="1507" spans="1:9">
      <c r="A1507" s="246">
        <v>1503</v>
      </c>
      <c r="B1507" s="247" t="s">
        <v>1940</v>
      </c>
      <c r="C1507" s="302" t="str">
        <f>"12116"</f>
        <v>12116</v>
      </c>
      <c r="D1507" s="247" t="s">
        <v>18</v>
      </c>
      <c r="E1507" s="248">
        <v>135</v>
      </c>
      <c r="F1507" s="249">
        <v>40406</v>
      </c>
      <c r="G1507" s="249">
        <v>44691</v>
      </c>
      <c r="H1507" s="247" t="s">
        <v>14</v>
      </c>
      <c r="I1507" s="250" t="s">
        <v>3359</v>
      </c>
    </row>
    <row r="1508" spans="1:9">
      <c r="A1508" s="246">
        <v>1504</v>
      </c>
      <c r="B1508" s="247" t="s">
        <v>174</v>
      </c>
      <c r="C1508" s="302" t="str">
        <f>"12117"</f>
        <v>12117</v>
      </c>
      <c r="D1508" s="247" t="s">
        <v>13</v>
      </c>
      <c r="E1508" s="248">
        <v>65</v>
      </c>
      <c r="F1508" s="249">
        <v>42115</v>
      </c>
      <c r="G1508" s="249">
        <v>53072</v>
      </c>
      <c r="H1508" s="247" t="s">
        <v>14</v>
      </c>
      <c r="I1508" s="250" t="s">
        <v>79</v>
      </c>
    </row>
    <row r="1509" spans="1:9">
      <c r="A1509" s="246">
        <v>1505</v>
      </c>
      <c r="B1509" s="247" t="s">
        <v>41</v>
      </c>
      <c r="C1509" s="302" t="str">
        <f>"12123"</f>
        <v>12123</v>
      </c>
      <c r="D1509" s="247" t="s">
        <v>13</v>
      </c>
      <c r="E1509" s="248">
        <v>5</v>
      </c>
      <c r="F1509" s="249">
        <v>41024</v>
      </c>
      <c r="G1509" s="249">
        <v>51980</v>
      </c>
      <c r="H1509" s="247" t="s">
        <v>16</v>
      </c>
      <c r="I1509" s="250" t="s">
        <v>79</v>
      </c>
    </row>
    <row r="1510" spans="1:9">
      <c r="A1510" s="246">
        <v>1506</v>
      </c>
      <c r="B1510" s="247" t="s">
        <v>43</v>
      </c>
      <c r="C1510" s="302" t="str">
        <f>"12133"</f>
        <v>12133</v>
      </c>
      <c r="D1510" s="247" t="s">
        <v>13</v>
      </c>
      <c r="E1510" s="248">
        <v>2</v>
      </c>
      <c r="F1510" s="249">
        <v>40102</v>
      </c>
      <c r="G1510" s="249">
        <v>45385</v>
      </c>
      <c r="H1510" s="247" t="s">
        <v>16</v>
      </c>
      <c r="I1510" s="250" t="s">
        <v>79</v>
      </c>
    </row>
    <row r="1511" spans="1:9">
      <c r="A1511" s="246">
        <v>1507</v>
      </c>
      <c r="B1511" s="247" t="s">
        <v>3531</v>
      </c>
      <c r="C1511" s="302" t="str">
        <f>"12136"</f>
        <v>12136</v>
      </c>
      <c r="D1511" s="247" t="s">
        <v>18</v>
      </c>
      <c r="E1511" s="248">
        <v>50</v>
      </c>
      <c r="F1511" s="249">
        <v>40443</v>
      </c>
      <c r="G1511" s="249">
        <v>44460</v>
      </c>
      <c r="H1511" s="247" t="s">
        <v>84</v>
      </c>
      <c r="I1511" s="250" t="s">
        <v>3351</v>
      </c>
    </row>
    <row r="1512" spans="1:9">
      <c r="A1512" s="246">
        <v>1508</v>
      </c>
      <c r="B1512" s="247" t="s">
        <v>2480</v>
      </c>
      <c r="C1512" s="302" t="str">
        <f>"12161"</f>
        <v>12161</v>
      </c>
      <c r="D1512" s="247" t="s">
        <v>18</v>
      </c>
      <c r="E1512" s="248">
        <v>228</v>
      </c>
      <c r="F1512" s="249">
        <v>42778</v>
      </c>
      <c r="G1512" s="249">
        <v>44603</v>
      </c>
      <c r="H1512" s="247" t="s">
        <v>14</v>
      </c>
      <c r="I1512" s="250" t="s">
        <v>448</v>
      </c>
    </row>
    <row r="1513" spans="1:9">
      <c r="A1513" s="246">
        <v>1509</v>
      </c>
      <c r="B1513" s="247" t="s">
        <v>175</v>
      </c>
      <c r="C1513" s="302" t="str">
        <f>"12162"</f>
        <v>12162</v>
      </c>
      <c r="D1513" s="247" t="s">
        <v>13</v>
      </c>
      <c r="E1513" s="248">
        <v>140</v>
      </c>
      <c r="F1513" s="249">
        <v>44805</v>
      </c>
      <c r="G1513" s="249">
        <v>53935</v>
      </c>
      <c r="H1513" s="247" t="s">
        <v>14</v>
      </c>
      <c r="I1513" s="250" t="s">
        <v>79</v>
      </c>
    </row>
    <row r="1514" spans="1:9">
      <c r="A1514" s="246">
        <v>1510</v>
      </c>
      <c r="B1514" s="247" t="s">
        <v>2480</v>
      </c>
      <c r="C1514" s="302" t="str">
        <f>"12166"</f>
        <v>12166</v>
      </c>
      <c r="D1514" s="247" t="s">
        <v>18</v>
      </c>
      <c r="E1514" s="248">
        <v>118</v>
      </c>
      <c r="F1514" s="249">
        <v>42778</v>
      </c>
      <c r="G1514" s="249">
        <v>44603</v>
      </c>
      <c r="H1514" s="247" t="s">
        <v>14</v>
      </c>
      <c r="I1514" s="250" t="s">
        <v>448</v>
      </c>
    </row>
    <row r="1515" spans="1:9">
      <c r="A1515" s="246">
        <v>1511</v>
      </c>
      <c r="B1515" s="247" t="s">
        <v>2480</v>
      </c>
      <c r="C1515" s="302" t="str">
        <f>"12167"</f>
        <v>12167</v>
      </c>
      <c r="D1515" s="247" t="s">
        <v>18</v>
      </c>
      <c r="E1515" s="248">
        <v>107</v>
      </c>
      <c r="F1515" s="249">
        <v>42778</v>
      </c>
      <c r="G1515" s="249">
        <v>44603</v>
      </c>
      <c r="H1515" s="247" t="s">
        <v>14</v>
      </c>
      <c r="I1515" s="250" t="s">
        <v>448</v>
      </c>
    </row>
    <row r="1516" spans="1:9">
      <c r="A1516" s="246">
        <v>1512</v>
      </c>
      <c r="B1516" s="247" t="s">
        <v>2480</v>
      </c>
      <c r="C1516" s="302" t="str">
        <f>"12168"</f>
        <v>12168</v>
      </c>
      <c r="D1516" s="247" t="s">
        <v>18</v>
      </c>
      <c r="E1516" s="248">
        <v>119</v>
      </c>
      <c r="F1516" s="249">
        <v>42778</v>
      </c>
      <c r="G1516" s="249">
        <v>44603</v>
      </c>
      <c r="H1516" s="247" t="s">
        <v>14</v>
      </c>
      <c r="I1516" s="250" t="s">
        <v>448</v>
      </c>
    </row>
    <row r="1517" spans="1:9">
      <c r="A1517" s="246">
        <v>1513</v>
      </c>
      <c r="B1517" s="247" t="s">
        <v>2480</v>
      </c>
      <c r="C1517" s="302" t="str">
        <f>"12170"</f>
        <v>12170</v>
      </c>
      <c r="D1517" s="247" t="s">
        <v>18</v>
      </c>
      <c r="E1517" s="248">
        <v>153</v>
      </c>
      <c r="F1517" s="249">
        <v>42778</v>
      </c>
      <c r="G1517" s="249">
        <v>44603</v>
      </c>
      <c r="H1517" s="247" t="s">
        <v>14</v>
      </c>
      <c r="I1517" s="250" t="s">
        <v>448</v>
      </c>
    </row>
    <row r="1518" spans="1:9">
      <c r="A1518" s="246">
        <v>1514</v>
      </c>
      <c r="B1518" s="247" t="s">
        <v>175</v>
      </c>
      <c r="C1518" s="302" t="str">
        <f>"12172"</f>
        <v>12172</v>
      </c>
      <c r="D1518" s="247" t="s">
        <v>13</v>
      </c>
      <c r="E1518" s="248">
        <v>180</v>
      </c>
      <c r="F1518" s="249">
        <v>44805</v>
      </c>
      <c r="G1518" s="249">
        <v>53935</v>
      </c>
      <c r="H1518" s="247" t="s">
        <v>14</v>
      </c>
      <c r="I1518" s="250" t="s">
        <v>79</v>
      </c>
    </row>
    <row r="1519" spans="1:9">
      <c r="A1519" s="246">
        <v>1515</v>
      </c>
      <c r="B1519" s="247" t="s">
        <v>175</v>
      </c>
      <c r="C1519" s="302" t="str">
        <f>"12173"</f>
        <v>12173</v>
      </c>
      <c r="D1519" s="247" t="s">
        <v>13</v>
      </c>
      <c r="E1519" s="248">
        <v>115</v>
      </c>
      <c r="F1519" s="249">
        <v>44805</v>
      </c>
      <c r="G1519" s="249">
        <v>53935</v>
      </c>
      <c r="H1519" s="247" t="s">
        <v>14</v>
      </c>
      <c r="I1519" s="250" t="s">
        <v>79</v>
      </c>
    </row>
    <row r="1520" spans="1:9">
      <c r="A1520" s="246">
        <v>1516</v>
      </c>
      <c r="B1520" s="247" t="s">
        <v>2480</v>
      </c>
      <c r="C1520" s="302" t="str">
        <f>"12174"</f>
        <v>12174</v>
      </c>
      <c r="D1520" s="247" t="s">
        <v>18</v>
      </c>
      <c r="E1520" s="248">
        <v>119</v>
      </c>
      <c r="F1520" s="249">
        <v>42778</v>
      </c>
      <c r="G1520" s="249">
        <v>44603</v>
      </c>
      <c r="H1520" s="247" t="s">
        <v>14</v>
      </c>
      <c r="I1520" s="250" t="s">
        <v>448</v>
      </c>
    </row>
    <row r="1521" spans="1:9">
      <c r="A1521" s="246">
        <v>1517</v>
      </c>
      <c r="B1521" s="247" t="s">
        <v>175</v>
      </c>
      <c r="C1521" s="302" t="str">
        <f>"12175"</f>
        <v>12175</v>
      </c>
      <c r="D1521" s="247" t="s">
        <v>13</v>
      </c>
      <c r="E1521" s="248">
        <v>126</v>
      </c>
      <c r="F1521" s="249">
        <v>44805</v>
      </c>
      <c r="G1521" s="249">
        <v>53935</v>
      </c>
      <c r="H1521" s="247" t="s">
        <v>14</v>
      </c>
      <c r="I1521" s="250" t="s">
        <v>79</v>
      </c>
    </row>
    <row r="1522" spans="1:9">
      <c r="A1522" s="246">
        <v>1518</v>
      </c>
      <c r="B1522" s="247" t="s">
        <v>175</v>
      </c>
      <c r="C1522" s="302" t="str">
        <f>"12182"</f>
        <v>12182</v>
      </c>
      <c r="D1522" s="247" t="s">
        <v>13</v>
      </c>
      <c r="E1522" s="248">
        <v>200</v>
      </c>
      <c r="F1522" s="249">
        <v>44805</v>
      </c>
      <c r="G1522" s="249">
        <v>53935</v>
      </c>
      <c r="H1522" s="247" t="s">
        <v>14</v>
      </c>
      <c r="I1522" s="250" t="s">
        <v>79</v>
      </c>
    </row>
    <row r="1523" spans="1:9">
      <c r="A1523" s="246">
        <v>1519</v>
      </c>
      <c r="B1523" s="247" t="s">
        <v>175</v>
      </c>
      <c r="C1523" s="302" t="str">
        <f>"12183"</f>
        <v>12183</v>
      </c>
      <c r="D1523" s="247" t="s">
        <v>13</v>
      </c>
      <c r="E1523" s="248">
        <v>200</v>
      </c>
      <c r="F1523" s="249">
        <v>44805</v>
      </c>
      <c r="G1523" s="249">
        <v>53935</v>
      </c>
      <c r="H1523" s="247" t="s">
        <v>14</v>
      </c>
      <c r="I1523" s="250" t="s">
        <v>79</v>
      </c>
    </row>
    <row r="1524" spans="1:9">
      <c r="A1524" s="246">
        <v>1520</v>
      </c>
      <c r="B1524" s="247" t="s">
        <v>175</v>
      </c>
      <c r="C1524" s="302" t="str">
        <f>"12188"</f>
        <v>12188</v>
      </c>
      <c r="D1524" s="247" t="s">
        <v>13</v>
      </c>
      <c r="E1524" s="248">
        <v>175</v>
      </c>
      <c r="F1524" s="249">
        <v>44805</v>
      </c>
      <c r="G1524" s="249">
        <v>53935</v>
      </c>
      <c r="H1524" s="247" t="s">
        <v>14</v>
      </c>
      <c r="I1524" s="250" t="s">
        <v>79</v>
      </c>
    </row>
    <row r="1525" spans="1:9">
      <c r="A1525" s="246">
        <v>1521</v>
      </c>
      <c r="B1525" s="247" t="s">
        <v>2480</v>
      </c>
      <c r="C1525" s="302" t="str">
        <f>"12189"</f>
        <v>12189</v>
      </c>
      <c r="D1525" s="247" t="s">
        <v>18</v>
      </c>
      <c r="E1525" s="248">
        <v>199</v>
      </c>
      <c r="F1525" s="249">
        <v>42778</v>
      </c>
      <c r="G1525" s="249">
        <v>44603</v>
      </c>
      <c r="H1525" s="247" t="s">
        <v>14</v>
      </c>
      <c r="I1525" s="250" t="s">
        <v>448</v>
      </c>
    </row>
    <row r="1526" spans="1:9">
      <c r="A1526" s="246">
        <v>1522</v>
      </c>
      <c r="B1526" s="247" t="s">
        <v>2480</v>
      </c>
      <c r="C1526" s="302" t="str">
        <f>"12190"</f>
        <v>12190</v>
      </c>
      <c r="D1526" s="247" t="s">
        <v>18</v>
      </c>
      <c r="E1526" s="248">
        <v>142</v>
      </c>
      <c r="F1526" s="249">
        <v>42778</v>
      </c>
      <c r="G1526" s="249">
        <v>44603</v>
      </c>
      <c r="H1526" s="247" t="s">
        <v>14</v>
      </c>
      <c r="I1526" s="250" t="s">
        <v>448</v>
      </c>
    </row>
    <row r="1527" spans="1:9">
      <c r="A1527" s="246">
        <v>1523</v>
      </c>
      <c r="B1527" s="247" t="s">
        <v>3458</v>
      </c>
      <c r="C1527" s="302" t="str">
        <f>"12193"</f>
        <v>12193</v>
      </c>
      <c r="D1527" s="247" t="s">
        <v>23</v>
      </c>
      <c r="E1527" s="248">
        <v>2</v>
      </c>
      <c r="F1527" s="249">
        <v>40599</v>
      </c>
      <c r="G1527" s="249">
        <v>40963</v>
      </c>
      <c r="H1527" s="247" t="s">
        <v>89</v>
      </c>
      <c r="I1527" s="250" t="s">
        <v>437</v>
      </c>
    </row>
    <row r="1528" spans="1:9">
      <c r="A1528" s="246">
        <v>1524</v>
      </c>
      <c r="B1528" s="247" t="s">
        <v>3458</v>
      </c>
      <c r="C1528" s="302" t="str">
        <f>"12194"</f>
        <v>12194</v>
      </c>
      <c r="D1528" s="247" t="s">
        <v>23</v>
      </c>
      <c r="E1528" s="248">
        <v>4</v>
      </c>
      <c r="F1528" s="249">
        <v>40599</v>
      </c>
      <c r="G1528" s="249">
        <v>40963</v>
      </c>
      <c r="H1528" s="247" t="s">
        <v>89</v>
      </c>
      <c r="I1528" s="250" t="s">
        <v>437</v>
      </c>
    </row>
    <row r="1529" spans="1:9">
      <c r="A1529" s="246">
        <v>1525</v>
      </c>
      <c r="B1529" s="247" t="s">
        <v>3458</v>
      </c>
      <c r="C1529" s="302" t="str">
        <f>"12196"</f>
        <v>12196</v>
      </c>
      <c r="D1529" s="247" t="s">
        <v>23</v>
      </c>
      <c r="E1529" s="248">
        <v>4</v>
      </c>
      <c r="F1529" s="249">
        <v>40599</v>
      </c>
      <c r="G1529" s="249">
        <v>40963</v>
      </c>
      <c r="H1529" s="247" t="s">
        <v>89</v>
      </c>
      <c r="I1529" s="250" t="s">
        <v>437</v>
      </c>
    </row>
    <row r="1530" spans="1:9">
      <c r="A1530" s="246">
        <v>1526</v>
      </c>
      <c r="B1530" s="247" t="s">
        <v>176</v>
      </c>
      <c r="C1530" s="302" t="str">
        <f>"12198"</f>
        <v>12198</v>
      </c>
      <c r="D1530" s="247" t="s">
        <v>13</v>
      </c>
      <c r="E1530" s="248">
        <v>10</v>
      </c>
      <c r="F1530" s="249">
        <v>42300</v>
      </c>
      <c r="G1530" s="249">
        <v>53257</v>
      </c>
      <c r="H1530" s="247" t="s">
        <v>16</v>
      </c>
      <c r="I1530" s="250" t="s">
        <v>79</v>
      </c>
    </row>
    <row r="1531" spans="1:9">
      <c r="A1531" s="246">
        <v>1527</v>
      </c>
      <c r="B1531" s="247" t="s">
        <v>194</v>
      </c>
      <c r="C1531" s="302" t="str">
        <f>"12203"</f>
        <v>12203</v>
      </c>
      <c r="D1531" s="247" t="s">
        <v>18</v>
      </c>
      <c r="E1531" s="248">
        <v>294</v>
      </c>
      <c r="F1531" s="249">
        <v>40470</v>
      </c>
      <c r="G1531" s="249">
        <v>42295</v>
      </c>
      <c r="H1531" s="247" t="s">
        <v>70</v>
      </c>
      <c r="I1531" s="250" t="s">
        <v>448</v>
      </c>
    </row>
    <row r="1532" spans="1:9">
      <c r="A1532" s="246">
        <v>1528</v>
      </c>
      <c r="B1532" s="247" t="s">
        <v>194</v>
      </c>
      <c r="C1532" s="302" t="str">
        <f>"12204"</f>
        <v>12204</v>
      </c>
      <c r="D1532" s="247" t="s">
        <v>18</v>
      </c>
      <c r="E1532" s="248">
        <v>259</v>
      </c>
      <c r="F1532" s="249">
        <v>40470</v>
      </c>
      <c r="G1532" s="249">
        <v>42295</v>
      </c>
      <c r="H1532" s="247" t="s">
        <v>70</v>
      </c>
      <c r="I1532" s="250" t="s">
        <v>448</v>
      </c>
    </row>
    <row r="1533" spans="1:9">
      <c r="A1533" s="246">
        <v>1529</v>
      </c>
      <c r="B1533" s="247" t="s">
        <v>194</v>
      </c>
      <c r="C1533" s="302" t="str">
        <f>"12205"</f>
        <v>12205</v>
      </c>
      <c r="D1533" s="247" t="s">
        <v>18</v>
      </c>
      <c r="E1533" s="248">
        <v>22</v>
      </c>
      <c r="F1533" s="249">
        <v>40470</v>
      </c>
      <c r="G1533" s="249">
        <v>42295</v>
      </c>
      <c r="H1533" s="247" t="s">
        <v>70</v>
      </c>
      <c r="I1533" s="250" t="s">
        <v>448</v>
      </c>
    </row>
    <row r="1534" spans="1:9">
      <c r="A1534" s="246">
        <v>1530</v>
      </c>
      <c r="B1534" s="247" t="s">
        <v>186</v>
      </c>
      <c r="C1534" s="302" t="str">
        <f>"12206"</f>
        <v>12206</v>
      </c>
      <c r="D1534" s="247" t="s">
        <v>18</v>
      </c>
      <c r="E1534" s="248">
        <v>8</v>
      </c>
      <c r="F1534" s="249">
        <v>43025</v>
      </c>
      <c r="G1534" s="249">
        <v>44850</v>
      </c>
      <c r="H1534" s="247" t="s">
        <v>59</v>
      </c>
      <c r="I1534" s="250" t="s">
        <v>433</v>
      </c>
    </row>
    <row r="1535" spans="1:9">
      <c r="A1535" s="246">
        <v>1531</v>
      </c>
      <c r="B1535" s="247" t="s">
        <v>520</v>
      </c>
      <c r="C1535" s="302" t="str">
        <f>"12217"</f>
        <v>12217</v>
      </c>
      <c r="D1535" s="247" t="s">
        <v>23</v>
      </c>
      <c r="E1535" s="248">
        <v>4</v>
      </c>
      <c r="F1535" s="249">
        <v>40592</v>
      </c>
      <c r="G1535" s="249">
        <v>40956</v>
      </c>
      <c r="H1535" s="247" t="s">
        <v>14</v>
      </c>
      <c r="I1535" s="250" t="s">
        <v>3413</v>
      </c>
    </row>
    <row r="1536" spans="1:9">
      <c r="A1536" s="246">
        <v>1532</v>
      </c>
      <c r="B1536" s="247" t="s">
        <v>520</v>
      </c>
      <c r="C1536" s="302" t="str">
        <f>"12218"</f>
        <v>12218</v>
      </c>
      <c r="D1536" s="247" t="s">
        <v>23</v>
      </c>
      <c r="E1536" s="248">
        <v>4</v>
      </c>
      <c r="F1536" s="249">
        <v>40592</v>
      </c>
      <c r="G1536" s="249">
        <v>40956</v>
      </c>
      <c r="H1536" s="247" t="s">
        <v>14</v>
      </c>
      <c r="I1536" s="250" t="s">
        <v>3413</v>
      </c>
    </row>
    <row r="1537" spans="1:9">
      <c r="A1537" s="246">
        <v>1533</v>
      </c>
      <c r="B1537" s="247" t="s">
        <v>521</v>
      </c>
      <c r="C1537" s="302" t="str">
        <f>"12226"</f>
        <v>12226</v>
      </c>
      <c r="D1537" s="247" t="s">
        <v>18</v>
      </c>
      <c r="E1537" s="248">
        <v>63</v>
      </c>
      <c r="F1537" s="249">
        <v>40828</v>
      </c>
      <c r="G1537" s="249">
        <v>42654</v>
      </c>
      <c r="H1537" s="247" t="s">
        <v>56</v>
      </c>
      <c r="I1537" s="250" t="s">
        <v>3369</v>
      </c>
    </row>
    <row r="1538" spans="1:9">
      <c r="A1538" s="246">
        <v>1534</v>
      </c>
      <c r="B1538" s="247" t="s">
        <v>182</v>
      </c>
      <c r="C1538" s="302" t="str">
        <f>"12234"</f>
        <v>12234</v>
      </c>
      <c r="D1538" s="247" t="s">
        <v>44</v>
      </c>
      <c r="E1538" s="248">
        <v>6</v>
      </c>
      <c r="F1538" s="249">
        <v>42393</v>
      </c>
      <c r="G1538" s="249">
        <v>43853</v>
      </c>
      <c r="H1538" s="247" t="s">
        <v>14</v>
      </c>
      <c r="I1538" s="250" t="s">
        <v>3342</v>
      </c>
    </row>
    <row r="1539" spans="1:9">
      <c r="A1539" s="246">
        <v>1535</v>
      </c>
      <c r="B1539" s="247" t="s">
        <v>3532</v>
      </c>
      <c r="C1539" s="302" t="str">
        <f>"12243"</f>
        <v>12243</v>
      </c>
      <c r="D1539" s="247" t="s">
        <v>18</v>
      </c>
      <c r="E1539" s="248">
        <v>72</v>
      </c>
      <c r="F1539" s="249">
        <v>40603</v>
      </c>
      <c r="G1539" s="249">
        <v>42429</v>
      </c>
      <c r="H1539" s="247" t="s">
        <v>24</v>
      </c>
      <c r="I1539" s="250" t="s">
        <v>437</v>
      </c>
    </row>
    <row r="1540" spans="1:9">
      <c r="A1540" s="246">
        <v>1536</v>
      </c>
      <c r="B1540" s="247" t="s">
        <v>92</v>
      </c>
      <c r="C1540" s="302" t="str">
        <f>"12263"</f>
        <v>12263</v>
      </c>
      <c r="D1540" s="247" t="s">
        <v>13</v>
      </c>
      <c r="E1540" s="248">
        <v>19</v>
      </c>
      <c r="F1540" s="249">
        <v>40620</v>
      </c>
      <c r="G1540" s="249">
        <v>43743</v>
      </c>
      <c r="H1540" s="247" t="s">
        <v>14</v>
      </c>
      <c r="I1540" s="250" t="s">
        <v>3342</v>
      </c>
    </row>
    <row r="1541" spans="1:9">
      <c r="A1541" s="246">
        <v>1537</v>
      </c>
      <c r="B1541" s="247" t="s">
        <v>92</v>
      </c>
      <c r="C1541" s="302" t="str">
        <f>"12264"</f>
        <v>12264</v>
      </c>
      <c r="D1541" s="247" t="s">
        <v>13</v>
      </c>
      <c r="E1541" s="248">
        <v>16</v>
      </c>
      <c r="F1541" s="249">
        <v>42476</v>
      </c>
      <c r="G1541" s="249">
        <v>47953</v>
      </c>
      <c r="H1541" s="247" t="s">
        <v>14</v>
      </c>
      <c r="I1541" s="250" t="s">
        <v>79</v>
      </c>
    </row>
    <row r="1542" spans="1:9">
      <c r="A1542" s="246">
        <v>1538</v>
      </c>
      <c r="B1542" s="247" t="s">
        <v>3533</v>
      </c>
      <c r="C1542" s="302" t="str">
        <f>"12265"</f>
        <v>12265</v>
      </c>
      <c r="D1542" s="247" t="s">
        <v>23</v>
      </c>
      <c r="E1542" s="248">
        <v>5</v>
      </c>
      <c r="F1542" s="249">
        <v>41002</v>
      </c>
      <c r="G1542" s="249">
        <v>41366</v>
      </c>
      <c r="H1542" s="247" t="s">
        <v>499</v>
      </c>
      <c r="I1542" s="250" t="s">
        <v>437</v>
      </c>
    </row>
    <row r="1543" spans="1:9">
      <c r="A1543" s="246">
        <v>1539</v>
      </c>
      <c r="B1543" s="247" t="s">
        <v>3533</v>
      </c>
      <c r="C1543" s="302" t="str">
        <f>"12266"</f>
        <v>12266</v>
      </c>
      <c r="D1543" s="247" t="s">
        <v>23</v>
      </c>
      <c r="E1543" s="248">
        <v>5</v>
      </c>
      <c r="F1543" s="249">
        <v>41002</v>
      </c>
      <c r="G1543" s="249">
        <v>41366</v>
      </c>
      <c r="H1543" s="247" t="s">
        <v>499</v>
      </c>
      <c r="I1543" s="250" t="s">
        <v>437</v>
      </c>
    </row>
    <row r="1544" spans="1:9">
      <c r="A1544" s="246">
        <v>1540</v>
      </c>
      <c r="B1544" s="247" t="s">
        <v>3533</v>
      </c>
      <c r="C1544" s="302" t="str">
        <f>"12267"</f>
        <v>12267</v>
      </c>
      <c r="D1544" s="247" t="s">
        <v>23</v>
      </c>
      <c r="E1544" s="248">
        <v>5</v>
      </c>
      <c r="F1544" s="249">
        <v>41019</v>
      </c>
      <c r="G1544" s="249">
        <v>41383</v>
      </c>
      <c r="H1544" s="247" t="s">
        <v>499</v>
      </c>
      <c r="I1544" s="250" t="s">
        <v>437</v>
      </c>
    </row>
    <row r="1545" spans="1:9">
      <c r="A1545" s="246">
        <v>1541</v>
      </c>
      <c r="B1545" s="247" t="s">
        <v>3533</v>
      </c>
      <c r="C1545" s="302" t="str">
        <f>"12268"</f>
        <v>12268</v>
      </c>
      <c r="D1545" s="247" t="s">
        <v>23</v>
      </c>
      <c r="E1545" s="248">
        <v>5</v>
      </c>
      <c r="F1545" s="249">
        <v>41002</v>
      </c>
      <c r="G1545" s="249">
        <v>41366</v>
      </c>
      <c r="H1545" s="247" t="s">
        <v>499</v>
      </c>
      <c r="I1545" s="250" t="s">
        <v>437</v>
      </c>
    </row>
    <row r="1546" spans="1:9">
      <c r="A1546" s="246">
        <v>1542</v>
      </c>
      <c r="B1546" s="247" t="s">
        <v>3533</v>
      </c>
      <c r="C1546" s="302" t="str">
        <f>"12269"</f>
        <v>12269</v>
      </c>
      <c r="D1546" s="247" t="s">
        <v>23</v>
      </c>
      <c r="E1546" s="248">
        <v>5</v>
      </c>
      <c r="F1546" s="249">
        <v>41002</v>
      </c>
      <c r="G1546" s="249">
        <v>41366</v>
      </c>
      <c r="H1546" s="247" t="s">
        <v>499</v>
      </c>
      <c r="I1546" s="250" t="s">
        <v>437</v>
      </c>
    </row>
    <row r="1547" spans="1:9">
      <c r="A1547" s="246">
        <v>1543</v>
      </c>
      <c r="B1547" s="247" t="s">
        <v>43</v>
      </c>
      <c r="C1547" s="302" t="str">
        <f>"12270"</f>
        <v>12270</v>
      </c>
      <c r="D1547" s="247" t="s">
        <v>13</v>
      </c>
      <c r="E1547" s="248">
        <v>1</v>
      </c>
      <c r="F1547" s="249">
        <v>40102</v>
      </c>
      <c r="G1547" s="249">
        <v>45384</v>
      </c>
      <c r="H1547" s="247" t="s">
        <v>14</v>
      </c>
      <c r="I1547" s="250" t="s">
        <v>79</v>
      </c>
    </row>
    <row r="1548" spans="1:9">
      <c r="A1548" s="246">
        <v>1544</v>
      </c>
      <c r="B1548" s="247" t="s">
        <v>166</v>
      </c>
      <c r="C1548" s="302" t="str">
        <f>"12271"</f>
        <v>12271</v>
      </c>
      <c r="D1548" s="247" t="s">
        <v>13</v>
      </c>
      <c r="E1548" s="248">
        <v>4</v>
      </c>
      <c r="F1548" s="249">
        <v>40102</v>
      </c>
      <c r="G1548" s="249">
        <v>45384</v>
      </c>
      <c r="H1548" s="247" t="s">
        <v>14</v>
      </c>
      <c r="I1548" s="250" t="s">
        <v>79</v>
      </c>
    </row>
    <row r="1549" spans="1:9">
      <c r="A1549" s="246">
        <v>1545</v>
      </c>
      <c r="B1549" s="247" t="s">
        <v>166</v>
      </c>
      <c r="C1549" s="302" t="str">
        <f>"12272"</f>
        <v>12272</v>
      </c>
      <c r="D1549" s="247" t="s">
        <v>13</v>
      </c>
      <c r="E1549" s="248">
        <v>3</v>
      </c>
      <c r="F1549" s="249">
        <v>40102</v>
      </c>
      <c r="G1549" s="249">
        <v>45384</v>
      </c>
      <c r="H1549" s="247" t="s">
        <v>14</v>
      </c>
      <c r="I1549" s="250" t="s">
        <v>79</v>
      </c>
    </row>
    <row r="1550" spans="1:9">
      <c r="A1550" s="246">
        <v>1546</v>
      </c>
      <c r="B1550" s="247" t="s">
        <v>166</v>
      </c>
      <c r="C1550" s="302" t="str">
        <f>"12273"</f>
        <v>12273</v>
      </c>
      <c r="D1550" s="247" t="s">
        <v>13</v>
      </c>
      <c r="E1550" s="248">
        <v>4</v>
      </c>
      <c r="F1550" s="249">
        <v>40507</v>
      </c>
      <c r="G1550" s="249">
        <v>45384</v>
      </c>
      <c r="H1550" s="247" t="s">
        <v>14</v>
      </c>
      <c r="I1550" s="250" t="s">
        <v>79</v>
      </c>
    </row>
    <row r="1551" spans="1:9">
      <c r="A1551" s="246">
        <v>1547</v>
      </c>
      <c r="B1551" s="247" t="s">
        <v>43</v>
      </c>
      <c r="C1551" s="302" t="str">
        <f>"12274"</f>
        <v>12274</v>
      </c>
      <c r="D1551" s="247" t="s">
        <v>13</v>
      </c>
      <c r="E1551" s="248">
        <v>22</v>
      </c>
      <c r="F1551" s="249">
        <v>40102</v>
      </c>
      <c r="G1551" s="249">
        <v>45384</v>
      </c>
      <c r="H1551" s="247" t="s">
        <v>14</v>
      </c>
      <c r="I1551" s="250" t="s">
        <v>79</v>
      </c>
    </row>
    <row r="1552" spans="1:9">
      <c r="A1552" s="246">
        <v>1548</v>
      </c>
      <c r="B1552" s="247" t="s">
        <v>43</v>
      </c>
      <c r="C1552" s="302" t="str">
        <f>"12275"</f>
        <v>12275</v>
      </c>
      <c r="D1552" s="247" t="s">
        <v>13</v>
      </c>
      <c r="E1552" s="248">
        <v>1</v>
      </c>
      <c r="F1552" s="249">
        <v>40102</v>
      </c>
      <c r="G1552" s="249">
        <v>45384</v>
      </c>
      <c r="H1552" s="247" t="s">
        <v>14</v>
      </c>
      <c r="I1552" s="250" t="s">
        <v>79</v>
      </c>
    </row>
    <row r="1553" spans="1:9">
      <c r="A1553" s="246">
        <v>1549</v>
      </c>
      <c r="B1553" s="247" t="s">
        <v>43</v>
      </c>
      <c r="C1553" s="302" t="str">
        <f>"12276"</f>
        <v>12276</v>
      </c>
      <c r="D1553" s="247" t="s">
        <v>13</v>
      </c>
      <c r="E1553" s="248">
        <v>62</v>
      </c>
      <c r="F1553" s="249">
        <v>40102</v>
      </c>
      <c r="G1553" s="249">
        <v>45384</v>
      </c>
      <c r="H1553" s="247" t="s">
        <v>14</v>
      </c>
      <c r="I1553" s="250" t="s">
        <v>79</v>
      </c>
    </row>
    <row r="1554" spans="1:9">
      <c r="A1554" s="246">
        <v>1550</v>
      </c>
      <c r="B1554" s="247" t="s">
        <v>166</v>
      </c>
      <c r="C1554" s="302" t="str">
        <f>"12277"</f>
        <v>12277</v>
      </c>
      <c r="D1554" s="247" t="s">
        <v>13</v>
      </c>
      <c r="E1554" s="248">
        <v>3</v>
      </c>
      <c r="F1554" s="249">
        <v>40102</v>
      </c>
      <c r="G1554" s="249">
        <v>45384</v>
      </c>
      <c r="H1554" s="247" t="s">
        <v>14</v>
      </c>
      <c r="I1554" s="250" t="s">
        <v>79</v>
      </c>
    </row>
    <row r="1555" spans="1:9">
      <c r="A1555" s="246">
        <v>1551</v>
      </c>
      <c r="B1555" s="247" t="s">
        <v>3522</v>
      </c>
      <c r="C1555" s="302" t="str">
        <f>"12285"</f>
        <v>12285</v>
      </c>
      <c r="D1555" s="247" t="s">
        <v>18</v>
      </c>
      <c r="E1555" s="248">
        <v>13</v>
      </c>
      <c r="F1555" s="249">
        <v>41866</v>
      </c>
      <c r="G1555" s="249">
        <v>43691</v>
      </c>
      <c r="H1555" s="247" t="s">
        <v>22</v>
      </c>
      <c r="I1555" s="250" t="s">
        <v>438</v>
      </c>
    </row>
    <row r="1556" spans="1:9">
      <c r="A1556" s="246">
        <v>1552</v>
      </c>
      <c r="B1556" s="247" t="s">
        <v>115</v>
      </c>
      <c r="C1556" s="302" t="str">
        <f>"12286"</f>
        <v>12286</v>
      </c>
      <c r="D1556" s="247" t="s">
        <v>13</v>
      </c>
      <c r="E1556" s="248">
        <v>10</v>
      </c>
      <c r="F1556" s="249">
        <v>40697</v>
      </c>
      <c r="G1556" s="249">
        <v>51654</v>
      </c>
      <c r="H1556" s="247" t="s">
        <v>16</v>
      </c>
      <c r="I1556" s="250" t="s">
        <v>3357</v>
      </c>
    </row>
    <row r="1557" spans="1:9">
      <c r="A1557" s="246">
        <v>1553</v>
      </c>
      <c r="B1557" s="247" t="s">
        <v>206</v>
      </c>
      <c r="C1557" s="302" t="str">
        <f>"12293"</f>
        <v>12293</v>
      </c>
      <c r="D1557" s="247" t="s">
        <v>21</v>
      </c>
      <c r="E1557" s="248">
        <v>1</v>
      </c>
      <c r="F1557" s="249">
        <v>41409</v>
      </c>
      <c r="G1557" s="249">
        <v>43234</v>
      </c>
      <c r="H1557" s="247" t="s">
        <v>22</v>
      </c>
      <c r="I1557" s="250" t="s">
        <v>3342</v>
      </c>
    </row>
    <row r="1558" spans="1:9">
      <c r="A1558" s="246">
        <v>1554</v>
      </c>
      <c r="B1558" s="247" t="s">
        <v>177</v>
      </c>
      <c r="C1558" s="302" t="str">
        <f>"12329"</f>
        <v>12329</v>
      </c>
      <c r="D1558" s="247" t="s">
        <v>13</v>
      </c>
      <c r="E1558" s="248">
        <v>5</v>
      </c>
      <c r="F1558" s="249">
        <v>40617</v>
      </c>
      <c r="G1558" s="249">
        <v>51574</v>
      </c>
      <c r="H1558" s="247" t="s">
        <v>59</v>
      </c>
      <c r="I1558" s="250" t="s">
        <v>79</v>
      </c>
    </row>
    <row r="1559" spans="1:9">
      <c r="A1559" s="246">
        <v>1555</v>
      </c>
      <c r="B1559" s="247" t="s">
        <v>177</v>
      </c>
      <c r="C1559" s="302" t="str">
        <f>"12330"</f>
        <v>12330</v>
      </c>
      <c r="D1559" s="247" t="s">
        <v>13</v>
      </c>
      <c r="E1559" s="248">
        <v>4</v>
      </c>
      <c r="F1559" s="249">
        <v>40617</v>
      </c>
      <c r="G1559" s="249">
        <v>51574</v>
      </c>
      <c r="H1559" s="247" t="s">
        <v>59</v>
      </c>
      <c r="I1559" s="250" t="s">
        <v>79</v>
      </c>
    </row>
    <row r="1560" spans="1:9">
      <c r="A1560" s="246">
        <v>1556</v>
      </c>
      <c r="B1560" s="247" t="s">
        <v>3459</v>
      </c>
      <c r="C1560" s="302" t="str">
        <f>"12335"</f>
        <v>12335</v>
      </c>
      <c r="D1560" s="247" t="s">
        <v>21</v>
      </c>
      <c r="E1560" s="248">
        <v>2</v>
      </c>
      <c r="F1560" s="249">
        <v>41205</v>
      </c>
      <c r="G1560" s="249">
        <v>43030</v>
      </c>
      <c r="H1560" s="247" t="s">
        <v>14</v>
      </c>
      <c r="I1560" s="250" t="s">
        <v>438</v>
      </c>
    </row>
    <row r="1561" spans="1:9">
      <c r="A1561" s="246">
        <v>1557</v>
      </c>
      <c r="B1561" s="247" t="s">
        <v>47</v>
      </c>
      <c r="C1561" s="302" t="str">
        <f>"12336"</f>
        <v>12336</v>
      </c>
      <c r="D1561" s="247" t="s">
        <v>18</v>
      </c>
      <c r="E1561" s="248">
        <v>98</v>
      </c>
      <c r="F1561" s="249">
        <v>42767</v>
      </c>
      <c r="G1561" s="249">
        <v>46418</v>
      </c>
      <c r="H1561" s="247" t="s">
        <v>16</v>
      </c>
      <c r="I1561" s="250" t="s">
        <v>79</v>
      </c>
    </row>
    <row r="1562" spans="1:9">
      <c r="A1562" s="246">
        <v>1558</v>
      </c>
      <c r="B1562" s="247" t="s">
        <v>178</v>
      </c>
      <c r="C1562" s="302" t="str">
        <f>"12337"</f>
        <v>12337</v>
      </c>
      <c r="D1562" s="247" t="s">
        <v>13</v>
      </c>
      <c r="E1562" s="248">
        <v>12</v>
      </c>
      <c r="F1562" s="249">
        <v>43336</v>
      </c>
      <c r="G1562" s="249">
        <v>52466</v>
      </c>
      <c r="H1562" s="247" t="s">
        <v>16</v>
      </c>
      <c r="I1562" s="250" t="s">
        <v>79</v>
      </c>
    </row>
    <row r="1563" spans="1:9">
      <c r="A1563" s="246">
        <v>1559</v>
      </c>
      <c r="B1563" s="247" t="s">
        <v>43</v>
      </c>
      <c r="C1563" s="302" t="str">
        <f>"12347"</f>
        <v>12347</v>
      </c>
      <c r="D1563" s="247" t="s">
        <v>44</v>
      </c>
      <c r="E1563" s="248">
        <v>3</v>
      </c>
      <c r="F1563" s="249">
        <v>42395</v>
      </c>
      <c r="G1563" s="249">
        <v>44221</v>
      </c>
      <c r="H1563" s="247" t="s">
        <v>14</v>
      </c>
      <c r="I1563" s="250" t="s">
        <v>3342</v>
      </c>
    </row>
    <row r="1564" spans="1:9">
      <c r="A1564" s="246">
        <v>1560</v>
      </c>
      <c r="B1564" s="247" t="s">
        <v>182</v>
      </c>
      <c r="C1564" s="302" t="str">
        <f>"12349"</f>
        <v>12349</v>
      </c>
      <c r="D1564" s="247" t="s">
        <v>44</v>
      </c>
      <c r="E1564" s="248">
        <v>6</v>
      </c>
      <c r="F1564" s="249">
        <v>42393</v>
      </c>
      <c r="G1564" s="249">
        <v>43853</v>
      </c>
      <c r="H1564" s="247" t="s">
        <v>14</v>
      </c>
      <c r="I1564" s="250" t="s">
        <v>3342</v>
      </c>
    </row>
    <row r="1565" spans="1:9">
      <c r="A1565" s="246">
        <v>1561</v>
      </c>
      <c r="B1565" s="247" t="s">
        <v>182</v>
      </c>
      <c r="C1565" s="302" t="str">
        <f>"12350"</f>
        <v>12350</v>
      </c>
      <c r="D1565" s="247" t="s">
        <v>44</v>
      </c>
      <c r="E1565" s="248">
        <v>1</v>
      </c>
      <c r="F1565" s="249">
        <v>42393</v>
      </c>
      <c r="G1565" s="249">
        <v>43853</v>
      </c>
      <c r="H1565" s="247" t="s">
        <v>14</v>
      </c>
      <c r="I1565" s="250" t="s">
        <v>3342</v>
      </c>
    </row>
    <row r="1566" spans="1:9">
      <c r="A1566" s="246">
        <v>1562</v>
      </c>
      <c r="B1566" s="247" t="s">
        <v>179</v>
      </c>
      <c r="C1566" s="302" t="str">
        <f>"12355"</f>
        <v>12355</v>
      </c>
      <c r="D1566" s="247" t="s">
        <v>13</v>
      </c>
      <c r="E1566" s="248">
        <v>60</v>
      </c>
      <c r="F1566" s="249">
        <v>43277</v>
      </c>
      <c r="G1566" s="249">
        <v>54234</v>
      </c>
      <c r="H1566" s="247" t="s">
        <v>14</v>
      </c>
      <c r="I1566" s="250" t="s">
        <v>79</v>
      </c>
    </row>
    <row r="1567" spans="1:9">
      <c r="A1567" s="246">
        <v>1563</v>
      </c>
      <c r="B1567" s="247" t="s">
        <v>522</v>
      </c>
      <c r="C1567" s="302" t="str">
        <f>"12356"</f>
        <v>12356</v>
      </c>
      <c r="D1567" s="247" t="s">
        <v>30</v>
      </c>
      <c r="E1567" s="248">
        <v>42</v>
      </c>
      <c r="F1567" s="249">
        <v>43178</v>
      </c>
      <c r="G1567" s="249">
        <v>45003</v>
      </c>
      <c r="H1567" s="247" t="s">
        <v>14</v>
      </c>
      <c r="I1567" s="250" t="s">
        <v>3346</v>
      </c>
    </row>
    <row r="1568" spans="1:9">
      <c r="A1568" s="246">
        <v>1564</v>
      </c>
      <c r="B1568" s="247" t="s">
        <v>522</v>
      </c>
      <c r="C1568" s="302" t="str">
        <f>"12357"</f>
        <v>12357</v>
      </c>
      <c r="D1568" s="247" t="s">
        <v>30</v>
      </c>
      <c r="E1568" s="248">
        <v>102</v>
      </c>
      <c r="F1568" s="249">
        <v>43277</v>
      </c>
      <c r="G1568" s="249">
        <v>45102</v>
      </c>
      <c r="H1568" s="247" t="s">
        <v>14</v>
      </c>
      <c r="I1568" s="250" t="s">
        <v>433</v>
      </c>
    </row>
    <row r="1569" spans="1:9">
      <c r="A1569" s="246">
        <v>1565</v>
      </c>
      <c r="B1569" s="247" t="s">
        <v>522</v>
      </c>
      <c r="C1569" s="302" t="str">
        <f>"12358"</f>
        <v>12358</v>
      </c>
      <c r="D1569" s="247" t="s">
        <v>18</v>
      </c>
      <c r="E1569" s="248">
        <v>11</v>
      </c>
      <c r="F1569" s="249">
        <v>41824</v>
      </c>
      <c r="G1569" s="249">
        <v>43649</v>
      </c>
      <c r="H1569" s="247" t="s">
        <v>14</v>
      </c>
      <c r="I1569" s="250" t="s">
        <v>3342</v>
      </c>
    </row>
    <row r="1570" spans="1:9">
      <c r="A1570" s="246">
        <v>1566</v>
      </c>
      <c r="B1570" s="247" t="s">
        <v>522</v>
      </c>
      <c r="C1570" s="302" t="str">
        <f>"12359"</f>
        <v>12359</v>
      </c>
      <c r="D1570" s="247" t="s">
        <v>18</v>
      </c>
      <c r="E1570" s="248">
        <v>50</v>
      </c>
      <c r="F1570" s="249">
        <v>41824</v>
      </c>
      <c r="G1570" s="249">
        <v>43649</v>
      </c>
      <c r="H1570" s="247" t="s">
        <v>14</v>
      </c>
      <c r="I1570" s="250" t="s">
        <v>3342</v>
      </c>
    </row>
    <row r="1571" spans="1:9">
      <c r="A1571" s="246">
        <v>1567</v>
      </c>
      <c r="B1571" s="247" t="s">
        <v>15</v>
      </c>
      <c r="C1571" s="302" t="str">
        <f>"12370"</f>
        <v>12370</v>
      </c>
      <c r="D1571" s="247" t="s">
        <v>18</v>
      </c>
      <c r="E1571" s="248">
        <v>184</v>
      </c>
      <c r="F1571" s="249">
        <v>41900</v>
      </c>
      <c r="G1571" s="249">
        <v>44224</v>
      </c>
      <c r="H1571" s="247" t="s">
        <v>14</v>
      </c>
      <c r="I1571" s="250" t="s">
        <v>448</v>
      </c>
    </row>
    <row r="1572" spans="1:9">
      <c r="A1572" s="246">
        <v>1568</v>
      </c>
      <c r="B1572" s="247" t="s">
        <v>15</v>
      </c>
      <c r="C1572" s="302" t="str">
        <f>"12371"</f>
        <v>12371</v>
      </c>
      <c r="D1572" s="247" t="s">
        <v>18</v>
      </c>
      <c r="E1572" s="248">
        <v>400</v>
      </c>
      <c r="F1572" s="249">
        <v>41900</v>
      </c>
      <c r="G1572" s="249">
        <v>44224</v>
      </c>
      <c r="H1572" s="247" t="s">
        <v>14</v>
      </c>
      <c r="I1572" s="250" t="s">
        <v>448</v>
      </c>
    </row>
    <row r="1573" spans="1:9">
      <c r="A1573" s="246">
        <v>1569</v>
      </c>
      <c r="B1573" s="247" t="s">
        <v>15</v>
      </c>
      <c r="C1573" s="302" t="str">
        <f>"12372"</f>
        <v>12372</v>
      </c>
      <c r="D1573" s="247" t="s">
        <v>18</v>
      </c>
      <c r="E1573" s="248">
        <v>292</v>
      </c>
      <c r="F1573" s="249">
        <v>41900</v>
      </c>
      <c r="G1573" s="249">
        <v>44224</v>
      </c>
      <c r="H1573" s="247" t="s">
        <v>14</v>
      </c>
      <c r="I1573" s="250" t="s">
        <v>448</v>
      </c>
    </row>
    <row r="1574" spans="1:9">
      <c r="A1574" s="246">
        <v>1570</v>
      </c>
      <c r="B1574" s="247" t="s">
        <v>15</v>
      </c>
      <c r="C1574" s="302" t="str">
        <f>"12373"</f>
        <v>12373</v>
      </c>
      <c r="D1574" s="247" t="s">
        <v>18</v>
      </c>
      <c r="E1574" s="248">
        <v>240</v>
      </c>
      <c r="F1574" s="249">
        <v>41900</v>
      </c>
      <c r="G1574" s="249">
        <v>44224</v>
      </c>
      <c r="H1574" s="247" t="s">
        <v>14</v>
      </c>
      <c r="I1574" s="250" t="s">
        <v>448</v>
      </c>
    </row>
    <row r="1575" spans="1:9">
      <c r="A1575" s="246">
        <v>1571</v>
      </c>
      <c r="B1575" s="247" t="s">
        <v>523</v>
      </c>
      <c r="C1575" s="302" t="str">
        <f>"12374"</f>
        <v>12374</v>
      </c>
      <c r="D1575" s="247" t="s">
        <v>18</v>
      </c>
      <c r="E1575" s="248">
        <v>4</v>
      </c>
      <c r="F1575" s="249">
        <v>41510</v>
      </c>
      <c r="G1575" s="249">
        <v>43335</v>
      </c>
      <c r="H1575" s="247" t="s">
        <v>59</v>
      </c>
      <c r="I1575" s="250" t="s">
        <v>448</v>
      </c>
    </row>
    <row r="1576" spans="1:9">
      <c r="A1576" s="246">
        <v>1572</v>
      </c>
      <c r="B1576" s="247" t="s">
        <v>3534</v>
      </c>
      <c r="C1576" s="302" t="str">
        <f>"12375"</f>
        <v>12375</v>
      </c>
      <c r="D1576" s="247" t="s">
        <v>21</v>
      </c>
      <c r="E1576" s="248">
        <v>5</v>
      </c>
      <c r="F1576" s="249">
        <v>42396</v>
      </c>
      <c r="G1576" s="249">
        <v>44222</v>
      </c>
      <c r="H1576" s="247" t="s">
        <v>22</v>
      </c>
      <c r="I1576" s="250" t="s">
        <v>438</v>
      </c>
    </row>
    <row r="1577" spans="1:9">
      <c r="A1577" s="246">
        <v>1573</v>
      </c>
      <c r="B1577" s="247" t="s">
        <v>3534</v>
      </c>
      <c r="C1577" s="302" t="str">
        <f>"12381"</f>
        <v>12381</v>
      </c>
      <c r="D1577" s="247" t="s">
        <v>21</v>
      </c>
      <c r="E1577" s="248">
        <v>5</v>
      </c>
      <c r="F1577" s="249">
        <v>42396</v>
      </c>
      <c r="G1577" s="249">
        <v>44222</v>
      </c>
      <c r="H1577" s="247" t="s">
        <v>22</v>
      </c>
      <c r="I1577" s="250" t="s">
        <v>438</v>
      </c>
    </row>
    <row r="1578" spans="1:9">
      <c r="A1578" s="246">
        <v>1574</v>
      </c>
      <c r="B1578" s="247" t="s">
        <v>180</v>
      </c>
      <c r="C1578" s="302" t="str">
        <f>"12386"</f>
        <v>12386</v>
      </c>
      <c r="D1578" s="247" t="s">
        <v>13</v>
      </c>
      <c r="E1578" s="248">
        <v>2</v>
      </c>
      <c r="F1578" s="249">
        <v>43510</v>
      </c>
      <c r="G1578" s="249">
        <v>52640</v>
      </c>
      <c r="H1578" s="247" t="s">
        <v>59</v>
      </c>
      <c r="I1578" s="250" t="s">
        <v>79</v>
      </c>
    </row>
    <row r="1579" spans="1:9">
      <c r="A1579" s="246">
        <v>1575</v>
      </c>
      <c r="B1579" s="247" t="s">
        <v>180</v>
      </c>
      <c r="C1579" s="302" t="str">
        <f>"12387"</f>
        <v>12387</v>
      </c>
      <c r="D1579" s="247" t="s">
        <v>13</v>
      </c>
      <c r="E1579" s="248">
        <v>2</v>
      </c>
      <c r="F1579" s="249">
        <v>43510</v>
      </c>
      <c r="G1579" s="249">
        <v>52640</v>
      </c>
      <c r="H1579" s="247" t="s">
        <v>59</v>
      </c>
      <c r="I1579" s="250" t="s">
        <v>79</v>
      </c>
    </row>
    <row r="1580" spans="1:9">
      <c r="A1580" s="246">
        <v>1576</v>
      </c>
      <c r="B1580" s="247" t="s">
        <v>524</v>
      </c>
      <c r="C1580" s="302" t="str">
        <f>"12388"</f>
        <v>12388</v>
      </c>
      <c r="D1580" s="247" t="s">
        <v>30</v>
      </c>
      <c r="E1580" s="248">
        <v>301</v>
      </c>
      <c r="F1580" s="249">
        <v>41453</v>
      </c>
      <c r="G1580" s="249">
        <v>43278</v>
      </c>
      <c r="H1580" s="247" t="s">
        <v>70</v>
      </c>
      <c r="I1580" s="250" t="s">
        <v>3342</v>
      </c>
    </row>
    <row r="1581" spans="1:9">
      <c r="A1581" s="246">
        <v>1577</v>
      </c>
      <c r="B1581" s="247" t="s">
        <v>524</v>
      </c>
      <c r="C1581" s="302" t="str">
        <f>"12390"</f>
        <v>12390</v>
      </c>
      <c r="D1581" s="247" t="s">
        <v>30</v>
      </c>
      <c r="E1581" s="248">
        <v>235</v>
      </c>
      <c r="F1581" s="249">
        <v>41453</v>
      </c>
      <c r="G1581" s="249">
        <v>43278</v>
      </c>
      <c r="H1581" s="247" t="s">
        <v>70</v>
      </c>
      <c r="I1581" s="250" t="s">
        <v>3342</v>
      </c>
    </row>
    <row r="1582" spans="1:9">
      <c r="A1582" s="246">
        <v>1578</v>
      </c>
      <c r="B1582" s="247" t="s">
        <v>3535</v>
      </c>
      <c r="C1582" s="302" t="str">
        <f>"12421"</f>
        <v>12421</v>
      </c>
      <c r="D1582" s="247" t="s">
        <v>30</v>
      </c>
      <c r="E1582" s="248">
        <v>48</v>
      </c>
      <c r="F1582" s="249">
        <v>43038</v>
      </c>
      <c r="G1582" s="249">
        <v>44863</v>
      </c>
      <c r="H1582" s="247" t="s">
        <v>59</v>
      </c>
      <c r="I1582" s="250" t="s">
        <v>3351</v>
      </c>
    </row>
    <row r="1583" spans="1:9">
      <c r="A1583" s="246">
        <v>1579</v>
      </c>
      <c r="B1583" s="247" t="s">
        <v>3536</v>
      </c>
      <c r="C1583" s="302" t="str">
        <f>"12422"</f>
        <v>12422</v>
      </c>
      <c r="D1583" s="247" t="s">
        <v>13</v>
      </c>
      <c r="E1583" s="248">
        <v>40</v>
      </c>
      <c r="F1583" s="249">
        <v>42349</v>
      </c>
      <c r="G1583" s="249">
        <v>53306</v>
      </c>
      <c r="H1583" s="247" t="s">
        <v>14</v>
      </c>
      <c r="I1583" s="250" t="s">
        <v>437</v>
      </c>
    </row>
    <row r="1584" spans="1:9">
      <c r="A1584" s="246">
        <v>1580</v>
      </c>
      <c r="B1584" s="247" t="s">
        <v>181</v>
      </c>
      <c r="C1584" s="302" t="str">
        <f>"12423"</f>
        <v>12423</v>
      </c>
      <c r="D1584" s="247" t="s">
        <v>13</v>
      </c>
      <c r="E1584" s="248">
        <v>6</v>
      </c>
      <c r="F1584" s="249">
        <v>43179</v>
      </c>
      <c r="G1584" s="249">
        <v>54136</v>
      </c>
      <c r="H1584" s="247" t="s">
        <v>16</v>
      </c>
      <c r="I1584" s="250" t="s">
        <v>79</v>
      </c>
    </row>
    <row r="1585" spans="1:9">
      <c r="A1585" s="246">
        <v>1581</v>
      </c>
      <c r="B1585" s="247" t="s">
        <v>15</v>
      </c>
      <c r="C1585" s="302" t="str">
        <f>"12424"</f>
        <v>12424</v>
      </c>
      <c r="D1585" s="247" t="s">
        <v>18</v>
      </c>
      <c r="E1585" s="248">
        <v>19</v>
      </c>
      <c r="F1585" s="249">
        <v>42468</v>
      </c>
      <c r="G1585" s="249">
        <v>44293</v>
      </c>
      <c r="H1585" s="247" t="s">
        <v>16</v>
      </c>
      <c r="I1585" s="250" t="s">
        <v>448</v>
      </c>
    </row>
    <row r="1586" spans="1:9">
      <c r="A1586" s="246">
        <v>1582</v>
      </c>
      <c r="B1586" s="247" t="s">
        <v>3537</v>
      </c>
      <c r="C1586" s="302" t="str">
        <f>"12428"</f>
        <v>12428</v>
      </c>
      <c r="D1586" s="247" t="s">
        <v>18</v>
      </c>
      <c r="E1586" s="248">
        <v>15</v>
      </c>
      <c r="F1586" s="249">
        <v>42268</v>
      </c>
      <c r="G1586" s="249">
        <v>44094</v>
      </c>
      <c r="H1586" s="247" t="s">
        <v>16</v>
      </c>
      <c r="I1586" s="250" t="s">
        <v>3342</v>
      </c>
    </row>
    <row r="1587" spans="1:9">
      <c r="A1587" s="246">
        <v>1583</v>
      </c>
      <c r="B1587" s="247" t="s">
        <v>122</v>
      </c>
      <c r="C1587" s="302" t="str">
        <f>"12432"</f>
        <v>12432</v>
      </c>
      <c r="D1587" s="247" t="s">
        <v>18</v>
      </c>
      <c r="E1587" s="248">
        <v>220</v>
      </c>
      <c r="F1587" s="249">
        <v>41541</v>
      </c>
      <c r="G1587" s="249">
        <v>43366</v>
      </c>
      <c r="H1587" s="247" t="s">
        <v>59</v>
      </c>
      <c r="I1587" s="250" t="s">
        <v>448</v>
      </c>
    </row>
    <row r="1588" spans="1:9">
      <c r="A1588" s="246">
        <v>1584</v>
      </c>
      <c r="B1588" s="247" t="s">
        <v>182</v>
      </c>
      <c r="C1588" s="302" t="str">
        <f>"12434"</f>
        <v>12434</v>
      </c>
      <c r="D1588" s="247" t="s">
        <v>13</v>
      </c>
      <c r="E1588" s="248">
        <v>7</v>
      </c>
      <c r="F1588" s="249">
        <v>45386</v>
      </c>
      <c r="G1588" s="249">
        <v>49779</v>
      </c>
      <c r="H1588" s="247" t="s">
        <v>14</v>
      </c>
      <c r="I1588" s="250" t="s">
        <v>79</v>
      </c>
    </row>
    <row r="1589" spans="1:9">
      <c r="A1589" s="246">
        <v>1585</v>
      </c>
      <c r="B1589" s="247" t="s">
        <v>184</v>
      </c>
      <c r="C1589" s="302" t="str">
        <f>"12436"</f>
        <v>12436</v>
      </c>
      <c r="D1589" s="247" t="s">
        <v>13</v>
      </c>
      <c r="E1589" s="248">
        <v>192</v>
      </c>
      <c r="F1589" s="249">
        <v>44146</v>
      </c>
      <c r="G1589" s="249">
        <v>53276</v>
      </c>
      <c r="H1589" s="247" t="s">
        <v>59</v>
      </c>
      <c r="I1589" s="250" t="s">
        <v>79</v>
      </c>
    </row>
    <row r="1590" spans="1:9">
      <c r="A1590" s="246">
        <v>1586</v>
      </c>
      <c r="B1590" s="247" t="s">
        <v>3538</v>
      </c>
      <c r="C1590" s="302" t="str">
        <f>"12438"</f>
        <v>12438</v>
      </c>
      <c r="D1590" s="247" t="s">
        <v>18</v>
      </c>
      <c r="E1590" s="248">
        <v>444</v>
      </c>
      <c r="F1590" s="249">
        <v>40784</v>
      </c>
      <c r="G1590" s="249">
        <v>43339</v>
      </c>
      <c r="H1590" s="247" t="s">
        <v>59</v>
      </c>
      <c r="I1590" s="250" t="s">
        <v>437</v>
      </c>
    </row>
    <row r="1591" spans="1:9">
      <c r="A1591" s="246">
        <v>1587</v>
      </c>
      <c r="B1591" s="247" t="s">
        <v>525</v>
      </c>
      <c r="C1591" s="302" t="str">
        <f>"12442"</f>
        <v>12442</v>
      </c>
      <c r="D1591" s="247" t="s">
        <v>18</v>
      </c>
      <c r="E1591" s="248">
        <v>192</v>
      </c>
      <c r="F1591" s="249">
        <v>40784</v>
      </c>
      <c r="G1591" s="249">
        <v>42610</v>
      </c>
      <c r="H1591" s="247" t="s">
        <v>59</v>
      </c>
      <c r="I1591" s="250" t="s">
        <v>448</v>
      </c>
    </row>
    <row r="1592" spans="1:9">
      <c r="A1592" s="246">
        <v>1588</v>
      </c>
      <c r="B1592" s="247" t="s">
        <v>526</v>
      </c>
      <c r="C1592" s="302" t="str">
        <f>"12443"</f>
        <v>12443</v>
      </c>
      <c r="D1592" s="247" t="s">
        <v>18</v>
      </c>
      <c r="E1592" s="248">
        <v>460</v>
      </c>
      <c r="F1592" s="249">
        <v>40784</v>
      </c>
      <c r="G1592" s="249">
        <v>44079</v>
      </c>
      <c r="H1592" s="247" t="s">
        <v>14</v>
      </c>
      <c r="I1592" s="250" t="s">
        <v>3369</v>
      </c>
    </row>
    <row r="1593" spans="1:9">
      <c r="A1593" s="246">
        <v>1589</v>
      </c>
      <c r="B1593" s="247" t="s">
        <v>526</v>
      </c>
      <c r="C1593" s="302" t="str">
        <f>"12444"</f>
        <v>12444</v>
      </c>
      <c r="D1593" s="247" t="s">
        <v>18</v>
      </c>
      <c r="E1593" s="248">
        <v>162</v>
      </c>
      <c r="F1593" s="249">
        <v>42611</v>
      </c>
      <c r="G1593" s="249">
        <v>44436</v>
      </c>
      <c r="H1593" s="247" t="s">
        <v>14</v>
      </c>
      <c r="I1593" s="250" t="s">
        <v>3369</v>
      </c>
    </row>
    <row r="1594" spans="1:9">
      <c r="A1594" s="246">
        <v>1590</v>
      </c>
      <c r="B1594" s="247" t="s">
        <v>526</v>
      </c>
      <c r="C1594" s="302" t="str">
        <f>"12445"</f>
        <v>12445</v>
      </c>
      <c r="D1594" s="247" t="s">
        <v>18</v>
      </c>
      <c r="E1594" s="248">
        <v>400</v>
      </c>
      <c r="F1594" s="249">
        <v>40784</v>
      </c>
      <c r="G1594" s="249">
        <v>44080</v>
      </c>
      <c r="H1594" s="247" t="s">
        <v>59</v>
      </c>
      <c r="I1594" s="250" t="s">
        <v>3369</v>
      </c>
    </row>
    <row r="1595" spans="1:9">
      <c r="A1595" s="246">
        <v>1591</v>
      </c>
      <c r="B1595" s="247" t="s">
        <v>527</v>
      </c>
      <c r="C1595" s="302" t="str">
        <f>"12447"</f>
        <v>12447</v>
      </c>
      <c r="D1595" s="247" t="s">
        <v>13</v>
      </c>
      <c r="E1595" s="248">
        <v>460</v>
      </c>
      <c r="F1595" s="249">
        <v>42611</v>
      </c>
      <c r="G1595" s="249">
        <v>43705</v>
      </c>
      <c r="H1595" s="247" t="s">
        <v>70</v>
      </c>
      <c r="I1595" s="250" t="s">
        <v>3449</v>
      </c>
    </row>
    <row r="1596" spans="1:9">
      <c r="A1596" s="246">
        <v>1592</v>
      </c>
      <c r="B1596" s="247" t="s">
        <v>527</v>
      </c>
      <c r="C1596" s="302" t="str">
        <f>"12448"</f>
        <v>12448</v>
      </c>
      <c r="D1596" s="247" t="s">
        <v>18</v>
      </c>
      <c r="E1596" s="248">
        <v>460</v>
      </c>
      <c r="F1596" s="249">
        <v>42611</v>
      </c>
      <c r="G1596" s="249">
        <v>43705</v>
      </c>
      <c r="H1596" s="247" t="s">
        <v>59</v>
      </c>
      <c r="I1596" s="250" t="s">
        <v>3389</v>
      </c>
    </row>
    <row r="1597" spans="1:9">
      <c r="A1597" s="246">
        <v>1593</v>
      </c>
      <c r="B1597" s="247" t="s">
        <v>185</v>
      </c>
      <c r="C1597" s="302" t="str">
        <f>"12449"</f>
        <v>12449</v>
      </c>
      <c r="D1597" s="247" t="s">
        <v>13</v>
      </c>
      <c r="E1597" s="248">
        <v>180</v>
      </c>
      <c r="F1597" s="249">
        <v>44146</v>
      </c>
      <c r="G1597" s="249">
        <v>53276</v>
      </c>
      <c r="H1597" s="247" t="s">
        <v>59</v>
      </c>
      <c r="I1597" s="250" t="s">
        <v>79</v>
      </c>
    </row>
    <row r="1598" spans="1:9">
      <c r="A1598" s="246">
        <v>1594</v>
      </c>
      <c r="B1598" s="247" t="s">
        <v>184</v>
      </c>
      <c r="C1598" s="302" t="str">
        <f>"12450"</f>
        <v>12450</v>
      </c>
      <c r="D1598" s="247" t="s">
        <v>13</v>
      </c>
      <c r="E1598" s="248">
        <v>151</v>
      </c>
      <c r="F1598" s="249">
        <v>44146</v>
      </c>
      <c r="G1598" s="249">
        <v>53276</v>
      </c>
      <c r="H1598" s="247" t="s">
        <v>70</v>
      </c>
      <c r="I1598" s="250" t="s">
        <v>79</v>
      </c>
    </row>
    <row r="1599" spans="1:9">
      <c r="A1599" s="246">
        <v>1595</v>
      </c>
      <c r="B1599" s="247" t="s">
        <v>186</v>
      </c>
      <c r="C1599" s="302" t="str">
        <f>"12452"</f>
        <v>12452</v>
      </c>
      <c r="D1599" s="247" t="s">
        <v>18</v>
      </c>
      <c r="E1599" s="248">
        <v>210</v>
      </c>
      <c r="F1599" s="249">
        <v>42611</v>
      </c>
      <c r="G1599" s="249">
        <v>43340</v>
      </c>
      <c r="H1599" s="247" t="s">
        <v>59</v>
      </c>
      <c r="I1599" s="250" t="s">
        <v>433</v>
      </c>
    </row>
    <row r="1600" spans="1:9">
      <c r="A1600" s="246">
        <v>1596</v>
      </c>
      <c r="B1600" s="247" t="s">
        <v>186</v>
      </c>
      <c r="C1600" s="302" t="str">
        <f>"12453"</f>
        <v>12453</v>
      </c>
      <c r="D1600" s="247" t="s">
        <v>13</v>
      </c>
      <c r="E1600" s="248">
        <v>372</v>
      </c>
      <c r="F1600" s="249">
        <v>43543</v>
      </c>
      <c r="G1600" s="249">
        <v>52674</v>
      </c>
      <c r="H1600" s="247" t="s">
        <v>59</v>
      </c>
      <c r="I1600" s="250" t="s">
        <v>79</v>
      </c>
    </row>
    <row r="1601" spans="1:9">
      <c r="A1601" s="246">
        <v>1597</v>
      </c>
      <c r="B1601" s="247" t="s">
        <v>186</v>
      </c>
      <c r="C1601" s="302" t="str">
        <f>"12457"</f>
        <v>12457</v>
      </c>
      <c r="D1601" s="247" t="s">
        <v>13</v>
      </c>
      <c r="E1601" s="248">
        <v>360</v>
      </c>
      <c r="F1601" s="249">
        <v>42115</v>
      </c>
      <c r="G1601" s="249">
        <v>53072</v>
      </c>
      <c r="H1601" s="247" t="s">
        <v>14</v>
      </c>
      <c r="I1601" s="250" t="s">
        <v>79</v>
      </c>
    </row>
    <row r="1602" spans="1:9">
      <c r="A1602" s="246">
        <v>1598</v>
      </c>
      <c r="B1602" s="247" t="s">
        <v>525</v>
      </c>
      <c r="C1602" s="302" t="str">
        <f>"12458"</f>
        <v>12458</v>
      </c>
      <c r="D1602" s="247" t="s">
        <v>18</v>
      </c>
      <c r="E1602" s="248">
        <v>252</v>
      </c>
      <c r="F1602" s="249">
        <v>40784</v>
      </c>
      <c r="G1602" s="249">
        <v>42610</v>
      </c>
      <c r="H1602" s="247" t="s">
        <v>70</v>
      </c>
      <c r="I1602" s="250" t="s">
        <v>448</v>
      </c>
    </row>
    <row r="1603" spans="1:9">
      <c r="A1603" s="246">
        <v>1599</v>
      </c>
      <c r="B1603" s="247" t="s">
        <v>527</v>
      </c>
      <c r="C1603" s="302" t="str">
        <f>"12460"</f>
        <v>12460</v>
      </c>
      <c r="D1603" s="247" t="s">
        <v>18</v>
      </c>
      <c r="E1603" s="248">
        <v>200</v>
      </c>
      <c r="F1603" s="249">
        <v>42611</v>
      </c>
      <c r="G1603" s="249">
        <v>43340</v>
      </c>
      <c r="H1603" s="247" t="s">
        <v>59</v>
      </c>
      <c r="I1603" s="250" t="s">
        <v>433</v>
      </c>
    </row>
    <row r="1604" spans="1:9">
      <c r="A1604" s="246">
        <v>1600</v>
      </c>
      <c r="B1604" s="247" t="s">
        <v>186</v>
      </c>
      <c r="C1604" s="302" t="str">
        <f>"12461"</f>
        <v>12461</v>
      </c>
      <c r="D1604" s="247" t="s">
        <v>30</v>
      </c>
      <c r="E1604" s="248">
        <v>88</v>
      </c>
      <c r="F1604" s="249">
        <v>43419</v>
      </c>
      <c r="G1604" s="249">
        <v>45244</v>
      </c>
      <c r="H1604" s="247" t="s">
        <v>59</v>
      </c>
      <c r="I1604" s="250" t="s">
        <v>433</v>
      </c>
    </row>
    <row r="1605" spans="1:9">
      <c r="A1605" s="246">
        <v>1601</v>
      </c>
      <c r="B1605" s="247" t="s">
        <v>527</v>
      </c>
      <c r="C1605" s="302" t="str">
        <f>"12462"</f>
        <v>12462</v>
      </c>
      <c r="D1605" s="247" t="s">
        <v>18</v>
      </c>
      <c r="E1605" s="248">
        <v>460</v>
      </c>
      <c r="F1605" s="249">
        <v>42611</v>
      </c>
      <c r="G1605" s="249">
        <v>43338</v>
      </c>
      <c r="H1605" s="247" t="s">
        <v>59</v>
      </c>
      <c r="I1605" s="250" t="s">
        <v>433</v>
      </c>
    </row>
    <row r="1606" spans="1:9">
      <c r="A1606" s="246">
        <v>1602</v>
      </c>
      <c r="B1606" s="247" t="s">
        <v>187</v>
      </c>
      <c r="C1606" s="302" t="str">
        <f>"12469"</f>
        <v>12469</v>
      </c>
      <c r="D1606" s="247" t="s">
        <v>13</v>
      </c>
      <c r="E1606" s="248">
        <v>73</v>
      </c>
      <c r="F1606" s="249">
        <v>42296</v>
      </c>
      <c r="G1606" s="249">
        <v>53253</v>
      </c>
      <c r="H1606" s="247" t="s">
        <v>14</v>
      </c>
      <c r="I1606" s="250" t="s">
        <v>79</v>
      </c>
    </row>
    <row r="1607" spans="1:9">
      <c r="A1607" s="246">
        <v>1603</v>
      </c>
      <c r="B1607" s="247" t="s">
        <v>474</v>
      </c>
      <c r="C1607" s="302" t="str">
        <f>"12481"</f>
        <v>12481</v>
      </c>
      <c r="D1607" s="247" t="s">
        <v>21</v>
      </c>
      <c r="E1607" s="248">
        <v>5</v>
      </c>
      <c r="F1607" s="249">
        <v>42642</v>
      </c>
      <c r="G1607" s="249">
        <v>44467</v>
      </c>
      <c r="H1607" s="247" t="s">
        <v>16</v>
      </c>
      <c r="I1607" s="250" t="s">
        <v>3342</v>
      </c>
    </row>
    <row r="1608" spans="1:9">
      <c r="A1608" s="246">
        <v>1604</v>
      </c>
      <c r="B1608" s="247" t="s">
        <v>15</v>
      </c>
      <c r="C1608" s="302" t="str">
        <f>"12489"</f>
        <v>12489</v>
      </c>
      <c r="D1608" s="247" t="s">
        <v>13</v>
      </c>
      <c r="E1608" s="248">
        <v>14</v>
      </c>
      <c r="F1608" s="249">
        <v>40801</v>
      </c>
      <c r="G1608" s="249">
        <v>51758</v>
      </c>
      <c r="H1608" s="247" t="s">
        <v>16</v>
      </c>
      <c r="I1608" s="250" t="s">
        <v>79</v>
      </c>
    </row>
    <row r="1609" spans="1:9">
      <c r="A1609" s="246">
        <v>1605</v>
      </c>
      <c r="B1609" s="247" t="s">
        <v>115</v>
      </c>
      <c r="C1609" s="302" t="str">
        <f>"12510"</f>
        <v>12510</v>
      </c>
      <c r="D1609" s="247" t="s">
        <v>18</v>
      </c>
      <c r="E1609" s="248">
        <v>314</v>
      </c>
      <c r="F1609" s="249">
        <v>40647</v>
      </c>
      <c r="G1609" s="249">
        <v>42473</v>
      </c>
      <c r="H1609" s="247" t="s">
        <v>59</v>
      </c>
      <c r="I1609" s="250" t="s">
        <v>3359</v>
      </c>
    </row>
    <row r="1610" spans="1:9">
      <c r="A1610" s="246">
        <v>1606</v>
      </c>
      <c r="B1610" s="247" t="s">
        <v>115</v>
      </c>
      <c r="C1610" s="302" t="str">
        <f>"12511"</f>
        <v>12511</v>
      </c>
      <c r="D1610" s="247" t="s">
        <v>18</v>
      </c>
      <c r="E1610" s="248">
        <v>365</v>
      </c>
      <c r="F1610" s="249">
        <v>40647</v>
      </c>
      <c r="G1610" s="249">
        <v>42473</v>
      </c>
      <c r="H1610" s="247" t="s">
        <v>59</v>
      </c>
      <c r="I1610" s="250" t="s">
        <v>3359</v>
      </c>
    </row>
    <row r="1611" spans="1:9">
      <c r="A1611" s="246">
        <v>1607</v>
      </c>
      <c r="B1611" s="247" t="s">
        <v>115</v>
      </c>
      <c r="C1611" s="302" t="str">
        <f>"12512"</f>
        <v>12512</v>
      </c>
      <c r="D1611" s="247" t="s">
        <v>18</v>
      </c>
      <c r="E1611" s="248">
        <v>400</v>
      </c>
      <c r="F1611" s="249">
        <v>40647</v>
      </c>
      <c r="G1611" s="249">
        <v>42473</v>
      </c>
      <c r="H1611" s="247" t="s">
        <v>59</v>
      </c>
      <c r="I1611" s="250" t="s">
        <v>3359</v>
      </c>
    </row>
    <row r="1612" spans="1:9">
      <c r="A1612" s="246">
        <v>1608</v>
      </c>
      <c r="B1612" s="247" t="s">
        <v>188</v>
      </c>
      <c r="C1612" s="302" t="str">
        <f>"12517"</f>
        <v>12517</v>
      </c>
      <c r="D1612" s="247" t="s">
        <v>13</v>
      </c>
      <c r="E1612" s="248">
        <v>2</v>
      </c>
      <c r="F1612" s="249">
        <v>40634</v>
      </c>
      <c r="G1612" s="249">
        <v>51591</v>
      </c>
      <c r="H1612" s="247" t="s">
        <v>14</v>
      </c>
      <c r="I1612" s="250" t="s">
        <v>79</v>
      </c>
    </row>
    <row r="1613" spans="1:9">
      <c r="A1613" s="246">
        <v>1609</v>
      </c>
      <c r="B1613" s="247" t="s">
        <v>47</v>
      </c>
      <c r="C1613" s="302" t="str">
        <f>"12518"</f>
        <v>12518</v>
      </c>
      <c r="D1613" s="247" t="s">
        <v>18</v>
      </c>
      <c r="E1613" s="248">
        <v>75</v>
      </c>
      <c r="F1613" s="249">
        <v>42767</v>
      </c>
      <c r="G1613" s="249">
        <v>46418</v>
      </c>
      <c r="H1613" s="247" t="s">
        <v>16</v>
      </c>
      <c r="I1613" s="250" t="s">
        <v>79</v>
      </c>
    </row>
    <row r="1614" spans="1:9">
      <c r="A1614" s="246">
        <v>1610</v>
      </c>
      <c r="B1614" s="247" t="s">
        <v>43</v>
      </c>
      <c r="C1614" s="302" t="str">
        <f>"12519"</f>
        <v>12519</v>
      </c>
      <c r="D1614" s="247" t="s">
        <v>21</v>
      </c>
      <c r="E1614" s="248">
        <v>3</v>
      </c>
      <c r="F1614" s="249">
        <v>44095</v>
      </c>
      <c r="G1614" s="249">
        <v>45920</v>
      </c>
      <c r="H1614" s="247" t="s">
        <v>16</v>
      </c>
      <c r="I1614" s="250" t="s">
        <v>79</v>
      </c>
    </row>
    <row r="1615" spans="1:9">
      <c r="A1615" s="246">
        <v>1611</v>
      </c>
      <c r="B1615" s="247" t="s">
        <v>43</v>
      </c>
      <c r="C1615" s="302" t="str">
        <f>"12520"</f>
        <v>12520</v>
      </c>
      <c r="D1615" s="247" t="s">
        <v>21</v>
      </c>
      <c r="E1615" s="248">
        <v>3</v>
      </c>
      <c r="F1615" s="249">
        <v>44095</v>
      </c>
      <c r="G1615" s="249">
        <v>45920</v>
      </c>
      <c r="H1615" s="247" t="s">
        <v>16</v>
      </c>
      <c r="I1615" s="250" t="s">
        <v>79</v>
      </c>
    </row>
    <row r="1616" spans="1:9">
      <c r="A1616" s="246">
        <v>1612</v>
      </c>
      <c r="B1616" s="247" t="s">
        <v>43</v>
      </c>
      <c r="C1616" s="302" t="str">
        <f>"12522"</f>
        <v>12522</v>
      </c>
      <c r="D1616" s="247" t="s">
        <v>21</v>
      </c>
      <c r="E1616" s="248">
        <v>3</v>
      </c>
      <c r="F1616" s="249">
        <v>44095</v>
      </c>
      <c r="G1616" s="249">
        <v>45920</v>
      </c>
      <c r="H1616" s="247" t="s">
        <v>16</v>
      </c>
      <c r="I1616" s="250" t="s">
        <v>79</v>
      </c>
    </row>
    <row r="1617" spans="1:9">
      <c r="A1617" s="246">
        <v>1613</v>
      </c>
      <c r="B1617" s="247" t="s">
        <v>518</v>
      </c>
      <c r="C1617" s="302" t="str">
        <f>"12524"</f>
        <v>12524</v>
      </c>
      <c r="D1617" s="247" t="s">
        <v>21</v>
      </c>
      <c r="E1617" s="248">
        <v>5</v>
      </c>
      <c r="F1617" s="249">
        <v>40987</v>
      </c>
      <c r="G1617" s="249">
        <v>42812</v>
      </c>
      <c r="H1617" s="247" t="s">
        <v>22</v>
      </c>
      <c r="I1617" s="250" t="s">
        <v>3342</v>
      </c>
    </row>
    <row r="1618" spans="1:9">
      <c r="A1618" s="246">
        <v>1614</v>
      </c>
      <c r="B1618" s="247" t="s">
        <v>518</v>
      </c>
      <c r="C1618" s="302" t="str">
        <f>"12525"</f>
        <v>12525</v>
      </c>
      <c r="D1618" s="247" t="s">
        <v>21</v>
      </c>
      <c r="E1618" s="248">
        <v>5</v>
      </c>
      <c r="F1618" s="249">
        <v>40987</v>
      </c>
      <c r="G1618" s="249">
        <v>42812</v>
      </c>
      <c r="H1618" s="247" t="s">
        <v>22</v>
      </c>
      <c r="I1618" s="250" t="s">
        <v>3342</v>
      </c>
    </row>
    <row r="1619" spans="1:9">
      <c r="A1619" s="246">
        <v>1615</v>
      </c>
      <c r="B1619" s="247" t="s">
        <v>86</v>
      </c>
      <c r="C1619" s="302" t="str">
        <f>"12548"</f>
        <v>12548</v>
      </c>
      <c r="D1619" s="247" t="s">
        <v>13</v>
      </c>
      <c r="E1619" s="248">
        <v>67</v>
      </c>
      <c r="F1619" s="249">
        <v>40978</v>
      </c>
      <c r="G1619" s="249">
        <v>51934</v>
      </c>
      <c r="H1619" s="247" t="s">
        <v>14</v>
      </c>
      <c r="I1619" s="250" t="s">
        <v>79</v>
      </c>
    </row>
    <row r="1620" spans="1:9">
      <c r="A1620" s="246">
        <v>1616</v>
      </c>
      <c r="B1620" s="247" t="s">
        <v>180</v>
      </c>
      <c r="C1620" s="302" t="str">
        <f>"12562"</f>
        <v>12562</v>
      </c>
      <c r="D1620" s="247" t="s">
        <v>13</v>
      </c>
      <c r="E1620" s="248">
        <v>62</v>
      </c>
      <c r="F1620" s="249">
        <v>41401</v>
      </c>
      <c r="G1620" s="249">
        <v>52357</v>
      </c>
      <c r="H1620" s="247" t="s">
        <v>59</v>
      </c>
      <c r="I1620" s="250" t="s">
        <v>79</v>
      </c>
    </row>
    <row r="1621" spans="1:9">
      <c r="A1621" s="246">
        <v>1617</v>
      </c>
      <c r="B1621" s="247" t="s">
        <v>3539</v>
      </c>
      <c r="C1621" s="302" t="str">
        <f>"12577"</f>
        <v>12577</v>
      </c>
      <c r="D1621" s="247" t="s">
        <v>18</v>
      </c>
      <c r="E1621" s="248">
        <v>9</v>
      </c>
      <c r="F1621" s="249">
        <v>42453</v>
      </c>
      <c r="G1621" s="249">
        <v>44278</v>
      </c>
      <c r="H1621" s="247" t="s">
        <v>59</v>
      </c>
      <c r="I1621" s="250" t="s">
        <v>437</v>
      </c>
    </row>
    <row r="1622" spans="1:9">
      <c r="A1622" s="246">
        <v>1618</v>
      </c>
      <c r="B1622" s="247" t="s">
        <v>3539</v>
      </c>
      <c r="C1622" s="302" t="str">
        <f>"12578"</f>
        <v>12578</v>
      </c>
      <c r="D1622" s="247" t="s">
        <v>18</v>
      </c>
      <c r="E1622" s="248">
        <v>62</v>
      </c>
      <c r="F1622" s="249">
        <v>42453</v>
      </c>
      <c r="G1622" s="249">
        <v>44278</v>
      </c>
      <c r="H1622" s="247" t="s">
        <v>59</v>
      </c>
      <c r="I1622" s="250" t="s">
        <v>438</v>
      </c>
    </row>
    <row r="1623" spans="1:9">
      <c r="A1623" s="246">
        <v>1619</v>
      </c>
      <c r="B1623" s="247" t="s">
        <v>3539</v>
      </c>
      <c r="C1623" s="302" t="str">
        <f>"12579"</f>
        <v>12579</v>
      </c>
      <c r="D1623" s="247" t="s">
        <v>18</v>
      </c>
      <c r="E1623" s="248">
        <v>176</v>
      </c>
      <c r="F1623" s="249">
        <v>42453</v>
      </c>
      <c r="G1623" s="249">
        <v>44278</v>
      </c>
      <c r="H1623" s="247" t="s">
        <v>59</v>
      </c>
      <c r="I1623" s="250" t="s">
        <v>437</v>
      </c>
    </row>
    <row r="1624" spans="1:9">
      <c r="A1624" s="246">
        <v>1620</v>
      </c>
      <c r="B1624" s="247" t="s">
        <v>3540</v>
      </c>
      <c r="C1624" s="302" t="str">
        <f>"12591"</f>
        <v>12591</v>
      </c>
      <c r="D1624" s="247" t="s">
        <v>18</v>
      </c>
      <c r="E1624" s="248">
        <v>13</v>
      </c>
      <c r="F1624" s="249">
        <v>40698</v>
      </c>
      <c r="G1624" s="249">
        <v>42158</v>
      </c>
      <c r="H1624" s="247" t="s">
        <v>22</v>
      </c>
      <c r="I1624" s="250" t="s">
        <v>438</v>
      </c>
    </row>
    <row r="1625" spans="1:9">
      <c r="A1625" s="246">
        <v>1621</v>
      </c>
      <c r="B1625" s="247" t="s">
        <v>3541</v>
      </c>
      <c r="C1625" s="302" t="str">
        <f>"12603"</f>
        <v>12603</v>
      </c>
      <c r="D1625" s="247" t="s">
        <v>18</v>
      </c>
      <c r="E1625" s="248">
        <v>1</v>
      </c>
      <c r="F1625" s="249">
        <v>41866</v>
      </c>
      <c r="G1625" s="249">
        <v>43691</v>
      </c>
      <c r="H1625" s="247" t="s">
        <v>14</v>
      </c>
      <c r="I1625" s="250" t="s">
        <v>438</v>
      </c>
    </row>
    <row r="1626" spans="1:9">
      <c r="A1626" s="246">
        <v>1622</v>
      </c>
      <c r="B1626" s="247" t="s">
        <v>3541</v>
      </c>
      <c r="C1626" s="302" t="str">
        <f>"12604"</f>
        <v>12604</v>
      </c>
      <c r="D1626" s="247" t="s">
        <v>18</v>
      </c>
      <c r="E1626" s="248">
        <v>10</v>
      </c>
      <c r="F1626" s="249">
        <v>41866</v>
      </c>
      <c r="G1626" s="249">
        <v>43691</v>
      </c>
      <c r="H1626" s="247" t="s">
        <v>59</v>
      </c>
      <c r="I1626" s="250" t="s">
        <v>438</v>
      </c>
    </row>
    <row r="1627" spans="1:9">
      <c r="A1627" s="246">
        <v>1623</v>
      </c>
      <c r="B1627" s="247" t="s">
        <v>3541</v>
      </c>
      <c r="C1627" s="302" t="str">
        <f>"12605"</f>
        <v>12605</v>
      </c>
      <c r="D1627" s="247" t="s">
        <v>18</v>
      </c>
      <c r="E1627" s="248">
        <v>10</v>
      </c>
      <c r="F1627" s="249">
        <v>41866</v>
      </c>
      <c r="G1627" s="249">
        <v>43691</v>
      </c>
      <c r="H1627" s="247" t="s">
        <v>59</v>
      </c>
      <c r="I1627" s="250" t="s">
        <v>438</v>
      </c>
    </row>
    <row r="1628" spans="1:9">
      <c r="A1628" s="246">
        <v>1624</v>
      </c>
      <c r="B1628" s="247" t="s">
        <v>122</v>
      </c>
      <c r="C1628" s="302" t="str">
        <f>"12606"</f>
        <v>12606</v>
      </c>
      <c r="D1628" s="247" t="s">
        <v>13</v>
      </c>
      <c r="E1628" s="248">
        <v>99</v>
      </c>
      <c r="F1628" s="249">
        <v>40882</v>
      </c>
      <c r="G1628" s="249">
        <v>51839</v>
      </c>
      <c r="H1628" s="247" t="s">
        <v>59</v>
      </c>
      <c r="I1628" s="250" t="s">
        <v>79</v>
      </c>
    </row>
    <row r="1629" spans="1:9">
      <c r="A1629" s="246">
        <v>1625</v>
      </c>
      <c r="B1629" s="247" t="s">
        <v>122</v>
      </c>
      <c r="C1629" s="302" t="str">
        <f>"12607"</f>
        <v>12607</v>
      </c>
      <c r="D1629" s="247" t="s">
        <v>13</v>
      </c>
      <c r="E1629" s="248">
        <v>60</v>
      </c>
      <c r="F1629" s="249">
        <v>40956</v>
      </c>
      <c r="G1629" s="249">
        <v>51913</v>
      </c>
      <c r="H1629" s="247" t="s">
        <v>59</v>
      </c>
      <c r="I1629" s="250" t="s">
        <v>3351</v>
      </c>
    </row>
    <row r="1630" spans="1:9">
      <c r="A1630" s="246">
        <v>1626</v>
      </c>
      <c r="B1630" s="247" t="s">
        <v>3526</v>
      </c>
      <c r="C1630" s="302" t="str">
        <f>"12620"</f>
        <v>12620</v>
      </c>
      <c r="D1630" s="247" t="s">
        <v>21</v>
      </c>
      <c r="E1630" s="248">
        <v>2</v>
      </c>
      <c r="F1630" s="249">
        <v>42025</v>
      </c>
      <c r="G1630" s="249">
        <v>43850</v>
      </c>
      <c r="H1630" s="247" t="s">
        <v>14</v>
      </c>
      <c r="I1630" s="250" t="s">
        <v>437</v>
      </c>
    </row>
    <row r="1631" spans="1:9">
      <c r="A1631" s="246">
        <v>1627</v>
      </c>
      <c r="B1631" s="247" t="s">
        <v>2016</v>
      </c>
      <c r="C1631" s="302" t="str">
        <f>"12621"</f>
        <v>12621</v>
      </c>
      <c r="D1631" s="247" t="s">
        <v>21</v>
      </c>
      <c r="E1631" s="248">
        <v>5</v>
      </c>
      <c r="F1631" s="249">
        <v>44379</v>
      </c>
      <c r="G1631" s="249">
        <v>46204</v>
      </c>
      <c r="H1631" s="247" t="s">
        <v>14</v>
      </c>
      <c r="I1631" s="250" t="s">
        <v>3346</v>
      </c>
    </row>
    <row r="1632" spans="1:9">
      <c r="A1632" s="246">
        <v>1628</v>
      </c>
      <c r="B1632" s="247" t="s">
        <v>189</v>
      </c>
      <c r="C1632" s="302" t="str">
        <f>"12623"</f>
        <v>12623</v>
      </c>
      <c r="D1632" s="247" t="s">
        <v>13</v>
      </c>
      <c r="E1632" s="248">
        <v>10</v>
      </c>
      <c r="F1632" s="249">
        <v>42259</v>
      </c>
      <c r="G1632" s="249">
        <v>53216</v>
      </c>
      <c r="H1632" s="247" t="s">
        <v>16</v>
      </c>
      <c r="I1632" s="250" t="s">
        <v>79</v>
      </c>
    </row>
    <row r="1633" spans="1:9">
      <c r="A1633" s="246">
        <v>1629</v>
      </c>
      <c r="B1633" s="247" t="s">
        <v>3542</v>
      </c>
      <c r="C1633" s="302" t="str">
        <f>"12629"</f>
        <v>12629</v>
      </c>
      <c r="D1633" s="247" t="s">
        <v>23</v>
      </c>
      <c r="E1633" s="248">
        <v>5</v>
      </c>
      <c r="F1633" s="249">
        <v>40768</v>
      </c>
      <c r="G1633" s="249">
        <v>41133</v>
      </c>
      <c r="H1633" s="247" t="s">
        <v>14</v>
      </c>
      <c r="I1633" s="250" t="s">
        <v>437</v>
      </c>
    </row>
    <row r="1634" spans="1:9">
      <c r="A1634" s="246">
        <v>1630</v>
      </c>
      <c r="B1634" s="247" t="s">
        <v>3542</v>
      </c>
      <c r="C1634" s="302" t="str">
        <f>"12630"</f>
        <v>12630</v>
      </c>
      <c r="D1634" s="247" t="s">
        <v>23</v>
      </c>
      <c r="E1634" s="248">
        <v>5</v>
      </c>
      <c r="F1634" s="249">
        <v>40768</v>
      </c>
      <c r="G1634" s="249">
        <v>41133</v>
      </c>
      <c r="H1634" s="247" t="s">
        <v>14</v>
      </c>
      <c r="I1634" s="250" t="s">
        <v>437</v>
      </c>
    </row>
    <row r="1635" spans="1:9">
      <c r="A1635" s="246">
        <v>1631</v>
      </c>
      <c r="B1635" s="247" t="s">
        <v>3543</v>
      </c>
      <c r="C1635" s="302" t="str">
        <f>"12635"</f>
        <v>12635</v>
      </c>
      <c r="D1635" s="247" t="s">
        <v>30</v>
      </c>
      <c r="E1635" s="248">
        <v>13</v>
      </c>
      <c r="F1635" s="249">
        <v>42356</v>
      </c>
      <c r="G1635" s="249">
        <v>44182</v>
      </c>
      <c r="H1635" s="247" t="s">
        <v>84</v>
      </c>
      <c r="I1635" s="250" t="s">
        <v>438</v>
      </c>
    </row>
    <row r="1636" spans="1:9">
      <c r="A1636" s="246">
        <v>1632</v>
      </c>
      <c r="B1636" s="247" t="s">
        <v>190</v>
      </c>
      <c r="C1636" s="302" t="str">
        <f>"12659"</f>
        <v>12659</v>
      </c>
      <c r="D1636" s="247" t="s">
        <v>21</v>
      </c>
      <c r="E1636" s="248">
        <v>5</v>
      </c>
      <c r="F1636" s="249">
        <v>44789</v>
      </c>
      <c r="G1636" s="249">
        <v>46614</v>
      </c>
      <c r="H1636" s="247" t="s">
        <v>22</v>
      </c>
      <c r="I1636" s="250" t="s">
        <v>79</v>
      </c>
    </row>
    <row r="1637" spans="1:9">
      <c r="A1637" s="246">
        <v>1633</v>
      </c>
      <c r="B1637" s="247" t="s">
        <v>190</v>
      </c>
      <c r="C1637" s="302" t="str">
        <f>"12660"</f>
        <v>12660</v>
      </c>
      <c r="D1637" s="247" t="s">
        <v>21</v>
      </c>
      <c r="E1637" s="248">
        <v>5</v>
      </c>
      <c r="F1637" s="249">
        <v>44789</v>
      </c>
      <c r="G1637" s="249">
        <v>46614</v>
      </c>
      <c r="H1637" s="247" t="s">
        <v>22</v>
      </c>
      <c r="I1637" s="250" t="s">
        <v>79</v>
      </c>
    </row>
    <row r="1638" spans="1:9">
      <c r="A1638" s="246">
        <v>1634</v>
      </c>
      <c r="B1638" s="247" t="s">
        <v>190</v>
      </c>
      <c r="C1638" s="302" t="str">
        <f>"12662"</f>
        <v>12662</v>
      </c>
      <c r="D1638" s="247" t="s">
        <v>21</v>
      </c>
      <c r="E1638" s="248">
        <v>5</v>
      </c>
      <c r="F1638" s="249">
        <v>44809</v>
      </c>
      <c r="G1638" s="249">
        <v>46634</v>
      </c>
      <c r="H1638" s="247" t="s">
        <v>22</v>
      </c>
      <c r="I1638" s="250" t="s">
        <v>79</v>
      </c>
    </row>
    <row r="1639" spans="1:9">
      <c r="A1639" s="246">
        <v>1635</v>
      </c>
      <c r="B1639" s="247" t="s">
        <v>190</v>
      </c>
      <c r="C1639" s="302" t="str">
        <f>"12663"</f>
        <v>12663</v>
      </c>
      <c r="D1639" s="247" t="s">
        <v>21</v>
      </c>
      <c r="E1639" s="248">
        <v>5</v>
      </c>
      <c r="F1639" s="249">
        <v>44789</v>
      </c>
      <c r="G1639" s="249">
        <v>46614</v>
      </c>
      <c r="H1639" s="247" t="s">
        <v>22</v>
      </c>
      <c r="I1639" s="250" t="s">
        <v>79</v>
      </c>
    </row>
    <row r="1640" spans="1:9">
      <c r="A1640" s="246">
        <v>1636</v>
      </c>
      <c r="B1640" s="247" t="s">
        <v>190</v>
      </c>
      <c r="C1640" s="302" t="str">
        <f>"12664"</f>
        <v>12664</v>
      </c>
      <c r="D1640" s="247" t="s">
        <v>21</v>
      </c>
      <c r="E1640" s="248">
        <v>5</v>
      </c>
      <c r="F1640" s="249">
        <v>44789</v>
      </c>
      <c r="G1640" s="249">
        <v>46614</v>
      </c>
      <c r="H1640" s="247" t="s">
        <v>22</v>
      </c>
      <c r="I1640" s="250" t="s">
        <v>79</v>
      </c>
    </row>
    <row r="1641" spans="1:9">
      <c r="A1641" s="246">
        <v>1637</v>
      </c>
      <c r="B1641" s="247" t="s">
        <v>190</v>
      </c>
      <c r="C1641" s="302" t="str">
        <f>"12665"</f>
        <v>12665</v>
      </c>
      <c r="D1641" s="247" t="s">
        <v>21</v>
      </c>
      <c r="E1641" s="248">
        <v>5</v>
      </c>
      <c r="F1641" s="249">
        <v>44789</v>
      </c>
      <c r="G1641" s="249">
        <v>46614</v>
      </c>
      <c r="H1641" s="247" t="s">
        <v>22</v>
      </c>
      <c r="I1641" s="250" t="s">
        <v>79</v>
      </c>
    </row>
    <row r="1642" spans="1:9">
      <c r="A1642" s="246">
        <v>1638</v>
      </c>
      <c r="B1642" s="247" t="s">
        <v>3526</v>
      </c>
      <c r="C1642" s="302" t="str">
        <f>"12679"</f>
        <v>12679</v>
      </c>
      <c r="D1642" s="247" t="s">
        <v>23</v>
      </c>
      <c r="E1642" s="248">
        <v>2</v>
      </c>
      <c r="F1642" s="249">
        <v>40780</v>
      </c>
      <c r="G1642" s="249">
        <v>41145</v>
      </c>
      <c r="H1642" s="247" t="s">
        <v>14</v>
      </c>
      <c r="I1642" s="250" t="s">
        <v>3544</v>
      </c>
    </row>
    <row r="1643" spans="1:9">
      <c r="A1643" s="246">
        <v>1639</v>
      </c>
      <c r="B1643" s="247" t="s">
        <v>3545</v>
      </c>
      <c r="C1643" s="302" t="str">
        <f>"12685"</f>
        <v>12685</v>
      </c>
      <c r="D1643" s="247" t="s">
        <v>18</v>
      </c>
      <c r="E1643" s="248">
        <v>400</v>
      </c>
      <c r="F1643" s="249">
        <v>40789</v>
      </c>
      <c r="G1643" s="249">
        <v>42615</v>
      </c>
      <c r="H1643" s="247" t="s">
        <v>59</v>
      </c>
      <c r="I1643" s="250" t="s">
        <v>3359</v>
      </c>
    </row>
    <row r="1644" spans="1:9">
      <c r="A1644" s="246">
        <v>1640</v>
      </c>
      <c r="B1644" s="247" t="s">
        <v>3545</v>
      </c>
      <c r="C1644" s="302" t="str">
        <f>"12686"</f>
        <v>12686</v>
      </c>
      <c r="D1644" s="247" t="s">
        <v>18</v>
      </c>
      <c r="E1644" s="248">
        <v>400</v>
      </c>
      <c r="F1644" s="249">
        <v>40789</v>
      </c>
      <c r="G1644" s="249">
        <v>42615</v>
      </c>
      <c r="H1644" s="247" t="s">
        <v>59</v>
      </c>
      <c r="I1644" s="250" t="s">
        <v>3359</v>
      </c>
    </row>
    <row r="1645" spans="1:9">
      <c r="A1645" s="246">
        <v>1641</v>
      </c>
      <c r="B1645" s="247" t="s">
        <v>3545</v>
      </c>
      <c r="C1645" s="302" t="str">
        <f>"12687"</f>
        <v>12687</v>
      </c>
      <c r="D1645" s="247" t="s">
        <v>18</v>
      </c>
      <c r="E1645" s="248">
        <v>464</v>
      </c>
      <c r="F1645" s="249">
        <v>40789</v>
      </c>
      <c r="G1645" s="249">
        <v>42615</v>
      </c>
      <c r="H1645" s="247" t="s">
        <v>59</v>
      </c>
      <c r="I1645" s="250" t="s">
        <v>3359</v>
      </c>
    </row>
    <row r="1646" spans="1:9">
      <c r="A1646" s="246">
        <v>1642</v>
      </c>
      <c r="B1646" s="247" t="s">
        <v>27</v>
      </c>
      <c r="C1646" s="302" t="str">
        <f>"12688"</f>
        <v>12688</v>
      </c>
      <c r="D1646" s="247" t="s">
        <v>18</v>
      </c>
      <c r="E1646" s="248">
        <v>176</v>
      </c>
      <c r="F1646" s="249">
        <v>44664</v>
      </c>
      <c r="G1646" s="249">
        <v>46489</v>
      </c>
      <c r="H1646" s="247" t="s">
        <v>14</v>
      </c>
      <c r="I1646" s="250" t="s">
        <v>79</v>
      </c>
    </row>
    <row r="1647" spans="1:9">
      <c r="A1647" s="246">
        <v>1643</v>
      </c>
      <c r="B1647" s="247" t="s">
        <v>27</v>
      </c>
      <c r="C1647" s="302" t="str">
        <f>"12689"</f>
        <v>12689</v>
      </c>
      <c r="D1647" s="247" t="s">
        <v>18</v>
      </c>
      <c r="E1647" s="248">
        <v>116</v>
      </c>
      <c r="F1647" s="249">
        <v>44664</v>
      </c>
      <c r="G1647" s="249">
        <v>46489</v>
      </c>
      <c r="H1647" s="247" t="s">
        <v>14</v>
      </c>
      <c r="I1647" s="250" t="s">
        <v>79</v>
      </c>
    </row>
    <row r="1648" spans="1:9">
      <c r="A1648" s="246">
        <v>1644</v>
      </c>
      <c r="B1648" s="247" t="s">
        <v>528</v>
      </c>
      <c r="C1648" s="302" t="str">
        <f>"12707"</f>
        <v>12707</v>
      </c>
      <c r="D1648" s="247" t="s">
        <v>18</v>
      </c>
      <c r="E1648" s="248">
        <v>120</v>
      </c>
      <c r="F1648" s="249">
        <v>42611</v>
      </c>
      <c r="G1648" s="249">
        <v>44436</v>
      </c>
      <c r="H1648" s="247" t="s">
        <v>59</v>
      </c>
      <c r="I1648" s="250" t="s">
        <v>3412</v>
      </c>
    </row>
    <row r="1649" spans="1:9">
      <c r="A1649" s="246">
        <v>1645</v>
      </c>
      <c r="B1649" s="247" t="s">
        <v>528</v>
      </c>
      <c r="C1649" s="302" t="str">
        <f>"12708"</f>
        <v>12708</v>
      </c>
      <c r="D1649" s="247" t="s">
        <v>18</v>
      </c>
      <c r="E1649" s="248">
        <v>50</v>
      </c>
      <c r="F1649" s="249">
        <v>42611</v>
      </c>
      <c r="G1649" s="249">
        <v>44436</v>
      </c>
      <c r="H1649" s="247" t="s">
        <v>59</v>
      </c>
      <c r="I1649" s="250" t="s">
        <v>3412</v>
      </c>
    </row>
    <row r="1650" spans="1:9">
      <c r="A1650" s="246">
        <v>1646</v>
      </c>
      <c r="B1650" s="247" t="s">
        <v>3434</v>
      </c>
      <c r="C1650" s="302" t="str">
        <f>"12709"</f>
        <v>12709</v>
      </c>
      <c r="D1650" s="247" t="s">
        <v>13</v>
      </c>
      <c r="E1650" s="248">
        <v>222</v>
      </c>
      <c r="F1650" s="249">
        <v>41771</v>
      </c>
      <c r="G1650" s="249">
        <v>47249</v>
      </c>
      <c r="H1650" s="247" t="s">
        <v>32</v>
      </c>
      <c r="I1650" s="250" t="s">
        <v>3359</v>
      </c>
    </row>
    <row r="1651" spans="1:9">
      <c r="A1651" s="246">
        <v>1647</v>
      </c>
      <c r="B1651" s="247" t="s">
        <v>3434</v>
      </c>
      <c r="C1651" s="302" t="str">
        <f>"12710"</f>
        <v>12710</v>
      </c>
      <c r="D1651" s="247" t="s">
        <v>13</v>
      </c>
      <c r="E1651" s="248">
        <v>257</v>
      </c>
      <c r="F1651" s="249">
        <v>41771</v>
      </c>
      <c r="G1651" s="249">
        <v>47249</v>
      </c>
      <c r="H1651" s="247" t="s">
        <v>32</v>
      </c>
      <c r="I1651" s="250" t="s">
        <v>3359</v>
      </c>
    </row>
    <row r="1652" spans="1:9">
      <c r="A1652" s="246">
        <v>1648</v>
      </c>
      <c r="B1652" s="247" t="s">
        <v>3434</v>
      </c>
      <c r="C1652" s="302" t="str">
        <f>"12711"</f>
        <v>12711</v>
      </c>
      <c r="D1652" s="247" t="s">
        <v>13</v>
      </c>
      <c r="E1652" s="248">
        <v>171</v>
      </c>
      <c r="F1652" s="249">
        <v>41771</v>
      </c>
      <c r="G1652" s="249">
        <v>47249</v>
      </c>
      <c r="H1652" s="247" t="s">
        <v>32</v>
      </c>
      <c r="I1652" s="250" t="s">
        <v>3359</v>
      </c>
    </row>
    <row r="1653" spans="1:9">
      <c r="A1653" s="246">
        <v>1649</v>
      </c>
      <c r="B1653" s="247" t="s">
        <v>3434</v>
      </c>
      <c r="C1653" s="302" t="str">
        <f>"12712"</f>
        <v>12712</v>
      </c>
      <c r="D1653" s="247" t="s">
        <v>13</v>
      </c>
      <c r="E1653" s="248">
        <v>243</v>
      </c>
      <c r="F1653" s="249">
        <v>41771</v>
      </c>
      <c r="G1653" s="249">
        <v>47249</v>
      </c>
      <c r="H1653" s="247" t="s">
        <v>32</v>
      </c>
      <c r="I1653" s="250" t="s">
        <v>3359</v>
      </c>
    </row>
    <row r="1654" spans="1:9">
      <c r="A1654" s="246">
        <v>1650</v>
      </c>
      <c r="B1654" s="247" t="s">
        <v>177</v>
      </c>
      <c r="C1654" s="302" t="str">
        <f>"12713"</f>
        <v>12713</v>
      </c>
      <c r="D1654" s="247" t="s">
        <v>13</v>
      </c>
      <c r="E1654" s="248">
        <v>54</v>
      </c>
      <c r="F1654" s="249">
        <v>40956</v>
      </c>
      <c r="G1654" s="249">
        <v>51913</v>
      </c>
      <c r="H1654" s="247" t="s">
        <v>59</v>
      </c>
      <c r="I1654" s="250" t="s">
        <v>79</v>
      </c>
    </row>
    <row r="1655" spans="1:9">
      <c r="A1655" s="246">
        <v>1651</v>
      </c>
      <c r="B1655" s="247" t="s">
        <v>1870</v>
      </c>
      <c r="C1655" s="302" t="str">
        <f>"12715"</f>
        <v>12715</v>
      </c>
      <c r="D1655" s="247" t="s">
        <v>13</v>
      </c>
      <c r="E1655" s="248">
        <v>16</v>
      </c>
      <c r="F1655" s="249">
        <v>40763</v>
      </c>
      <c r="G1655" s="249">
        <v>44686</v>
      </c>
      <c r="H1655" s="247" t="s">
        <v>16</v>
      </c>
      <c r="I1655" s="250" t="s">
        <v>3342</v>
      </c>
    </row>
    <row r="1656" spans="1:9">
      <c r="A1656" s="246">
        <v>1652</v>
      </c>
      <c r="B1656" s="247" t="s">
        <v>155</v>
      </c>
      <c r="C1656" s="302" t="str">
        <f>"12717"</f>
        <v>12717</v>
      </c>
      <c r="D1656" s="247" t="s">
        <v>13</v>
      </c>
      <c r="E1656" s="248">
        <v>51</v>
      </c>
      <c r="F1656" s="249">
        <v>42830</v>
      </c>
      <c r="G1656" s="249">
        <v>53786</v>
      </c>
      <c r="H1656" s="247" t="s">
        <v>16</v>
      </c>
      <c r="I1656" s="250" t="s">
        <v>79</v>
      </c>
    </row>
    <row r="1657" spans="1:9">
      <c r="A1657" s="246">
        <v>1653</v>
      </c>
      <c r="B1657" s="247" t="s">
        <v>155</v>
      </c>
      <c r="C1657" s="302" t="str">
        <f>"12719"</f>
        <v>12719</v>
      </c>
      <c r="D1657" s="247" t="s">
        <v>18</v>
      </c>
      <c r="E1657" s="248">
        <v>35</v>
      </c>
      <c r="F1657" s="249">
        <v>42802</v>
      </c>
      <c r="G1657" s="249">
        <v>44627</v>
      </c>
      <c r="H1657" s="247" t="s">
        <v>16</v>
      </c>
      <c r="I1657" s="250" t="s">
        <v>438</v>
      </c>
    </row>
    <row r="1658" spans="1:9">
      <c r="A1658" s="246">
        <v>1654</v>
      </c>
      <c r="B1658" s="247" t="s">
        <v>3546</v>
      </c>
      <c r="C1658" s="302" t="str">
        <f>"12723"</f>
        <v>12723</v>
      </c>
      <c r="D1658" s="247" t="s">
        <v>30</v>
      </c>
      <c r="E1658" s="248">
        <v>11</v>
      </c>
      <c r="F1658" s="249">
        <v>43220</v>
      </c>
      <c r="G1658" s="249">
        <v>45045</v>
      </c>
      <c r="H1658" s="247" t="s">
        <v>14</v>
      </c>
      <c r="I1658" s="250" t="s">
        <v>3417</v>
      </c>
    </row>
    <row r="1659" spans="1:9">
      <c r="A1659" s="246">
        <v>1655</v>
      </c>
      <c r="B1659" s="247" t="s">
        <v>197</v>
      </c>
      <c r="C1659" s="302" t="str">
        <f>"12724"</f>
        <v>12724</v>
      </c>
      <c r="D1659" s="247" t="s">
        <v>18</v>
      </c>
      <c r="E1659" s="248">
        <v>91</v>
      </c>
      <c r="F1659" s="249">
        <v>42845</v>
      </c>
      <c r="G1659" s="249">
        <v>44670</v>
      </c>
      <c r="H1659" s="247" t="s">
        <v>16</v>
      </c>
      <c r="I1659" s="250" t="s">
        <v>448</v>
      </c>
    </row>
    <row r="1660" spans="1:9">
      <c r="A1660" s="246">
        <v>1656</v>
      </c>
      <c r="B1660" s="247" t="s">
        <v>197</v>
      </c>
      <c r="C1660" s="302" t="str">
        <f>"12725"</f>
        <v>12725</v>
      </c>
      <c r="D1660" s="247" t="s">
        <v>18</v>
      </c>
      <c r="E1660" s="248">
        <v>196</v>
      </c>
      <c r="F1660" s="249">
        <v>42845</v>
      </c>
      <c r="G1660" s="249">
        <v>44670</v>
      </c>
      <c r="H1660" s="247" t="s">
        <v>16</v>
      </c>
      <c r="I1660" s="250" t="s">
        <v>448</v>
      </c>
    </row>
    <row r="1661" spans="1:9">
      <c r="A1661" s="246">
        <v>1657</v>
      </c>
      <c r="B1661" s="247" t="s">
        <v>529</v>
      </c>
      <c r="C1661" s="302" t="str">
        <f>"12728"</f>
        <v>12728</v>
      </c>
      <c r="D1661" s="247" t="s">
        <v>18</v>
      </c>
      <c r="E1661" s="248">
        <v>62</v>
      </c>
      <c r="F1661" s="249">
        <v>41866</v>
      </c>
      <c r="G1661" s="249">
        <v>44133</v>
      </c>
      <c r="H1661" s="247" t="s">
        <v>14</v>
      </c>
      <c r="I1661" s="250" t="s">
        <v>3389</v>
      </c>
    </row>
    <row r="1662" spans="1:9">
      <c r="A1662" s="246">
        <v>1658</v>
      </c>
      <c r="B1662" s="247" t="s">
        <v>530</v>
      </c>
      <c r="C1662" s="302" t="str">
        <f>"12743"</f>
        <v>12743</v>
      </c>
      <c r="D1662" s="247" t="s">
        <v>21</v>
      </c>
      <c r="E1662" s="248">
        <v>1</v>
      </c>
      <c r="F1662" s="249">
        <v>42066</v>
      </c>
      <c r="G1662" s="249">
        <v>43892</v>
      </c>
      <c r="H1662" s="247" t="s">
        <v>89</v>
      </c>
      <c r="I1662" s="250" t="s">
        <v>3342</v>
      </c>
    </row>
    <row r="1663" spans="1:9">
      <c r="A1663" s="246">
        <v>1659</v>
      </c>
      <c r="B1663" s="247" t="s">
        <v>3395</v>
      </c>
      <c r="C1663" s="302" t="str">
        <f>"12744"</f>
        <v>12744</v>
      </c>
      <c r="D1663" s="247" t="s">
        <v>18</v>
      </c>
      <c r="E1663" s="248">
        <v>324</v>
      </c>
      <c r="F1663" s="249">
        <v>41019</v>
      </c>
      <c r="G1663" s="249">
        <v>44520</v>
      </c>
      <c r="H1663" s="247" t="s">
        <v>14</v>
      </c>
      <c r="I1663" s="250" t="s">
        <v>448</v>
      </c>
    </row>
    <row r="1664" spans="1:9">
      <c r="A1664" s="246">
        <v>1660</v>
      </c>
      <c r="B1664" s="247" t="s">
        <v>15</v>
      </c>
      <c r="C1664" s="302" t="str">
        <f>"12745"</f>
        <v>12745</v>
      </c>
      <c r="D1664" s="247" t="s">
        <v>13</v>
      </c>
      <c r="E1664" s="248">
        <v>137</v>
      </c>
      <c r="F1664" s="249">
        <v>42949</v>
      </c>
      <c r="G1664" s="249">
        <v>53905</v>
      </c>
      <c r="H1664" s="247" t="s">
        <v>59</v>
      </c>
      <c r="I1664" s="250" t="s">
        <v>79</v>
      </c>
    </row>
    <row r="1665" spans="1:9">
      <c r="A1665" s="246">
        <v>1661</v>
      </c>
      <c r="B1665" s="247" t="s">
        <v>315</v>
      </c>
      <c r="C1665" s="302" t="str">
        <f>"12805"</f>
        <v>12805</v>
      </c>
      <c r="D1665" s="247" t="s">
        <v>18</v>
      </c>
      <c r="E1665" s="248">
        <v>22</v>
      </c>
      <c r="F1665" s="249">
        <v>41899</v>
      </c>
      <c r="G1665" s="249">
        <v>43724</v>
      </c>
      <c r="H1665" s="247" t="s">
        <v>14</v>
      </c>
      <c r="I1665" s="250" t="s">
        <v>437</v>
      </c>
    </row>
    <row r="1666" spans="1:9">
      <c r="A1666" s="246">
        <v>1662</v>
      </c>
      <c r="B1666" s="247" t="s">
        <v>191</v>
      </c>
      <c r="C1666" s="302" t="str">
        <f>"12850"</f>
        <v>12850</v>
      </c>
      <c r="D1666" s="247" t="s">
        <v>13</v>
      </c>
      <c r="E1666" s="248">
        <v>223</v>
      </c>
      <c r="F1666" s="249">
        <v>44194</v>
      </c>
      <c r="G1666" s="249">
        <v>53324</v>
      </c>
      <c r="H1666" s="247" t="s">
        <v>14</v>
      </c>
      <c r="I1666" s="250" t="s">
        <v>79</v>
      </c>
    </row>
    <row r="1667" spans="1:9">
      <c r="A1667" s="246">
        <v>1663</v>
      </c>
      <c r="B1667" s="247" t="s">
        <v>191</v>
      </c>
      <c r="C1667" s="302" t="str">
        <f>"12851"</f>
        <v>12851</v>
      </c>
      <c r="D1667" s="247" t="s">
        <v>13</v>
      </c>
      <c r="E1667" s="248">
        <v>172</v>
      </c>
      <c r="F1667" s="249">
        <v>44194</v>
      </c>
      <c r="G1667" s="249">
        <v>53324</v>
      </c>
      <c r="H1667" s="247" t="s">
        <v>14</v>
      </c>
      <c r="I1667" s="250" t="s">
        <v>79</v>
      </c>
    </row>
    <row r="1668" spans="1:9">
      <c r="A1668" s="246">
        <v>1664</v>
      </c>
      <c r="B1668" s="247" t="s">
        <v>3547</v>
      </c>
      <c r="C1668" s="302" t="str">
        <f>"12857"</f>
        <v>12857</v>
      </c>
      <c r="D1668" s="247" t="s">
        <v>18</v>
      </c>
      <c r="E1668" s="248">
        <v>9</v>
      </c>
      <c r="F1668" s="249">
        <v>41970</v>
      </c>
      <c r="G1668" s="249">
        <v>43795</v>
      </c>
      <c r="H1668" s="247" t="s">
        <v>59</v>
      </c>
      <c r="I1668" s="250" t="s">
        <v>438</v>
      </c>
    </row>
    <row r="1669" spans="1:9">
      <c r="A1669" s="246">
        <v>1665</v>
      </c>
      <c r="B1669" s="247" t="s">
        <v>483</v>
      </c>
      <c r="C1669" s="302" t="str">
        <f>"12871"</f>
        <v>12871</v>
      </c>
      <c r="D1669" s="247" t="s">
        <v>21</v>
      </c>
      <c r="E1669" s="248">
        <v>1</v>
      </c>
      <c r="F1669" s="249">
        <v>40941</v>
      </c>
      <c r="G1669" s="249">
        <v>42767</v>
      </c>
      <c r="H1669" s="247" t="s">
        <v>89</v>
      </c>
      <c r="I1669" s="250" t="s">
        <v>437</v>
      </c>
    </row>
    <row r="1670" spans="1:9">
      <c r="A1670" s="246">
        <v>1666</v>
      </c>
      <c r="B1670" s="247" t="s">
        <v>192</v>
      </c>
      <c r="C1670" s="302" t="str">
        <f>"12873"</f>
        <v>12873</v>
      </c>
      <c r="D1670" s="247" t="s">
        <v>13</v>
      </c>
      <c r="E1670" s="248">
        <v>62</v>
      </c>
      <c r="F1670" s="249">
        <v>41141</v>
      </c>
      <c r="G1670" s="249">
        <v>52097</v>
      </c>
      <c r="H1670" s="247" t="s">
        <v>16</v>
      </c>
      <c r="I1670" s="250" t="s">
        <v>79</v>
      </c>
    </row>
    <row r="1671" spans="1:9">
      <c r="A1671" s="246">
        <v>1667</v>
      </c>
      <c r="B1671" s="247" t="s">
        <v>193</v>
      </c>
      <c r="C1671" s="302" t="str">
        <f>"12894"</f>
        <v>12894</v>
      </c>
      <c r="D1671" s="247" t="s">
        <v>18</v>
      </c>
      <c r="E1671" s="248">
        <v>310</v>
      </c>
      <c r="F1671" s="249">
        <v>41358</v>
      </c>
      <c r="G1671" s="249">
        <v>43183</v>
      </c>
      <c r="H1671" s="247" t="s">
        <v>16</v>
      </c>
      <c r="I1671" s="250" t="s">
        <v>79</v>
      </c>
    </row>
    <row r="1672" spans="1:9">
      <c r="A1672" s="246">
        <v>1668</v>
      </c>
      <c r="B1672" s="247" t="s">
        <v>338</v>
      </c>
      <c r="C1672" s="302" t="str">
        <f>"12903"</f>
        <v>12903</v>
      </c>
      <c r="D1672" s="247" t="s">
        <v>30</v>
      </c>
      <c r="E1672" s="248">
        <v>5</v>
      </c>
      <c r="F1672" s="249">
        <v>42205</v>
      </c>
      <c r="G1672" s="249">
        <v>44031</v>
      </c>
      <c r="H1672" s="247" t="s">
        <v>14</v>
      </c>
      <c r="I1672" s="250" t="s">
        <v>438</v>
      </c>
    </row>
    <row r="1673" spans="1:9">
      <c r="A1673" s="246">
        <v>1669</v>
      </c>
      <c r="B1673" s="247" t="s">
        <v>216</v>
      </c>
      <c r="C1673" s="302" t="str">
        <f>"12905"</f>
        <v>12905</v>
      </c>
      <c r="D1673" s="247" t="s">
        <v>18</v>
      </c>
      <c r="E1673" s="248">
        <v>441</v>
      </c>
      <c r="F1673" s="249">
        <v>40943</v>
      </c>
      <c r="G1673" s="249">
        <v>44850</v>
      </c>
      <c r="H1673" s="247" t="s">
        <v>22</v>
      </c>
      <c r="I1673" s="250" t="s">
        <v>3351</v>
      </c>
    </row>
    <row r="1674" spans="1:9">
      <c r="A1674" s="246">
        <v>1670</v>
      </c>
      <c r="B1674" s="247" t="s">
        <v>216</v>
      </c>
      <c r="C1674" s="302" t="str">
        <f>"12906"</f>
        <v>12906</v>
      </c>
      <c r="D1674" s="247" t="s">
        <v>18</v>
      </c>
      <c r="E1674" s="248">
        <v>81</v>
      </c>
      <c r="F1674" s="249">
        <v>42770</v>
      </c>
      <c r="G1674" s="249">
        <v>44849</v>
      </c>
      <c r="H1674" s="247" t="s">
        <v>22</v>
      </c>
      <c r="I1674" s="250" t="s">
        <v>3351</v>
      </c>
    </row>
    <row r="1675" spans="1:9">
      <c r="A1675" s="246">
        <v>1671</v>
      </c>
      <c r="B1675" s="247" t="s">
        <v>216</v>
      </c>
      <c r="C1675" s="302" t="str">
        <f>"12907"</f>
        <v>12907</v>
      </c>
      <c r="D1675" s="247" t="s">
        <v>18</v>
      </c>
      <c r="E1675" s="248">
        <v>427</v>
      </c>
      <c r="F1675" s="249">
        <v>42770</v>
      </c>
      <c r="G1675" s="249">
        <v>44849</v>
      </c>
      <c r="H1675" s="247" t="s">
        <v>22</v>
      </c>
      <c r="I1675" s="250" t="s">
        <v>3351</v>
      </c>
    </row>
    <row r="1676" spans="1:9">
      <c r="A1676" s="246">
        <v>1672</v>
      </c>
      <c r="B1676" s="247" t="s">
        <v>216</v>
      </c>
      <c r="C1676" s="302" t="str">
        <f>"12908"</f>
        <v>12908</v>
      </c>
      <c r="D1676" s="247" t="s">
        <v>18</v>
      </c>
      <c r="E1676" s="248">
        <v>362</v>
      </c>
      <c r="F1676" s="249">
        <v>40943</v>
      </c>
      <c r="G1676" s="249">
        <v>44849</v>
      </c>
      <c r="H1676" s="247" t="s">
        <v>22</v>
      </c>
      <c r="I1676" s="250" t="s">
        <v>3351</v>
      </c>
    </row>
    <row r="1677" spans="1:9">
      <c r="A1677" s="246">
        <v>1673</v>
      </c>
      <c r="B1677" s="247" t="s">
        <v>216</v>
      </c>
      <c r="C1677" s="302" t="str">
        <f>"12909"</f>
        <v>12909</v>
      </c>
      <c r="D1677" s="247" t="s">
        <v>18</v>
      </c>
      <c r="E1677" s="248">
        <v>327</v>
      </c>
      <c r="F1677" s="249">
        <v>42770</v>
      </c>
      <c r="G1677" s="249">
        <v>43499</v>
      </c>
      <c r="H1677" s="247" t="s">
        <v>22</v>
      </c>
      <c r="I1677" s="250" t="s">
        <v>3351</v>
      </c>
    </row>
    <row r="1678" spans="1:9">
      <c r="A1678" s="246">
        <v>1674</v>
      </c>
      <c r="B1678" s="247" t="s">
        <v>216</v>
      </c>
      <c r="C1678" s="302" t="str">
        <f>"12910"</f>
        <v>12910</v>
      </c>
      <c r="D1678" s="247" t="s">
        <v>18</v>
      </c>
      <c r="E1678" s="248">
        <v>285</v>
      </c>
      <c r="F1678" s="249">
        <v>40943</v>
      </c>
      <c r="G1678" s="249">
        <v>44849</v>
      </c>
      <c r="H1678" s="247" t="s">
        <v>22</v>
      </c>
      <c r="I1678" s="250" t="s">
        <v>3351</v>
      </c>
    </row>
    <row r="1679" spans="1:9">
      <c r="A1679" s="246">
        <v>1675</v>
      </c>
      <c r="B1679" s="247" t="s">
        <v>216</v>
      </c>
      <c r="C1679" s="302" t="str">
        <f>"12911"</f>
        <v>12911</v>
      </c>
      <c r="D1679" s="247" t="s">
        <v>18</v>
      </c>
      <c r="E1679" s="248">
        <v>375</v>
      </c>
      <c r="F1679" s="249">
        <v>42770</v>
      </c>
      <c r="G1679" s="249">
        <v>44849</v>
      </c>
      <c r="H1679" s="247" t="s">
        <v>22</v>
      </c>
      <c r="I1679" s="250" t="s">
        <v>3351</v>
      </c>
    </row>
    <row r="1680" spans="1:9">
      <c r="A1680" s="246">
        <v>1676</v>
      </c>
      <c r="B1680" s="247" t="s">
        <v>216</v>
      </c>
      <c r="C1680" s="302" t="str">
        <f>"12912"</f>
        <v>12912</v>
      </c>
      <c r="D1680" s="247" t="s">
        <v>18</v>
      </c>
      <c r="E1680" s="248">
        <v>376</v>
      </c>
      <c r="F1680" s="249">
        <v>42770</v>
      </c>
      <c r="G1680" s="249">
        <v>44849</v>
      </c>
      <c r="H1680" s="247" t="s">
        <v>22</v>
      </c>
      <c r="I1680" s="250" t="s">
        <v>3351</v>
      </c>
    </row>
    <row r="1681" spans="1:9">
      <c r="A1681" s="246">
        <v>1677</v>
      </c>
      <c r="B1681" s="247" t="s">
        <v>216</v>
      </c>
      <c r="C1681" s="302" t="str">
        <f>"12913"</f>
        <v>12913</v>
      </c>
      <c r="D1681" s="247" t="s">
        <v>18</v>
      </c>
      <c r="E1681" s="248">
        <v>322</v>
      </c>
      <c r="F1681" s="249">
        <v>42770</v>
      </c>
      <c r="G1681" s="249">
        <v>44849</v>
      </c>
      <c r="H1681" s="247" t="s">
        <v>22</v>
      </c>
      <c r="I1681" s="250" t="s">
        <v>3351</v>
      </c>
    </row>
    <row r="1682" spans="1:9">
      <c r="A1682" s="246">
        <v>1678</v>
      </c>
      <c r="B1682" s="247" t="s">
        <v>174</v>
      </c>
      <c r="C1682" s="302" t="str">
        <f>"12914"</f>
        <v>12914</v>
      </c>
      <c r="D1682" s="247" t="s">
        <v>18</v>
      </c>
      <c r="E1682" s="248">
        <v>36</v>
      </c>
      <c r="F1682" s="249">
        <v>40978</v>
      </c>
      <c r="G1682" s="249">
        <v>42803</v>
      </c>
      <c r="H1682" s="247" t="s">
        <v>56</v>
      </c>
      <c r="I1682" s="250" t="s">
        <v>3351</v>
      </c>
    </row>
    <row r="1683" spans="1:9">
      <c r="A1683" s="246">
        <v>1679</v>
      </c>
      <c r="B1683" s="247" t="s">
        <v>3548</v>
      </c>
      <c r="C1683" s="302" t="str">
        <f>"12976"</f>
        <v>12976</v>
      </c>
      <c r="D1683" s="247" t="s">
        <v>18</v>
      </c>
      <c r="E1683" s="248">
        <v>38</v>
      </c>
      <c r="F1683" s="249">
        <v>41900</v>
      </c>
      <c r="G1683" s="249">
        <v>43360</v>
      </c>
      <c r="H1683" s="247" t="s">
        <v>24</v>
      </c>
      <c r="I1683" s="250" t="s">
        <v>437</v>
      </c>
    </row>
    <row r="1684" spans="1:9">
      <c r="A1684" s="246">
        <v>1680</v>
      </c>
      <c r="B1684" s="247" t="s">
        <v>3548</v>
      </c>
      <c r="C1684" s="302" t="str">
        <f>"12984"</f>
        <v>12984</v>
      </c>
      <c r="D1684" s="247" t="s">
        <v>18</v>
      </c>
      <c r="E1684" s="248">
        <v>11</v>
      </c>
      <c r="F1684" s="249">
        <v>41900</v>
      </c>
      <c r="G1684" s="249">
        <v>43360</v>
      </c>
      <c r="H1684" s="247" t="s">
        <v>32</v>
      </c>
      <c r="I1684" s="250" t="s">
        <v>437</v>
      </c>
    </row>
    <row r="1685" spans="1:9">
      <c r="A1685" s="246">
        <v>1681</v>
      </c>
      <c r="B1685" s="247" t="s">
        <v>3548</v>
      </c>
      <c r="C1685" s="302" t="str">
        <f>"12988"</f>
        <v>12988</v>
      </c>
      <c r="D1685" s="247" t="s">
        <v>18</v>
      </c>
      <c r="E1685" s="248">
        <v>40</v>
      </c>
      <c r="F1685" s="249">
        <v>41900</v>
      </c>
      <c r="G1685" s="249">
        <v>43360</v>
      </c>
      <c r="H1685" s="247" t="s">
        <v>32</v>
      </c>
      <c r="I1685" s="250" t="s">
        <v>437</v>
      </c>
    </row>
    <row r="1686" spans="1:9">
      <c r="A1686" s="246">
        <v>1682</v>
      </c>
      <c r="B1686" s="247" t="s">
        <v>192</v>
      </c>
      <c r="C1686" s="302" t="str">
        <f>"13025"</f>
        <v>13025</v>
      </c>
      <c r="D1686" s="247" t="s">
        <v>13</v>
      </c>
      <c r="E1686" s="248">
        <v>204</v>
      </c>
      <c r="F1686" s="249">
        <v>41141</v>
      </c>
      <c r="G1686" s="249">
        <v>52097</v>
      </c>
      <c r="H1686" s="247" t="s">
        <v>16</v>
      </c>
      <c r="I1686" s="250" t="s">
        <v>79</v>
      </c>
    </row>
    <row r="1687" spans="1:9">
      <c r="A1687" s="246">
        <v>1683</v>
      </c>
      <c r="B1687" s="247" t="s">
        <v>192</v>
      </c>
      <c r="C1687" s="302" t="str">
        <f>"13026"</f>
        <v>13026</v>
      </c>
      <c r="D1687" s="247" t="s">
        <v>13</v>
      </c>
      <c r="E1687" s="248">
        <v>202</v>
      </c>
      <c r="F1687" s="249">
        <v>41141</v>
      </c>
      <c r="G1687" s="249">
        <v>52097</v>
      </c>
      <c r="H1687" s="247" t="s">
        <v>16</v>
      </c>
      <c r="I1687" s="250" t="s">
        <v>79</v>
      </c>
    </row>
    <row r="1688" spans="1:9">
      <c r="A1688" s="246">
        <v>1684</v>
      </c>
      <c r="B1688" s="247" t="s">
        <v>3536</v>
      </c>
      <c r="C1688" s="302" t="str">
        <f>"13030"</f>
        <v>13030</v>
      </c>
      <c r="D1688" s="247" t="s">
        <v>21</v>
      </c>
      <c r="E1688" s="248">
        <v>5</v>
      </c>
      <c r="F1688" s="249">
        <v>42280</v>
      </c>
      <c r="G1688" s="249">
        <v>44106</v>
      </c>
      <c r="H1688" s="247" t="s">
        <v>16</v>
      </c>
      <c r="I1688" s="250" t="s">
        <v>437</v>
      </c>
    </row>
    <row r="1689" spans="1:9">
      <c r="A1689" s="246">
        <v>1685</v>
      </c>
      <c r="B1689" s="247" t="s">
        <v>3443</v>
      </c>
      <c r="C1689" s="302" t="str">
        <f>"13064"</f>
        <v>13064</v>
      </c>
      <c r="D1689" s="247" t="s">
        <v>21</v>
      </c>
      <c r="E1689" s="248">
        <v>1</v>
      </c>
      <c r="F1689" s="249">
        <v>41344</v>
      </c>
      <c r="G1689" s="249">
        <v>43169</v>
      </c>
      <c r="H1689" s="247" t="s">
        <v>89</v>
      </c>
      <c r="I1689" s="250" t="s">
        <v>438</v>
      </c>
    </row>
    <row r="1690" spans="1:9">
      <c r="A1690" s="246">
        <v>1686</v>
      </c>
      <c r="B1690" s="247" t="s">
        <v>194</v>
      </c>
      <c r="C1690" s="302" t="str">
        <f>"13065"</f>
        <v>13065</v>
      </c>
      <c r="D1690" s="247" t="s">
        <v>13</v>
      </c>
      <c r="E1690" s="248">
        <v>177</v>
      </c>
      <c r="F1690" s="249">
        <v>41536</v>
      </c>
      <c r="G1690" s="249">
        <v>52492</v>
      </c>
      <c r="H1690" s="247" t="s">
        <v>70</v>
      </c>
      <c r="I1690" s="250" t="s">
        <v>79</v>
      </c>
    </row>
    <row r="1691" spans="1:9">
      <c r="A1691" s="246">
        <v>1687</v>
      </c>
      <c r="B1691" s="247" t="s">
        <v>3433</v>
      </c>
      <c r="C1691" s="302" t="str">
        <f>"13068"</f>
        <v>13068</v>
      </c>
      <c r="D1691" s="247" t="s">
        <v>18</v>
      </c>
      <c r="E1691" s="248">
        <v>66</v>
      </c>
      <c r="F1691" s="249">
        <v>42102</v>
      </c>
      <c r="G1691" s="249">
        <v>43928</v>
      </c>
      <c r="H1691" s="247" t="s">
        <v>16</v>
      </c>
      <c r="I1691" s="250" t="s">
        <v>438</v>
      </c>
    </row>
    <row r="1692" spans="1:9">
      <c r="A1692" s="246">
        <v>1688</v>
      </c>
      <c r="B1692" s="247" t="s">
        <v>195</v>
      </c>
      <c r="C1692" s="302" t="str">
        <f>"13076"</f>
        <v>13076</v>
      </c>
      <c r="D1692" s="247" t="s">
        <v>30</v>
      </c>
      <c r="E1692" s="248">
        <v>57</v>
      </c>
      <c r="F1692" s="249">
        <v>44662</v>
      </c>
      <c r="G1692" s="249">
        <v>46578</v>
      </c>
      <c r="H1692" s="247" t="s">
        <v>84</v>
      </c>
      <c r="I1692" s="250" t="s">
        <v>79</v>
      </c>
    </row>
    <row r="1693" spans="1:9">
      <c r="A1693" s="246">
        <v>1689</v>
      </c>
      <c r="B1693" s="247" t="s">
        <v>141</v>
      </c>
      <c r="C1693" s="302" t="str">
        <f>"13079"</f>
        <v>13079</v>
      </c>
      <c r="D1693" s="247" t="s">
        <v>30</v>
      </c>
      <c r="E1693" s="248">
        <v>3</v>
      </c>
      <c r="F1693" s="249">
        <v>43142</v>
      </c>
      <c r="G1693" s="249">
        <v>44967</v>
      </c>
      <c r="H1693" s="247" t="s">
        <v>14</v>
      </c>
      <c r="I1693" s="250" t="s">
        <v>79</v>
      </c>
    </row>
    <row r="1694" spans="1:9">
      <c r="A1694" s="246">
        <v>1690</v>
      </c>
      <c r="B1694" s="247" t="s">
        <v>196</v>
      </c>
      <c r="C1694" s="302" t="str">
        <f>"13080"</f>
        <v>13080</v>
      </c>
      <c r="D1694" s="247" t="s">
        <v>13</v>
      </c>
      <c r="E1694" s="248">
        <v>187</v>
      </c>
      <c r="F1694" s="249">
        <v>41121</v>
      </c>
      <c r="G1694" s="249">
        <v>52077</v>
      </c>
      <c r="H1694" s="247" t="s">
        <v>14</v>
      </c>
      <c r="I1694" s="250" t="s">
        <v>79</v>
      </c>
    </row>
    <row r="1695" spans="1:9">
      <c r="A1695" s="246">
        <v>1691</v>
      </c>
      <c r="B1695" s="247" t="s">
        <v>197</v>
      </c>
      <c r="C1695" s="302" t="str">
        <f>"13081"</f>
        <v>13081</v>
      </c>
      <c r="D1695" s="247" t="s">
        <v>13</v>
      </c>
      <c r="E1695" s="248">
        <v>44</v>
      </c>
      <c r="F1695" s="249">
        <v>41299</v>
      </c>
      <c r="G1695" s="249">
        <v>52286</v>
      </c>
      <c r="H1695" s="247" t="s">
        <v>70</v>
      </c>
      <c r="I1695" s="250" t="s">
        <v>79</v>
      </c>
    </row>
    <row r="1696" spans="1:9">
      <c r="A1696" s="246">
        <v>1692</v>
      </c>
      <c r="B1696" s="247" t="s">
        <v>470</v>
      </c>
      <c r="C1696" s="302" t="str">
        <f>"13082"</f>
        <v>13082</v>
      </c>
      <c r="D1696" s="247" t="s">
        <v>13</v>
      </c>
      <c r="E1696" s="248">
        <v>70</v>
      </c>
      <c r="F1696" s="249">
        <v>41450</v>
      </c>
      <c r="G1696" s="249">
        <v>52406</v>
      </c>
      <c r="H1696" s="247" t="s">
        <v>70</v>
      </c>
      <c r="I1696" s="250" t="s">
        <v>3346</v>
      </c>
    </row>
    <row r="1697" spans="1:9">
      <c r="A1697" s="246">
        <v>1693</v>
      </c>
      <c r="B1697" s="247" t="s">
        <v>102</v>
      </c>
      <c r="C1697" s="302" t="str">
        <f>"13083"</f>
        <v>13083</v>
      </c>
      <c r="D1697" s="247" t="s">
        <v>13</v>
      </c>
      <c r="E1697" s="248">
        <v>4</v>
      </c>
      <c r="F1697" s="249">
        <v>41247</v>
      </c>
      <c r="G1697" s="249">
        <v>45385</v>
      </c>
      <c r="H1697" s="247" t="s">
        <v>16</v>
      </c>
      <c r="I1697" s="250" t="s">
        <v>79</v>
      </c>
    </row>
    <row r="1698" spans="1:9">
      <c r="A1698" s="246">
        <v>1694</v>
      </c>
      <c r="B1698" s="247" t="s">
        <v>198</v>
      </c>
      <c r="C1698" s="302" t="str">
        <f>"13085"</f>
        <v>13085</v>
      </c>
      <c r="D1698" s="247" t="s">
        <v>13</v>
      </c>
      <c r="E1698" s="248">
        <v>33</v>
      </c>
      <c r="F1698" s="249">
        <v>41482</v>
      </c>
      <c r="G1698" s="249">
        <v>52438</v>
      </c>
      <c r="H1698" s="247" t="s">
        <v>14</v>
      </c>
      <c r="I1698" s="250" t="s">
        <v>79</v>
      </c>
    </row>
    <row r="1699" spans="1:9">
      <c r="A1699" s="246">
        <v>1695</v>
      </c>
      <c r="B1699" s="247" t="s">
        <v>174</v>
      </c>
      <c r="C1699" s="302" t="str">
        <f>"13088"</f>
        <v>13088</v>
      </c>
      <c r="D1699" s="247" t="s">
        <v>18</v>
      </c>
      <c r="E1699" s="248">
        <v>9</v>
      </c>
      <c r="F1699" s="249">
        <v>41731</v>
      </c>
      <c r="G1699" s="249">
        <v>42803</v>
      </c>
      <c r="H1699" s="247" t="s">
        <v>56</v>
      </c>
      <c r="I1699" s="250" t="s">
        <v>3351</v>
      </c>
    </row>
    <row r="1700" spans="1:9">
      <c r="A1700" s="246">
        <v>1696</v>
      </c>
      <c r="B1700" s="247" t="s">
        <v>180</v>
      </c>
      <c r="C1700" s="302" t="str">
        <f>"13089"</f>
        <v>13089</v>
      </c>
      <c r="D1700" s="247" t="s">
        <v>13</v>
      </c>
      <c r="E1700" s="248">
        <v>16</v>
      </c>
      <c r="F1700" s="249">
        <v>43377</v>
      </c>
      <c r="G1700" s="249">
        <v>52507</v>
      </c>
      <c r="H1700" s="247" t="s">
        <v>59</v>
      </c>
      <c r="I1700" s="250" t="s">
        <v>79</v>
      </c>
    </row>
    <row r="1701" spans="1:9">
      <c r="A1701" s="246">
        <v>1697</v>
      </c>
      <c r="B1701" s="247" t="s">
        <v>122</v>
      </c>
      <c r="C1701" s="302" t="str">
        <f>"13090"</f>
        <v>13090</v>
      </c>
      <c r="D1701" s="247" t="s">
        <v>13</v>
      </c>
      <c r="E1701" s="248">
        <v>16</v>
      </c>
      <c r="F1701" s="249">
        <v>43377</v>
      </c>
      <c r="G1701" s="249">
        <v>52507</v>
      </c>
      <c r="H1701" s="247" t="s">
        <v>59</v>
      </c>
      <c r="I1701" s="250" t="s">
        <v>79</v>
      </c>
    </row>
    <row r="1702" spans="1:9">
      <c r="A1702" s="246">
        <v>1698</v>
      </c>
      <c r="B1702" s="247" t="s">
        <v>436</v>
      </c>
      <c r="C1702" s="302" t="str">
        <f>"13092"</f>
        <v>13092</v>
      </c>
      <c r="D1702" s="247" t="s">
        <v>13</v>
      </c>
      <c r="E1702" s="248">
        <v>72</v>
      </c>
      <c r="F1702" s="249">
        <v>41500</v>
      </c>
      <c r="G1702" s="249">
        <v>44106</v>
      </c>
      <c r="H1702" s="247" t="s">
        <v>70</v>
      </c>
      <c r="I1702" s="250" t="s">
        <v>437</v>
      </c>
    </row>
    <row r="1703" spans="1:9">
      <c r="A1703" s="246">
        <v>1699</v>
      </c>
      <c r="B1703" s="247" t="s">
        <v>175</v>
      </c>
      <c r="C1703" s="302" t="str">
        <f>"13093"</f>
        <v>13093</v>
      </c>
      <c r="D1703" s="247" t="s">
        <v>13</v>
      </c>
      <c r="E1703" s="248">
        <v>21</v>
      </c>
      <c r="F1703" s="249">
        <v>41834</v>
      </c>
      <c r="G1703" s="249">
        <v>52791</v>
      </c>
      <c r="H1703" s="247" t="s">
        <v>14</v>
      </c>
      <c r="I1703" s="250" t="s">
        <v>79</v>
      </c>
    </row>
    <row r="1704" spans="1:9">
      <c r="A1704" s="246">
        <v>1700</v>
      </c>
      <c r="B1704" s="247" t="s">
        <v>531</v>
      </c>
      <c r="C1704" s="302" t="str">
        <f>"13096"</f>
        <v>13096</v>
      </c>
      <c r="D1704" s="247" t="s">
        <v>30</v>
      </c>
      <c r="E1704" s="248">
        <v>2</v>
      </c>
      <c r="F1704" s="249">
        <v>41702</v>
      </c>
      <c r="G1704" s="249">
        <v>42449</v>
      </c>
      <c r="H1704" s="247" t="s">
        <v>16</v>
      </c>
      <c r="I1704" s="250" t="s">
        <v>3353</v>
      </c>
    </row>
    <row r="1705" spans="1:9">
      <c r="A1705" s="246">
        <v>1701</v>
      </c>
      <c r="B1705" s="247" t="s">
        <v>15</v>
      </c>
      <c r="C1705" s="302" t="str">
        <f>"13097"</f>
        <v>13097</v>
      </c>
      <c r="D1705" s="247" t="s">
        <v>13</v>
      </c>
      <c r="E1705" s="248">
        <v>49</v>
      </c>
      <c r="F1705" s="249">
        <v>42216</v>
      </c>
      <c r="G1705" s="249">
        <v>53173</v>
      </c>
      <c r="H1705" s="247" t="s">
        <v>70</v>
      </c>
      <c r="I1705" s="250" t="s">
        <v>79</v>
      </c>
    </row>
    <row r="1706" spans="1:9">
      <c r="A1706" s="246">
        <v>1702</v>
      </c>
      <c r="B1706" s="247" t="s">
        <v>15</v>
      </c>
      <c r="C1706" s="302" t="str">
        <f>"13098"</f>
        <v>13098</v>
      </c>
      <c r="D1706" s="247" t="s">
        <v>13</v>
      </c>
      <c r="E1706" s="248">
        <v>54</v>
      </c>
      <c r="F1706" s="249">
        <v>42209</v>
      </c>
      <c r="G1706" s="249">
        <v>53166</v>
      </c>
      <c r="H1706" s="247" t="s">
        <v>70</v>
      </c>
      <c r="I1706" s="250" t="s">
        <v>79</v>
      </c>
    </row>
    <row r="1707" spans="1:9">
      <c r="A1707" s="246">
        <v>1703</v>
      </c>
      <c r="B1707" s="247" t="s">
        <v>199</v>
      </c>
      <c r="C1707" s="302" t="str">
        <f>"13099"</f>
        <v>13099</v>
      </c>
      <c r="D1707" s="247" t="s">
        <v>30</v>
      </c>
      <c r="E1707" s="248">
        <v>5</v>
      </c>
      <c r="F1707" s="249">
        <v>43508</v>
      </c>
      <c r="G1707" s="249">
        <v>45333</v>
      </c>
      <c r="H1707" s="247" t="s">
        <v>14</v>
      </c>
      <c r="I1707" s="250" t="s">
        <v>79</v>
      </c>
    </row>
    <row r="1708" spans="1:9">
      <c r="A1708" s="246">
        <v>1704</v>
      </c>
      <c r="B1708" s="247" t="s">
        <v>43</v>
      </c>
      <c r="C1708" s="302" t="str">
        <f>"13102"</f>
        <v>13102</v>
      </c>
      <c r="D1708" s="247" t="s">
        <v>44</v>
      </c>
      <c r="E1708" s="248">
        <v>2</v>
      </c>
      <c r="F1708" s="249">
        <v>43699</v>
      </c>
      <c r="G1708" s="249">
        <v>45525</v>
      </c>
      <c r="H1708" s="247" t="s">
        <v>14</v>
      </c>
      <c r="I1708" s="250" t="s">
        <v>79</v>
      </c>
    </row>
    <row r="1709" spans="1:9" s="257" customFormat="1">
      <c r="A1709" s="252">
        <v>1705</v>
      </c>
      <c r="B1709" s="253" t="s">
        <v>43</v>
      </c>
      <c r="C1709" s="303" t="str">
        <f>"13103"</f>
        <v>13103</v>
      </c>
      <c r="D1709" s="253" t="s">
        <v>44</v>
      </c>
      <c r="E1709" s="254">
        <v>2</v>
      </c>
      <c r="F1709" s="255">
        <v>43699</v>
      </c>
      <c r="G1709" s="255">
        <v>43698</v>
      </c>
      <c r="H1709" s="253" t="s">
        <v>14</v>
      </c>
      <c r="I1709" s="256" t="s">
        <v>455</v>
      </c>
    </row>
    <row r="1710" spans="1:9">
      <c r="A1710" s="246">
        <v>1706</v>
      </c>
      <c r="B1710" s="247" t="s">
        <v>116</v>
      </c>
      <c r="C1710" s="302" t="str">
        <f>"13114"</f>
        <v>13114</v>
      </c>
      <c r="D1710" s="247" t="s">
        <v>13</v>
      </c>
      <c r="E1710" s="248">
        <v>28</v>
      </c>
      <c r="F1710" s="249">
        <v>42209</v>
      </c>
      <c r="G1710" s="249">
        <v>53166</v>
      </c>
      <c r="H1710" s="247" t="s">
        <v>16</v>
      </c>
      <c r="I1710" s="250" t="s">
        <v>79</v>
      </c>
    </row>
    <row r="1711" spans="1:9">
      <c r="A1711" s="246">
        <v>1707</v>
      </c>
      <c r="B1711" s="247" t="s">
        <v>169</v>
      </c>
      <c r="C1711" s="302" t="str">
        <f>"13117"</f>
        <v>13117</v>
      </c>
      <c r="D1711" s="247" t="s">
        <v>163</v>
      </c>
      <c r="E1711" s="248">
        <v>2</v>
      </c>
      <c r="F1711" s="249">
        <v>42050</v>
      </c>
      <c r="G1711" s="249">
        <v>43875</v>
      </c>
      <c r="H1711" s="247" t="s">
        <v>22</v>
      </c>
      <c r="I1711" s="250" t="s">
        <v>79</v>
      </c>
    </row>
    <row r="1712" spans="1:9">
      <c r="A1712" s="246">
        <v>1708</v>
      </c>
      <c r="B1712" s="247" t="s">
        <v>122</v>
      </c>
      <c r="C1712" s="302" t="str">
        <f>"13118"</f>
        <v>13118</v>
      </c>
      <c r="D1712" s="247" t="s">
        <v>13</v>
      </c>
      <c r="E1712" s="248">
        <v>6</v>
      </c>
      <c r="F1712" s="249">
        <v>41978</v>
      </c>
      <c r="G1712" s="249">
        <v>52357</v>
      </c>
      <c r="H1712" s="247" t="s">
        <v>59</v>
      </c>
      <c r="I1712" s="250" t="s">
        <v>79</v>
      </c>
    </row>
    <row r="1713" spans="1:9">
      <c r="A1713" s="246">
        <v>1709</v>
      </c>
      <c r="B1713" s="247" t="s">
        <v>200</v>
      </c>
      <c r="C1713" s="302" t="str">
        <f>"13119"</f>
        <v>13119</v>
      </c>
      <c r="D1713" s="247" t="s">
        <v>13</v>
      </c>
      <c r="E1713" s="248">
        <v>6</v>
      </c>
      <c r="F1713" s="249">
        <v>42676</v>
      </c>
      <c r="G1713" s="249">
        <v>53632</v>
      </c>
      <c r="H1713" s="247" t="s">
        <v>14</v>
      </c>
      <c r="I1713" s="250" t="s">
        <v>79</v>
      </c>
    </row>
    <row r="1714" spans="1:9">
      <c r="A1714" s="246">
        <v>1710</v>
      </c>
      <c r="B1714" s="247" t="s">
        <v>161</v>
      </c>
      <c r="C1714" s="302" t="str">
        <f>"13120"</f>
        <v>13120</v>
      </c>
      <c r="D1714" s="247" t="s">
        <v>13</v>
      </c>
      <c r="E1714" s="248">
        <v>2</v>
      </c>
      <c r="F1714" s="249">
        <v>41806</v>
      </c>
      <c r="G1714" s="249">
        <v>52508</v>
      </c>
      <c r="H1714" s="247" t="s">
        <v>14</v>
      </c>
      <c r="I1714" s="250" t="s">
        <v>79</v>
      </c>
    </row>
    <row r="1715" spans="1:9">
      <c r="A1715" s="246">
        <v>1711</v>
      </c>
      <c r="B1715" s="247" t="s">
        <v>43</v>
      </c>
      <c r="C1715" s="302" t="str">
        <f>"13121"</f>
        <v>13121</v>
      </c>
      <c r="D1715" s="247" t="s">
        <v>13</v>
      </c>
      <c r="E1715" s="248">
        <v>3</v>
      </c>
      <c r="F1715" s="249">
        <v>41806</v>
      </c>
      <c r="G1715" s="249">
        <v>52508</v>
      </c>
      <c r="H1715" s="247" t="s">
        <v>14</v>
      </c>
      <c r="I1715" s="250" t="s">
        <v>79</v>
      </c>
    </row>
    <row r="1716" spans="1:9">
      <c r="A1716" s="246">
        <v>1712</v>
      </c>
      <c r="B1716" s="247" t="s">
        <v>193</v>
      </c>
      <c r="C1716" s="302" t="str">
        <f>"13122"</f>
        <v>13122</v>
      </c>
      <c r="D1716" s="247" t="s">
        <v>13</v>
      </c>
      <c r="E1716" s="248">
        <v>10</v>
      </c>
      <c r="F1716" s="249">
        <v>41912</v>
      </c>
      <c r="G1716" s="249">
        <v>52869</v>
      </c>
      <c r="H1716" s="247" t="s">
        <v>16</v>
      </c>
      <c r="I1716" s="250" t="s">
        <v>438</v>
      </c>
    </row>
    <row r="1717" spans="1:9">
      <c r="A1717" s="246">
        <v>1713</v>
      </c>
      <c r="B1717" s="247" t="s">
        <v>193</v>
      </c>
      <c r="C1717" s="302" t="str">
        <f>"13123"</f>
        <v>13123</v>
      </c>
      <c r="D1717" s="247" t="s">
        <v>13</v>
      </c>
      <c r="E1717" s="248">
        <v>22</v>
      </c>
      <c r="F1717" s="249">
        <v>41912</v>
      </c>
      <c r="G1717" s="249">
        <v>52869</v>
      </c>
      <c r="H1717" s="247" t="s">
        <v>16</v>
      </c>
      <c r="I1717" s="250" t="s">
        <v>438</v>
      </c>
    </row>
    <row r="1718" spans="1:9">
      <c r="A1718" s="246">
        <v>1714</v>
      </c>
      <c r="B1718" s="247" t="s">
        <v>193</v>
      </c>
      <c r="C1718" s="302" t="str">
        <f>"13124"</f>
        <v>13124</v>
      </c>
      <c r="D1718" s="247" t="s">
        <v>13</v>
      </c>
      <c r="E1718" s="248">
        <v>45</v>
      </c>
      <c r="F1718" s="249">
        <v>41912</v>
      </c>
      <c r="G1718" s="249">
        <v>52869</v>
      </c>
      <c r="H1718" s="247" t="s">
        <v>16</v>
      </c>
      <c r="I1718" s="250" t="s">
        <v>438</v>
      </c>
    </row>
    <row r="1719" spans="1:9">
      <c r="A1719" s="246">
        <v>1715</v>
      </c>
      <c r="B1719" s="247" t="s">
        <v>193</v>
      </c>
      <c r="C1719" s="302" t="str">
        <f>"13125"</f>
        <v>13125</v>
      </c>
      <c r="D1719" s="247" t="s">
        <v>13</v>
      </c>
      <c r="E1719" s="248">
        <v>99</v>
      </c>
      <c r="F1719" s="249">
        <v>41912</v>
      </c>
      <c r="G1719" s="249">
        <v>52869</v>
      </c>
      <c r="H1719" s="247" t="s">
        <v>16</v>
      </c>
      <c r="I1719" s="250" t="s">
        <v>438</v>
      </c>
    </row>
    <row r="1720" spans="1:9">
      <c r="A1720" s="246">
        <v>1716</v>
      </c>
      <c r="B1720" s="247" t="s">
        <v>17</v>
      </c>
      <c r="C1720" s="302" t="str">
        <f>"13155"</f>
        <v>13155</v>
      </c>
      <c r="D1720" s="247" t="s">
        <v>13</v>
      </c>
      <c r="E1720" s="248">
        <v>151</v>
      </c>
      <c r="F1720" s="249">
        <v>42038</v>
      </c>
      <c r="G1720" s="249">
        <v>52995</v>
      </c>
      <c r="H1720" s="247" t="s">
        <v>19</v>
      </c>
      <c r="I1720" s="250" t="s">
        <v>79</v>
      </c>
    </row>
    <row r="1721" spans="1:9">
      <c r="A1721" s="246">
        <v>1717</v>
      </c>
      <c r="B1721" s="247" t="s">
        <v>92</v>
      </c>
      <c r="C1721" s="302" t="str">
        <f>"13157"</f>
        <v>13157</v>
      </c>
      <c r="D1721" s="247" t="s">
        <v>13</v>
      </c>
      <c r="E1721" s="248">
        <v>28</v>
      </c>
      <c r="F1721" s="249">
        <v>42209</v>
      </c>
      <c r="G1721" s="249">
        <v>53166</v>
      </c>
      <c r="H1721" s="247" t="s">
        <v>14</v>
      </c>
      <c r="I1721" s="250" t="s">
        <v>79</v>
      </c>
    </row>
    <row r="1722" spans="1:9">
      <c r="A1722" s="246">
        <v>1718</v>
      </c>
      <c r="B1722" s="247" t="s">
        <v>92</v>
      </c>
      <c r="C1722" s="302" t="str">
        <f>"13158"</f>
        <v>13158</v>
      </c>
      <c r="D1722" s="247" t="s">
        <v>13</v>
      </c>
      <c r="E1722" s="248">
        <v>51</v>
      </c>
      <c r="F1722" s="249">
        <v>42209</v>
      </c>
      <c r="G1722" s="249">
        <v>53166</v>
      </c>
      <c r="H1722" s="247" t="s">
        <v>14</v>
      </c>
      <c r="I1722" s="250" t="s">
        <v>79</v>
      </c>
    </row>
    <row r="1723" spans="1:9">
      <c r="A1723" s="246">
        <v>1719</v>
      </c>
      <c r="B1723" s="247" t="s">
        <v>92</v>
      </c>
      <c r="C1723" s="302" t="str">
        <f>"13159"</f>
        <v>13159</v>
      </c>
      <c r="D1723" s="247" t="s">
        <v>13</v>
      </c>
      <c r="E1723" s="248">
        <v>48</v>
      </c>
      <c r="F1723" s="249">
        <v>42209</v>
      </c>
      <c r="G1723" s="249">
        <v>53166</v>
      </c>
      <c r="H1723" s="247" t="s">
        <v>14</v>
      </c>
      <c r="I1723" s="250" t="s">
        <v>79</v>
      </c>
    </row>
    <row r="1724" spans="1:9">
      <c r="A1724" s="246">
        <v>1720</v>
      </c>
      <c r="B1724" s="247" t="s">
        <v>92</v>
      </c>
      <c r="C1724" s="302" t="str">
        <f>"13160"</f>
        <v>13160</v>
      </c>
      <c r="D1724" s="247" t="s">
        <v>13</v>
      </c>
      <c r="E1724" s="248">
        <v>26</v>
      </c>
      <c r="F1724" s="249">
        <v>42209</v>
      </c>
      <c r="G1724" s="249">
        <v>53166</v>
      </c>
      <c r="H1724" s="247" t="s">
        <v>14</v>
      </c>
      <c r="I1724" s="250" t="s">
        <v>79</v>
      </c>
    </row>
    <row r="1725" spans="1:9">
      <c r="A1725" s="246">
        <v>1721</v>
      </c>
      <c r="B1725" s="247" t="s">
        <v>33</v>
      </c>
      <c r="C1725" s="302" t="str">
        <f>"13162"</f>
        <v>13162</v>
      </c>
      <c r="D1725" s="247" t="s">
        <v>13</v>
      </c>
      <c r="E1725" s="248">
        <v>4</v>
      </c>
      <c r="F1725" s="249">
        <v>41851</v>
      </c>
      <c r="G1725" s="249">
        <v>52808</v>
      </c>
      <c r="H1725" s="247" t="s">
        <v>34</v>
      </c>
      <c r="I1725" s="250" t="s">
        <v>3386</v>
      </c>
    </row>
    <row r="1726" spans="1:9">
      <c r="A1726" s="246">
        <v>1722</v>
      </c>
      <c r="B1726" s="247" t="s">
        <v>33</v>
      </c>
      <c r="C1726" s="302" t="str">
        <f>"13163"</f>
        <v>13163</v>
      </c>
      <c r="D1726" s="247" t="s">
        <v>13</v>
      </c>
      <c r="E1726" s="248">
        <v>5</v>
      </c>
      <c r="F1726" s="249">
        <v>41851</v>
      </c>
      <c r="G1726" s="249">
        <v>52808</v>
      </c>
      <c r="H1726" s="247" t="s">
        <v>34</v>
      </c>
      <c r="I1726" s="250" t="s">
        <v>3386</v>
      </c>
    </row>
    <row r="1727" spans="1:9">
      <c r="A1727" s="246">
        <v>1723</v>
      </c>
      <c r="B1727" s="247" t="s">
        <v>33</v>
      </c>
      <c r="C1727" s="302" t="str">
        <f>"13164"</f>
        <v>13164</v>
      </c>
      <c r="D1727" s="247" t="s">
        <v>13</v>
      </c>
      <c r="E1727" s="248">
        <v>3</v>
      </c>
      <c r="F1727" s="249">
        <v>41851</v>
      </c>
      <c r="G1727" s="249">
        <v>52808</v>
      </c>
      <c r="H1727" s="247" t="s">
        <v>34</v>
      </c>
      <c r="I1727" s="250" t="s">
        <v>3386</v>
      </c>
    </row>
    <row r="1728" spans="1:9">
      <c r="A1728" s="246">
        <v>1724</v>
      </c>
      <c r="B1728" s="247" t="s">
        <v>33</v>
      </c>
      <c r="C1728" s="302" t="str">
        <f>"13165"</f>
        <v>13165</v>
      </c>
      <c r="D1728" s="247" t="s">
        <v>13</v>
      </c>
      <c r="E1728" s="248">
        <v>44</v>
      </c>
      <c r="F1728" s="249">
        <v>41851</v>
      </c>
      <c r="G1728" s="249">
        <v>52808</v>
      </c>
      <c r="H1728" s="247" t="s">
        <v>34</v>
      </c>
      <c r="I1728" s="250" t="s">
        <v>3386</v>
      </c>
    </row>
    <row r="1729" spans="1:9">
      <c r="A1729" s="246">
        <v>1725</v>
      </c>
      <c r="B1729" s="247" t="s">
        <v>33</v>
      </c>
      <c r="C1729" s="302" t="str">
        <f>"13166"</f>
        <v>13166</v>
      </c>
      <c r="D1729" s="247" t="s">
        <v>13</v>
      </c>
      <c r="E1729" s="248">
        <v>6</v>
      </c>
      <c r="F1729" s="249">
        <v>41851</v>
      </c>
      <c r="G1729" s="249">
        <v>52808</v>
      </c>
      <c r="H1729" s="247" t="s">
        <v>34</v>
      </c>
      <c r="I1729" s="250" t="s">
        <v>3386</v>
      </c>
    </row>
    <row r="1730" spans="1:9">
      <c r="A1730" s="246">
        <v>1726</v>
      </c>
      <c r="B1730" s="247" t="s">
        <v>169</v>
      </c>
      <c r="C1730" s="302" t="str">
        <f>"13168"</f>
        <v>13168</v>
      </c>
      <c r="D1730" s="247" t="s">
        <v>163</v>
      </c>
      <c r="E1730" s="248">
        <v>4</v>
      </c>
      <c r="F1730" s="249">
        <v>42025</v>
      </c>
      <c r="G1730" s="249">
        <v>43850</v>
      </c>
      <c r="H1730" s="247" t="s">
        <v>22</v>
      </c>
      <c r="I1730" s="250" t="s">
        <v>79</v>
      </c>
    </row>
    <row r="1731" spans="1:9">
      <c r="A1731" s="246">
        <v>1727</v>
      </c>
      <c r="B1731" s="247" t="s">
        <v>169</v>
      </c>
      <c r="C1731" s="302" t="str">
        <f>"13169"</f>
        <v>13169</v>
      </c>
      <c r="D1731" s="247" t="s">
        <v>163</v>
      </c>
      <c r="E1731" s="248">
        <v>4</v>
      </c>
      <c r="F1731" s="249">
        <v>42390</v>
      </c>
      <c r="G1731" s="249">
        <v>44216</v>
      </c>
      <c r="H1731" s="247" t="s">
        <v>22</v>
      </c>
      <c r="I1731" s="250" t="s">
        <v>79</v>
      </c>
    </row>
    <row r="1732" spans="1:9">
      <c r="A1732" s="246">
        <v>1728</v>
      </c>
      <c r="B1732" s="247" t="s">
        <v>169</v>
      </c>
      <c r="C1732" s="302" t="str">
        <f>"13170"</f>
        <v>13170</v>
      </c>
      <c r="D1732" s="247" t="s">
        <v>163</v>
      </c>
      <c r="E1732" s="248">
        <v>4</v>
      </c>
      <c r="F1732" s="249">
        <v>42390</v>
      </c>
      <c r="G1732" s="249">
        <v>44216</v>
      </c>
      <c r="H1732" s="247" t="s">
        <v>22</v>
      </c>
      <c r="I1732" s="250" t="s">
        <v>79</v>
      </c>
    </row>
    <row r="1733" spans="1:9">
      <c r="A1733" s="246">
        <v>1729</v>
      </c>
      <c r="B1733" s="247" t="s">
        <v>169</v>
      </c>
      <c r="C1733" s="302" t="str">
        <f>"13171"</f>
        <v>13171</v>
      </c>
      <c r="D1733" s="247" t="s">
        <v>163</v>
      </c>
      <c r="E1733" s="248">
        <v>4</v>
      </c>
      <c r="F1733" s="249">
        <v>42390</v>
      </c>
      <c r="G1733" s="249">
        <v>44216</v>
      </c>
      <c r="H1733" s="247" t="s">
        <v>22</v>
      </c>
      <c r="I1733" s="250" t="s">
        <v>79</v>
      </c>
    </row>
    <row r="1734" spans="1:9">
      <c r="A1734" s="246">
        <v>1730</v>
      </c>
      <c r="B1734" s="247" t="s">
        <v>169</v>
      </c>
      <c r="C1734" s="302" t="str">
        <f>"13172"</f>
        <v>13172</v>
      </c>
      <c r="D1734" s="247" t="s">
        <v>163</v>
      </c>
      <c r="E1734" s="248">
        <v>4</v>
      </c>
      <c r="F1734" s="249">
        <v>42019</v>
      </c>
      <c r="G1734" s="249">
        <v>43844</v>
      </c>
      <c r="H1734" s="247" t="s">
        <v>22</v>
      </c>
      <c r="I1734" s="250" t="s">
        <v>79</v>
      </c>
    </row>
    <row r="1735" spans="1:9">
      <c r="A1735" s="246">
        <v>1731</v>
      </c>
      <c r="B1735" s="247" t="s">
        <v>169</v>
      </c>
      <c r="C1735" s="302" t="str">
        <f>"13173"</f>
        <v>13173</v>
      </c>
      <c r="D1735" s="247" t="s">
        <v>163</v>
      </c>
      <c r="E1735" s="248">
        <v>4</v>
      </c>
      <c r="F1735" s="249">
        <v>42390</v>
      </c>
      <c r="G1735" s="249">
        <v>44216</v>
      </c>
      <c r="H1735" s="247" t="s">
        <v>22</v>
      </c>
      <c r="I1735" s="250" t="s">
        <v>79</v>
      </c>
    </row>
    <row r="1736" spans="1:9">
      <c r="A1736" s="246">
        <v>1732</v>
      </c>
      <c r="B1736" s="247" t="s">
        <v>169</v>
      </c>
      <c r="C1736" s="302" t="str">
        <f>"13174"</f>
        <v>13174</v>
      </c>
      <c r="D1736" s="247" t="s">
        <v>163</v>
      </c>
      <c r="E1736" s="248">
        <v>3</v>
      </c>
      <c r="F1736" s="249">
        <v>42390</v>
      </c>
      <c r="G1736" s="249">
        <v>44216</v>
      </c>
      <c r="H1736" s="247" t="s">
        <v>22</v>
      </c>
      <c r="I1736" s="250" t="s">
        <v>79</v>
      </c>
    </row>
    <row r="1737" spans="1:9">
      <c r="A1737" s="246">
        <v>1733</v>
      </c>
      <c r="B1737" s="247" t="s">
        <v>136</v>
      </c>
      <c r="C1737" s="302" t="str">
        <f>"13176"</f>
        <v>13176</v>
      </c>
      <c r="D1737" s="247" t="s">
        <v>13</v>
      </c>
      <c r="E1737" s="248">
        <v>12</v>
      </c>
      <c r="F1737" s="249">
        <v>41969</v>
      </c>
      <c r="G1737" s="249">
        <v>52926</v>
      </c>
      <c r="H1737" s="247" t="s">
        <v>32</v>
      </c>
      <c r="I1737" s="250" t="s">
        <v>438</v>
      </c>
    </row>
    <row r="1738" spans="1:9">
      <c r="A1738" s="246">
        <v>1734</v>
      </c>
      <c r="B1738" s="247" t="s">
        <v>201</v>
      </c>
      <c r="C1738" s="302" t="str">
        <f>"13177"</f>
        <v>13177</v>
      </c>
      <c r="D1738" s="247" t="s">
        <v>13</v>
      </c>
      <c r="E1738" s="248">
        <v>13</v>
      </c>
      <c r="F1738" s="249">
        <v>42067</v>
      </c>
      <c r="G1738" s="249">
        <v>53024</v>
      </c>
      <c r="H1738" s="247" t="s">
        <v>84</v>
      </c>
      <c r="I1738" s="250" t="s">
        <v>79</v>
      </c>
    </row>
    <row r="1739" spans="1:9">
      <c r="A1739" s="246">
        <v>1735</v>
      </c>
      <c r="B1739" s="247" t="s">
        <v>201</v>
      </c>
      <c r="C1739" s="302" t="str">
        <f>"13178"</f>
        <v>13178</v>
      </c>
      <c r="D1739" s="247" t="s">
        <v>13</v>
      </c>
      <c r="E1739" s="248">
        <v>60</v>
      </c>
      <c r="F1739" s="249">
        <v>42067</v>
      </c>
      <c r="G1739" s="249">
        <v>53024</v>
      </c>
      <c r="H1739" s="247" t="s">
        <v>84</v>
      </c>
      <c r="I1739" s="250" t="s">
        <v>79</v>
      </c>
    </row>
    <row r="1740" spans="1:9">
      <c r="A1740" s="246">
        <v>1736</v>
      </c>
      <c r="B1740" s="247" t="s">
        <v>201</v>
      </c>
      <c r="C1740" s="302" t="str">
        <f>"13179"</f>
        <v>13179</v>
      </c>
      <c r="D1740" s="247" t="s">
        <v>13</v>
      </c>
      <c r="E1740" s="248">
        <v>84</v>
      </c>
      <c r="F1740" s="249">
        <v>42067</v>
      </c>
      <c r="G1740" s="249">
        <v>53024</v>
      </c>
      <c r="H1740" s="247" t="s">
        <v>84</v>
      </c>
      <c r="I1740" s="250" t="s">
        <v>79</v>
      </c>
    </row>
    <row r="1741" spans="1:9">
      <c r="A1741" s="246">
        <v>1737</v>
      </c>
      <c r="B1741" s="247" t="s">
        <v>3376</v>
      </c>
      <c r="C1741" s="302" t="str">
        <f>"13185"</f>
        <v>13185</v>
      </c>
      <c r="D1741" s="247" t="s">
        <v>13</v>
      </c>
      <c r="E1741" s="248">
        <v>26</v>
      </c>
      <c r="F1741" s="249">
        <v>44356</v>
      </c>
      <c r="G1741" s="249">
        <v>53486</v>
      </c>
      <c r="H1741" s="247" t="s">
        <v>94</v>
      </c>
      <c r="I1741" s="250" t="s">
        <v>433</v>
      </c>
    </row>
    <row r="1742" spans="1:9">
      <c r="A1742" s="246">
        <v>1738</v>
      </c>
      <c r="B1742" s="247" t="s">
        <v>3549</v>
      </c>
      <c r="C1742" s="302" t="str">
        <f>"13226"</f>
        <v>13226</v>
      </c>
      <c r="D1742" s="247" t="s">
        <v>13</v>
      </c>
      <c r="E1742" s="248">
        <v>65</v>
      </c>
      <c r="F1742" s="249">
        <v>42166</v>
      </c>
      <c r="G1742" s="249">
        <v>43743</v>
      </c>
      <c r="H1742" s="247" t="s">
        <v>14</v>
      </c>
      <c r="I1742" s="250" t="s">
        <v>438</v>
      </c>
    </row>
    <row r="1743" spans="1:9">
      <c r="A1743" s="246">
        <v>1739</v>
      </c>
      <c r="B1743" s="247" t="s">
        <v>202</v>
      </c>
      <c r="C1743" s="302" t="str">
        <f>"13227"</f>
        <v>13227</v>
      </c>
      <c r="D1743" s="247" t="s">
        <v>163</v>
      </c>
      <c r="E1743" s="248">
        <v>2</v>
      </c>
      <c r="F1743" s="249">
        <v>42420</v>
      </c>
      <c r="G1743" s="249">
        <v>42785</v>
      </c>
      <c r="H1743" s="247" t="s">
        <v>14</v>
      </c>
      <c r="I1743" s="250" t="s">
        <v>79</v>
      </c>
    </row>
    <row r="1744" spans="1:9">
      <c r="A1744" s="246">
        <v>1740</v>
      </c>
      <c r="B1744" s="247" t="s">
        <v>96</v>
      </c>
      <c r="C1744" s="302" t="str">
        <f>"13229"</f>
        <v>13229</v>
      </c>
      <c r="D1744" s="247" t="s">
        <v>44</v>
      </c>
      <c r="E1744" s="248">
        <v>4</v>
      </c>
      <c r="F1744" s="249">
        <v>42999</v>
      </c>
      <c r="G1744" s="249">
        <v>44824</v>
      </c>
      <c r="H1744" s="247" t="s">
        <v>14</v>
      </c>
      <c r="I1744" s="250" t="s">
        <v>3342</v>
      </c>
    </row>
    <row r="1745" spans="1:9">
      <c r="A1745" s="246">
        <v>1741</v>
      </c>
      <c r="B1745" s="247" t="s">
        <v>96</v>
      </c>
      <c r="C1745" s="302" t="str">
        <f>"13230"</f>
        <v>13230</v>
      </c>
      <c r="D1745" s="247" t="s">
        <v>44</v>
      </c>
      <c r="E1745" s="248">
        <v>2</v>
      </c>
      <c r="F1745" s="249">
        <v>42999</v>
      </c>
      <c r="G1745" s="249">
        <v>44824</v>
      </c>
      <c r="H1745" s="247" t="s">
        <v>14</v>
      </c>
      <c r="I1745" s="250" t="s">
        <v>3342</v>
      </c>
    </row>
    <row r="1746" spans="1:9">
      <c r="A1746" s="246">
        <v>1742</v>
      </c>
      <c r="B1746" s="247" t="s">
        <v>43</v>
      </c>
      <c r="C1746" s="302" t="str">
        <f>"13234"</f>
        <v>13234</v>
      </c>
      <c r="D1746" s="247" t="s">
        <v>13</v>
      </c>
      <c r="E1746" s="248">
        <v>2</v>
      </c>
      <c r="F1746" s="249">
        <v>42553</v>
      </c>
      <c r="G1746" s="249">
        <v>45384</v>
      </c>
      <c r="H1746" s="247" t="s">
        <v>14</v>
      </c>
      <c r="I1746" s="250" t="s">
        <v>79</v>
      </c>
    </row>
    <row r="1747" spans="1:9">
      <c r="A1747" s="246">
        <v>1743</v>
      </c>
      <c r="B1747" s="247" t="s">
        <v>43</v>
      </c>
      <c r="C1747" s="302" t="str">
        <f>"13235"</f>
        <v>13235</v>
      </c>
      <c r="D1747" s="247" t="s">
        <v>13</v>
      </c>
      <c r="E1747" s="248">
        <v>3</v>
      </c>
      <c r="F1747" s="249">
        <v>42553</v>
      </c>
      <c r="G1747" s="249">
        <v>45384</v>
      </c>
      <c r="H1747" s="247" t="s">
        <v>14</v>
      </c>
      <c r="I1747" s="250" t="s">
        <v>79</v>
      </c>
    </row>
    <row r="1748" spans="1:9">
      <c r="A1748" s="246">
        <v>1744</v>
      </c>
      <c r="B1748" s="247" t="s">
        <v>166</v>
      </c>
      <c r="C1748" s="302" t="str">
        <f>"13236"</f>
        <v>13236</v>
      </c>
      <c r="D1748" s="247" t="s">
        <v>13</v>
      </c>
      <c r="E1748" s="248">
        <v>13</v>
      </c>
      <c r="F1748" s="249">
        <v>42553</v>
      </c>
      <c r="G1748" s="249">
        <v>45384</v>
      </c>
      <c r="H1748" s="247" t="s">
        <v>14</v>
      </c>
      <c r="I1748" s="250" t="s">
        <v>79</v>
      </c>
    </row>
    <row r="1749" spans="1:9">
      <c r="A1749" s="246">
        <v>1745</v>
      </c>
      <c r="B1749" s="247" t="s">
        <v>166</v>
      </c>
      <c r="C1749" s="302" t="str">
        <f>"13237"</f>
        <v>13237</v>
      </c>
      <c r="D1749" s="247" t="s">
        <v>13</v>
      </c>
      <c r="E1749" s="248">
        <v>5</v>
      </c>
      <c r="F1749" s="249">
        <v>42553</v>
      </c>
      <c r="G1749" s="249">
        <v>51202</v>
      </c>
      <c r="H1749" s="247" t="s">
        <v>14</v>
      </c>
      <c r="I1749" s="250" t="s">
        <v>79</v>
      </c>
    </row>
    <row r="1750" spans="1:9">
      <c r="A1750" s="246">
        <v>1746</v>
      </c>
      <c r="B1750" s="247" t="s">
        <v>166</v>
      </c>
      <c r="C1750" s="302" t="str">
        <f>"13238"</f>
        <v>13238</v>
      </c>
      <c r="D1750" s="247" t="s">
        <v>13</v>
      </c>
      <c r="E1750" s="248">
        <v>3</v>
      </c>
      <c r="F1750" s="249">
        <v>42553</v>
      </c>
      <c r="G1750" s="249">
        <v>45384</v>
      </c>
      <c r="H1750" s="247" t="s">
        <v>14</v>
      </c>
      <c r="I1750" s="250" t="s">
        <v>79</v>
      </c>
    </row>
    <row r="1751" spans="1:9">
      <c r="A1751" s="246">
        <v>1747</v>
      </c>
      <c r="B1751" s="247" t="s">
        <v>166</v>
      </c>
      <c r="C1751" s="302" t="str">
        <f>"13239"</f>
        <v>13239</v>
      </c>
      <c r="D1751" s="247" t="s">
        <v>13</v>
      </c>
      <c r="E1751" s="248">
        <v>1</v>
      </c>
      <c r="F1751" s="249">
        <v>42553</v>
      </c>
      <c r="G1751" s="249">
        <v>45384</v>
      </c>
      <c r="H1751" s="247" t="s">
        <v>14</v>
      </c>
      <c r="I1751" s="250" t="s">
        <v>79</v>
      </c>
    </row>
    <row r="1752" spans="1:9">
      <c r="A1752" s="246">
        <v>1748</v>
      </c>
      <c r="B1752" s="247" t="s">
        <v>166</v>
      </c>
      <c r="C1752" s="302" t="str">
        <f>"13240"</f>
        <v>13240</v>
      </c>
      <c r="D1752" s="247" t="s">
        <v>13</v>
      </c>
      <c r="E1752" s="248">
        <v>1</v>
      </c>
      <c r="F1752" s="249">
        <v>42553</v>
      </c>
      <c r="G1752" s="249">
        <v>45384</v>
      </c>
      <c r="H1752" s="247" t="s">
        <v>14</v>
      </c>
      <c r="I1752" s="250" t="s">
        <v>79</v>
      </c>
    </row>
    <row r="1753" spans="1:9">
      <c r="A1753" s="246">
        <v>1749</v>
      </c>
      <c r="B1753" s="247" t="s">
        <v>530</v>
      </c>
      <c r="C1753" s="302" t="str">
        <f>"13241"</f>
        <v>13241</v>
      </c>
      <c r="D1753" s="247" t="s">
        <v>21</v>
      </c>
      <c r="E1753" s="248">
        <v>2</v>
      </c>
      <c r="F1753" s="249">
        <v>42563</v>
      </c>
      <c r="G1753" s="249">
        <v>44388</v>
      </c>
      <c r="H1753" s="247" t="s">
        <v>22</v>
      </c>
      <c r="I1753" s="250" t="s">
        <v>3342</v>
      </c>
    </row>
    <row r="1754" spans="1:9">
      <c r="A1754" s="246">
        <v>1750</v>
      </c>
      <c r="B1754" s="247" t="s">
        <v>186</v>
      </c>
      <c r="C1754" s="302" t="str">
        <f>"13247"</f>
        <v>13247</v>
      </c>
      <c r="D1754" s="247" t="s">
        <v>13</v>
      </c>
      <c r="E1754" s="248">
        <v>28</v>
      </c>
      <c r="F1754" s="249">
        <v>43150</v>
      </c>
      <c r="G1754" s="249">
        <v>54106</v>
      </c>
      <c r="H1754" s="247" t="s">
        <v>59</v>
      </c>
      <c r="I1754" s="250" t="s">
        <v>79</v>
      </c>
    </row>
    <row r="1755" spans="1:9">
      <c r="A1755" s="246">
        <v>1751</v>
      </c>
      <c r="B1755" s="247" t="s">
        <v>203</v>
      </c>
      <c r="C1755" s="302" t="str">
        <f>"13248"</f>
        <v>13248</v>
      </c>
      <c r="D1755" s="247" t="s">
        <v>13</v>
      </c>
      <c r="E1755" s="248">
        <v>78</v>
      </c>
      <c r="F1755" s="249">
        <v>43220</v>
      </c>
      <c r="G1755" s="249">
        <v>53458</v>
      </c>
      <c r="H1755" s="247" t="s">
        <v>59</v>
      </c>
      <c r="I1755" s="250" t="s">
        <v>79</v>
      </c>
    </row>
    <row r="1756" spans="1:9">
      <c r="A1756" s="246">
        <v>1752</v>
      </c>
      <c r="B1756" s="247" t="s">
        <v>20</v>
      </c>
      <c r="C1756" s="302" t="str">
        <f>"13252"</f>
        <v>13252</v>
      </c>
      <c r="D1756" s="247" t="s">
        <v>21</v>
      </c>
      <c r="E1756" s="248">
        <v>5</v>
      </c>
      <c r="F1756" s="249">
        <v>43530</v>
      </c>
      <c r="G1756" s="249">
        <v>43943</v>
      </c>
      <c r="H1756" s="247" t="s">
        <v>22</v>
      </c>
      <c r="I1756" s="250" t="s">
        <v>3342</v>
      </c>
    </row>
    <row r="1757" spans="1:9">
      <c r="A1757" s="246">
        <v>1753</v>
      </c>
      <c r="B1757" s="247" t="s">
        <v>20</v>
      </c>
      <c r="C1757" s="302" t="str">
        <f>"13253"</f>
        <v>13253</v>
      </c>
      <c r="D1757" s="247" t="s">
        <v>21</v>
      </c>
      <c r="E1757" s="248">
        <v>2</v>
      </c>
      <c r="F1757" s="249">
        <v>43530</v>
      </c>
      <c r="G1757" s="249">
        <v>43943</v>
      </c>
      <c r="H1757" s="247" t="s">
        <v>22</v>
      </c>
      <c r="I1757" s="250" t="s">
        <v>3342</v>
      </c>
    </row>
    <row r="1758" spans="1:9">
      <c r="A1758" s="246">
        <v>1754</v>
      </c>
      <c r="B1758" s="247" t="s">
        <v>43</v>
      </c>
      <c r="C1758" s="302" t="str">
        <f>"13254"</f>
        <v>13254</v>
      </c>
      <c r="D1758" s="247" t="s">
        <v>13</v>
      </c>
      <c r="E1758" s="248">
        <v>4</v>
      </c>
      <c r="F1758" s="249">
        <v>43006</v>
      </c>
      <c r="G1758" s="249">
        <v>45384</v>
      </c>
      <c r="H1758" s="247" t="s">
        <v>14</v>
      </c>
      <c r="I1758" s="250" t="s">
        <v>79</v>
      </c>
    </row>
    <row r="1759" spans="1:9">
      <c r="A1759" s="246">
        <v>1755</v>
      </c>
      <c r="B1759" s="247" t="s">
        <v>204</v>
      </c>
      <c r="C1759" s="302" t="str">
        <f>"13255"</f>
        <v>13255</v>
      </c>
      <c r="D1759" s="247" t="s">
        <v>13</v>
      </c>
      <c r="E1759" s="248">
        <v>4</v>
      </c>
      <c r="F1759" s="249">
        <v>42839</v>
      </c>
      <c r="G1759" s="249">
        <v>51325</v>
      </c>
      <c r="H1759" s="247" t="s">
        <v>14</v>
      </c>
      <c r="I1759" s="250" t="s">
        <v>79</v>
      </c>
    </row>
    <row r="1760" spans="1:9">
      <c r="A1760" s="246">
        <v>1756</v>
      </c>
      <c r="B1760" s="247" t="s">
        <v>43</v>
      </c>
      <c r="C1760" s="302" t="str">
        <f>"13256"</f>
        <v>13256</v>
      </c>
      <c r="D1760" s="247" t="s">
        <v>13</v>
      </c>
      <c r="E1760" s="248">
        <v>31</v>
      </c>
      <c r="F1760" s="249">
        <v>43006</v>
      </c>
      <c r="G1760" s="249">
        <v>45384</v>
      </c>
      <c r="H1760" s="247" t="s">
        <v>14</v>
      </c>
      <c r="I1760" s="250" t="s">
        <v>79</v>
      </c>
    </row>
    <row r="1761" spans="1:9">
      <c r="A1761" s="246">
        <v>1757</v>
      </c>
      <c r="B1761" s="247" t="s">
        <v>204</v>
      </c>
      <c r="C1761" s="302" t="str">
        <f>"13257"</f>
        <v>13257</v>
      </c>
      <c r="D1761" s="247" t="s">
        <v>13</v>
      </c>
      <c r="E1761" s="248">
        <v>102</v>
      </c>
      <c r="F1761" s="249">
        <v>42839</v>
      </c>
      <c r="G1761" s="249">
        <v>51353</v>
      </c>
      <c r="H1761" s="247" t="s">
        <v>16</v>
      </c>
      <c r="I1761" s="250" t="s">
        <v>79</v>
      </c>
    </row>
    <row r="1762" spans="1:9">
      <c r="A1762" s="246">
        <v>1758</v>
      </c>
      <c r="B1762" s="247" t="s">
        <v>1064</v>
      </c>
      <c r="C1762" s="302" t="str">
        <f>"13258"</f>
        <v>13258</v>
      </c>
      <c r="D1762" s="247" t="s">
        <v>30</v>
      </c>
      <c r="E1762" s="248">
        <v>15</v>
      </c>
      <c r="F1762" s="249">
        <v>42852</v>
      </c>
      <c r="G1762" s="249">
        <v>44677</v>
      </c>
      <c r="H1762" s="247" t="s">
        <v>16</v>
      </c>
      <c r="I1762" s="250" t="s">
        <v>3353</v>
      </c>
    </row>
    <row r="1763" spans="1:9">
      <c r="A1763" s="246">
        <v>1759</v>
      </c>
      <c r="B1763" s="247" t="s">
        <v>204</v>
      </c>
      <c r="C1763" s="302" t="str">
        <f>"13259"</f>
        <v>13259</v>
      </c>
      <c r="D1763" s="247" t="s">
        <v>13</v>
      </c>
      <c r="E1763" s="248">
        <v>4</v>
      </c>
      <c r="F1763" s="249">
        <v>42839</v>
      </c>
      <c r="G1763" s="249">
        <v>45384</v>
      </c>
      <c r="H1763" s="247" t="s">
        <v>14</v>
      </c>
      <c r="I1763" s="250" t="s">
        <v>79</v>
      </c>
    </row>
    <row r="1764" spans="1:9">
      <c r="A1764" s="246">
        <v>1760</v>
      </c>
      <c r="B1764" s="247" t="s">
        <v>204</v>
      </c>
      <c r="C1764" s="302" t="str">
        <f>"13260"</f>
        <v>13260</v>
      </c>
      <c r="D1764" s="247" t="s">
        <v>13</v>
      </c>
      <c r="E1764" s="248">
        <v>25</v>
      </c>
      <c r="F1764" s="249">
        <v>42839</v>
      </c>
      <c r="G1764" s="249">
        <v>45384</v>
      </c>
      <c r="H1764" s="247" t="s">
        <v>14</v>
      </c>
      <c r="I1764" s="250" t="s">
        <v>79</v>
      </c>
    </row>
    <row r="1765" spans="1:9">
      <c r="A1765" s="246">
        <v>1761</v>
      </c>
      <c r="B1765" s="247" t="s">
        <v>231</v>
      </c>
      <c r="C1765" s="302" t="str">
        <f>"13265"</f>
        <v>13265</v>
      </c>
      <c r="D1765" s="247" t="s">
        <v>21</v>
      </c>
      <c r="E1765" s="248">
        <v>5</v>
      </c>
      <c r="F1765" s="249">
        <v>43510</v>
      </c>
      <c r="G1765" s="249">
        <v>45335</v>
      </c>
      <c r="H1765" s="247" t="s">
        <v>16</v>
      </c>
      <c r="I1765" s="250" t="s">
        <v>438</v>
      </c>
    </row>
    <row r="1766" spans="1:9">
      <c r="A1766" s="246">
        <v>1762</v>
      </c>
      <c r="B1766" s="247" t="s">
        <v>231</v>
      </c>
      <c r="C1766" s="302" t="str">
        <f>"13266"</f>
        <v>13266</v>
      </c>
      <c r="D1766" s="247" t="s">
        <v>21</v>
      </c>
      <c r="E1766" s="248">
        <v>5</v>
      </c>
      <c r="F1766" s="249">
        <v>43510</v>
      </c>
      <c r="G1766" s="249">
        <v>45335</v>
      </c>
      <c r="H1766" s="247" t="s">
        <v>16</v>
      </c>
      <c r="I1766" s="250" t="s">
        <v>438</v>
      </c>
    </row>
    <row r="1767" spans="1:9">
      <c r="A1767" s="246">
        <v>1763</v>
      </c>
      <c r="B1767" s="247" t="s">
        <v>2529</v>
      </c>
      <c r="C1767" s="302" t="str">
        <f>"13267"</f>
        <v>13267</v>
      </c>
      <c r="D1767" s="247" t="s">
        <v>18</v>
      </c>
      <c r="E1767" s="248">
        <v>42</v>
      </c>
      <c r="F1767" s="249">
        <v>42821</v>
      </c>
      <c r="G1767" s="249">
        <v>44646</v>
      </c>
      <c r="H1767" s="247" t="s">
        <v>24</v>
      </c>
      <c r="I1767" s="250" t="s">
        <v>3369</v>
      </c>
    </row>
    <row r="1768" spans="1:9">
      <c r="A1768" s="246">
        <v>1764</v>
      </c>
      <c r="B1768" s="247" t="s">
        <v>2529</v>
      </c>
      <c r="C1768" s="302" t="str">
        <f>"13268"</f>
        <v>13268</v>
      </c>
      <c r="D1768" s="247" t="s">
        <v>18</v>
      </c>
      <c r="E1768" s="248">
        <v>18</v>
      </c>
      <c r="F1768" s="249">
        <v>42821</v>
      </c>
      <c r="G1768" s="249">
        <v>44646</v>
      </c>
      <c r="H1768" s="247" t="s">
        <v>24</v>
      </c>
      <c r="I1768" s="250" t="s">
        <v>3369</v>
      </c>
    </row>
    <row r="1769" spans="1:9">
      <c r="A1769" s="246">
        <v>1765</v>
      </c>
      <c r="B1769" s="247" t="s">
        <v>315</v>
      </c>
      <c r="C1769" s="302" t="str">
        <f>"13269"</f>
        <v>13269</v>
      </c>
      <c r="D1769" s="247" t="s">
        <v>18</v>
      </c>
      <c r="E1769" s="248">
        <v>4</v>
      </c>
      <c r="F1769" s="249">
        <v>42821</v>
      </c>
      <c r="G1769" s="249">
        <v>44646</v>
      </c>
      <c r="H1769" s="247" t="s">
        <v>31</v>
      </c>
      <c r="I1769" s="250" t="s">
        <v>448</v>
      </c>
    </row>
    <row r="1770" spans="1:9">
      <c r="A1770" s="246">
        <v>1766</v>
      </c>
      <c r="B1770" s="247" t="s">
        <v>315</v>
      </c>
      <c r="C1770" s="302" t="str">
        <f>"13270"</f>
        <v>13270</v>
      </c>
      <c r="D1770" s="247" t="s">
        <v>18</v>
      </c>
      <c r="E1770" s="248">
        <v>4</v>
      </c>
      <c r="F1770" s="249">
        <v>42821</v>
      </c>
      <c r="G1770" s="249">
        <v>44646</v>
      </c>
      <c r="H1770" s="247" t="s">
        <v>24</v>
      </c>
      <c r="I1770" s="250" t="s">
        <v>448</v>
      </c>
    </row>
    <row r="1771" spans="1:9">
      <c r="A1771" s="246">
        <v>1767</v>
      </c>
      <c r="B1771" s="247" t="s">
        <v>315</v>
      </c>
      <c r="C1771" s="302" t="str">
        <f>"13271"</f>
        <v>13271</v>
      </c>
      <c r="D1771" s="247" t="s">
        <v>18</v>
      </c>
      <c r="E1771" s="248">
        <v>25</v>
      </c>
      <c r="F1771" s="249">
        <v>42821</v>
      </c>
      <c r="G1771" s="249">
        <v>44646</v>
      </c>
      <c r="H1771" s="247" t="s">
        <v>24</v>
      </c>
      <c r="I1771" s="250" t="s">
        <v>448</v>
      </c>
    </row>
    <row r="1772" spans="1:9">
      <c r="A1772" s="246">
        <v>1768</v>
      </c>
      <c r="B1772" s="247" t="s">
        <v>315</v>
      </c>
      <c r="C1772" s="302" t="str">
        <f>"13272"</f>
        <v>13272</v>
      </c>
      <c r="D1772" s="247" t="s">
        <v>18</v>
      </c>
      <c r="E1772" s="248">
        <v>4</v>
      </c>
      <c r="F1772" s="249">
        <v>42821</v>
      </c>
      <c r="G1772" s="249">
        <v>44646</v>
      </c>
      <c r="H1772" s="247" t="s">
        <v>24</v>
      </c>
      <c r="I1772" s="250" t="s">
        <v>448</v>
      </c>
    </row>
    <row r="1773" spans="1:9">
      <c r="A1773" s="246">
        <v>1769</v>
      </c>
      <c r="B1773" s="247" t="s">
        <v>2529</v>
      </c>
      <c r="C1773" s="302" t="str">
        <f>"13273"</f>
        <v>13273</v>
      </c>
      <c r="D1773" s="247" t="s">
        <v>18</v>
      </c>
      <c r="E1773" s="248">
        <v>25</v>
      </c>
      <c r="F1773" s="249">
        <v>42821</v>
      </c>
      <c r="G1773" s="249">
        <v>44646</v>
      </c>
      <c r="H1773" s="247" t="s">
        <v>14</v>
      </c>
      <c r="I1773" s="250" t="s">
        <v>3369</v>
      </c>
    </row>
    <row r="1774" spans="1:9">
      <c r="A1774" s="246">
        <v>1770</v>
      </c>
      <c r="B1774" s="247" t="s">
        <v>2529</v>
      </c>
      <c r="C1774" s="302" t="str">
        <f>"13274"</f>
        <v>13274</v>
      </c>
      <c r="D1774" s="247" t="s">
        <v>18</v>
      </c>
      <c r="E1774" s="248">
        <v>36</v>
      </c>
      <c r="F1774" s="249">
        <v>42821</v>
      </c>
      <c r="G1774" s="249">
        <v>44646</v>
      </c>
      <c r="H1774" s="247" t="s">
        <v>19</v>
      </c>
      <c r="I1774" s="250" t="s">
        <v>3369</v>
      </c>
    </row>
    <row r="1775" spans="1:9">
      <c r="A1775" s="246">
        <v>1771</v>
      </c>
      <c r="B1775" s="247" t="s">
        <v>2529</v>
      </c>
      <c r="C1775" s="302" t="str">
        <f>"13275"</f>
        <v>13275</v>
      </c>
      <c r="D1775" s="247" t="s">
        <v>18</v>
      </c>
      <c r="E1775" s="248">
        <v>23</v>
      </c>
      <c r="F1775" s="249">
        <v>42821</v>
      </c>
      <c r="G1775" s="249">
        <v>44646</v>
      </c>
      <c r="H1775" s="247" t="s">
        <v>14</v>
      </c>
      <c r="I1775" s="250" t="s">
        <v>3369</v>
      </c>
    </row>
    <row r="1776" spans="1:9">
      <c r="A1776" s="246">
        <v>1772</v>
      </c>
      <c r="B1776" s="247" t="s">
        <v>2529</v>
      </c>
      <c r="C1776" s="302" t="str">
        <f>"13276"</f>
        <v>13276</v>
      </c>
      <c r="D1776" s="247" t="s">
        <v>18</v>
      </c>
      <c r="E1776" s="248">
        <v>19</v>
      </c>
      <c r="F1776" s="249">
        <v>42821</v>
      </c>
      <c r="G1776" s="249">
        <v>44646</v>
      </c>
      <c r="H1776" s="247" t="s">
        <v>14</v>
      </c>
      <c r="I1776" s="250" t="s">
        <v>3369</v>
      </c>
    </row>
    <row r="1777" spans="1:9">
      <c r="A1777" s="246">
        <v>1773</v>
      </c>
      <c r="B1777" s="247" t="s">
        <v>2529</v>
      </c>
      <c r="C1777" s="302" t="str">
        <f>"13277"</f>
        <v>13277</v>
      </c>
      <c r="D1777" s="247" t="s">
        <v>18</v>
      </c>
      <c r="E1777" s="248">
        <v>19</v>
      </c>
      <c r="F1777" s="249">
        <v>42821</v>
      </c>
      <c r="G1777" s="249">
        <v>44646</v>
      </c>
      <c r="H1777" s="247" t="s">
        <v>32</v>
      </c>
      <c r="I1777" s="250" t="s">
        <v>3369</v>
      </c>
    </row>
    <row r="1778" spans="1:9">
      <c r="A1778" s="246">
        <v>1774</v>
      </c>
      <c r="B1778" s="247" t="s">
        <v>2529</v>
      </c>
      <c r="C1778" s="302" t="str">
        <f>"13278"</f>
        <v>13278</v>
      </c>
      <c r="D1778" s="247" t="s">
        <v>18</v>
      </c>
      <c r="E1778" s="248">
        <v>33</v>
      </c>
      <c r="F1778" s="249">
        <v>42821</v>
      </c>
      <c r="G1778" s="249">
        <v>44646</v>
      </c>
      <c r="H1778" s="247" t="s">
        <v>19</v>
      </c>
      <c r="I1778" s="250" t="s">
        <v>3369</v>
      </c>
    </row>
    <row r="1779" spans="1:9">
      <c r="A1779" s="246">
        <v>1775</v>
      </c>
      <c r="B1779" s="247" t="s">
        <v>2529</v>
      </c>
      <c r="C1779" s="302" t="str">
        <f>"13279"</f>
        <v>13279</v>
      </c>
      <c r="D1779" s="247" t="s">
        <v>18</v>
      </c>
      <c r="E1779" s="248">
        <v>18</v>
      </c>
      <c r="F1779" s="249">
        <v>42821</v>
      </c>
      <c r="G1779" s="249">
        <v>44646</v>
      </c>
      <c r="H1779" s="247" t="s">
        <v>14</v>
      </c>
      <c r="I1779" s="250" t="s">
        <v>3369</v>
      </c>
    </row>
    <row r="1780" spans="1:9">
      <c r="A1780" s="246">
        <v>1776</v>
      </c>
      <c r="B1780" s="247" t="s">
        <v>2529</v>
      </c>
      <c r="C1780" s="302" t="str">
        <f>"13280"</f>
        <v>13280</v>
      </c>
      <c r="D1780" s="247" t="s">
        <v>18</v>
      </c>
      <c r="E1780" s="248">
        <v>33</v>
      </c>
      <c r="F1780" s="249">
        <v>42821</v>
      </c>
      <c r="G1780" s="249">
        <v>44646</v>
      </c>
      <c r="H1780" s="247" t="s">
        <v>14</v>
      </c>
      <c r="I1780" s="250" t="s">
        <v>3369</v>
      </c>
    </row>
    <row r="1781" spans="1:9">
      <c r="A1781" s="246">
        <v>1777</v>
      </c>
      <c r="B1781" s="247" t="s">
        <v>2529</v>
      </c>
      <c r="C1781" s="302" t="str">
        <f>"13281"</f>
        <v>13281</v>
      </c>
      <c r="D1781" s="247" t="s">
        <v>18</v>
      </c>
      <c r="E1781" s="248">
        <v>35</v>
      </c>
      <c r="F1781" s="249">
        <v>42821</v>
      </c>
      <c r="G1781" s="249">
        <v>44646</v>
      </c>
      <c r="H1781" s="247" t="s">
        <v>14</v>
      </c>
      <c r="I1781" s="250" t="s">
        <v>3369</v>
      </c>
    </row>
    <row r="1782" spans="1:9">
      <c r="A1782" s="246">
        <v>1778</v>
      </c>
      <c r="B1782" s="247" t="s">
        <v>35</v>
      </c>
      <c r="C1782" s="302" t="str">
        <f>"13282"</f>
        <v>13282</v>
      </c>
      <c r="D1782" s="247" t="s">
        <v>18</v>
      </c>
      <c r="E1782" s="248">
        <v>27</v>
      </c>
      <c r="F1782" s="249">
        <v>43410</v>
      </c>
      <c r="G1782" s="249">
        <v>45235</v>
      </c>
      <c r="H1782" s="247" t="s">
        <v>16</v>
      </c>
      <c r="I1782" s="250" t="s">
        <v>3386</v>
      </c>
    </row>
    <row r="1783" spans="1:9">
      <c r="A1783" s="246">
        <v>1779</v>
      </c>
      <c r="B1783" s="247" t="s">
        <v>35</v>
      </c>
      <c r="C1783" s="302" t="str">
        <f>"13283"</f>
        <v>13283</v>
      </c>
      <c r="D1783" s="247" t="s">
        <v>18</v>
      </c>
      <c r="E1783" s="248">
        <v>28</v>
      </c>
      <c r="F1783" s="249">
        <v>43028</v>
      </c>
      <c r="G1783" s="249">
        <v>44853</v>
      </c>
      <c r="H1783" s="247" t="s">
        <v>16</v>
      </c>
      <c r="I1783" s="250" t="s">
        <v>448</v>
      </c>
    </row>
    <row r="1784" spans="1:9">
      <c r="A1784" s="246">
        <v>1780</v>
      </c>
      <c r="B1784" s="247" t="s">
        <v>35</v>
      </c>
      <c r="C1784" s="302" t="str">
        <f>"13284"</f>
        <v>13284</v>
      </c>
      <c r="D1784" s="247" t="s">
        <v>18</v>
      </c>
      <c r="E1784" s="248">
        <v>27</v>
      </c>
      <c r="F1784" s="249">
        <v>43137</v>
      </c>
      <c r="G1784" s="249">
        <v>44962</v>
      </c>
      <c r="H1784" s="247" t="s">
        <v>16</v>
      </c>
      <c r="I1784" s="250" t="s">
        <v>448</v>
      </c>
    </row>
    <row r="1785" spans="1:9">
      <c r="A1785" s="246">
        <v>1781</v>
      </c>
      <c r="B1785" s="247" t="s">
        <v>35</v>
      </c>
      <c r="C1785" s="302" t="str">
        <f>"13285"</f>
        <v>13285</v>
      </c>
      <c r="D1785" s="247" t="s">
        <v>18</v>
      </c>
      <c r="E1785" s="248">
        <v>67</v>
      </c>
      <c r="F1785" s="249">
        <v>43028</v>
      </c>
      <c r="G1785" s="249">
        <v>45608</v>
      </c>
      <c r="H1785" s="247" t="s">
        <v>56</v>
      </c>
      <c r="I1785" s="250" t="s">
        <v>3351</v>
      </c>
    </row>
    <row r="1786" spans="1:9">
      <c r="A1786" s="246">
        <v>1782</v>
      </c>
      <c r="B1786" s="247" t="s">
        <v>35</v>
      </c>
      <c r="C1786" s="302" t="str">
        <f>"13286"</f>
        <v>13286</v>
      </c>
      <c r="D1786" s="247" t="s">
        <v>18</v>
      </c>
      <c r="E1786" s="248">
        <v>24</v>
      </c>
      <c r="F1786" s="249">
        <v>43028</v>
      </c>
      <c r="G1786" s="249">
        <v>44853</v>
      </c>
      <c r="H1786" s="247" t="s">
        <v>59</v>
      </c>
      <c r="I1786" s="250" t="s">
        <v>438</v>
      </c>
    </row>
    <row r="1787" spans="1:9">
      <c r="A1787" s="246">
        <v>1783</v>
      </c>
      <c r="B1787" s="247" t="s">
        <v>35</v>
      </c>
      <c r="C1787" s="302" t="str">
        <f>"13288"</f>
        <v>13288</v>
      </c>
      <c r="D1787" s="247" t="s">
        <v>18</v>
      </c>
      <c r="E1787" s="248">
        <v>18</v>
      </c>
      <c r="F1787" s="249">
        <v>43028</v>
      </c>
      <c r="G1787" s="249">
        <v>44853</v>
      </c>
      <c r="H1787" s="247" t="s">
        <v>19</v>
      </c>
      <c r="I1787" s="250" t="s">
        <v>3359</v>
      </c>
    </row>
    <row r="1788" spans="1:9">
      <c r="A1788" s="246">
        <v>1784</v>
      </c>
      <c r="B1788" s="247" t="s">
        <v>35</v>
      </c>
      <c r="C1788" s="302" t="str">
        <f>"13290"</f>
        <v>13290</v>
      </c>
      <c r="D1788" s="247" t="s">
        <v>18</v>
      </c>
      <c r="E1788" s="248">
        <v>5</v>
      </c>
      <c r="F1788" s="249">
        <v>43028</v>
      </c>
      <c r="G1788" s="249">
        <v>44853</v>
      </c>
      <c r="H1788" s="247" t="s">
        <v>14</v>
      </c>
      <c r="I1788" s="250" t="s">
        <v>448</v>
      </c>
    </row>
    <row r="1789" spans="1:9">
      <c r="A1789" s="246">
        <v>1785</v>
      </c>
      <c r="B1789" s="247" t="s">
        <v>3550</v>
      </c>
      <c r="C1789" s="302" t="str">
        <f>"13303"</f>
        <v>13303</v>
      </c>
      <c r="D1789" s="247" t="s">
        <v>18</v>
      </c>
      <c r="E1789" s="248">
        <v>4</v>
      </c>
      <c r="F1789" s="249">
        <v>42947</v>
      </c>
      <c r="G1789" s="249">
        <v>44772</v>
      </c>
      <c r="H1789" s="247" t="s">
        <v>14</v>
      </c>
      <c r="I1789" s="250" t="s">
        <v>438</v>
      </c>
    </row>
    <row r="1790" spans="1:9">
      <c r="A1790" s="246">
        <v>1786</v>
      </c>
      <c r="B1790" s="247" t="s">
        <v>3551</v>
      </c>
      <c r="C1790" s="302" t="str">
        <f>"13308"</f>
        <v>13308</v>
      </c>
      <c r="D1790" s="247" t="s">
        <v>18</v>
      </c>
      <c r="E1790" s="248">
        <v>2</v>
      </c>
      <c r="F1790" s="249">
        <v>42971</v>
      </c>
      <c r="G1790" s="249">
        <v>44431</v>
      </c>
      <c r="H1790" s="247" t="s">
        <v>34</v>
      </c>
      <c r="I1790" s="250" t="s">
        <v>438</v>
      </c>
    </row>
    <row r="1791" spans="1:9">
      <c r="A1791" s="246">
        <v>1787</v>
      </c>
      <c r="B1791" s="247" t="s">
        <v>2866</v>
      </c>
      <c r="C1791" s="302" t="str">
        <f>"13309"</f>
        <v>13309</v>
      </c>
      <c r="D1791" s="247" t="s">
        <v>18</v>
      </c>
      <c r="E1791" s="248">
        <v>10</v>
      </c>
      <c r="F1791" s="249">
        <v>42957</v>
      </c>
      <c r="G1791" s="249">
        <v>44782</v>
      </c>
      <c r="H1791" s="247" t="s">
        <v>14</v>
      </c>
      <c r="I1791" s="250" t="s">
        <v>448</v>
      </c>
    </row>
    <row r="1792" spans="1:9">
      <c r="A1792" s="246">
        <v>1788</v>
      </c>
      <c r="B1792" s="247" t="s">
        <v>3552</v>
      </c>
      <c r="C1792" s="302" t="str">
        <f>"13320"</f>
        <v>13320</v>
      </c>
      <c r="D1792" s="247" t="s">
        <v>21</v>
      </c>
      <c r="E1792" s="248">
        <v>5</v>
      </c>
      <c r="F1792" s="249">
        <v>43098</v>
      </c>
      <c r="G1792" s="249">
        <v>44923</v>
      </c>
      <c r="H1792" s="247" t="s">
        <v>19</v>
      </c>
      <c r="I1792" s="250" t="s">
        <v>3342</v>
      </c>
    </row>
    <row r="1793" spans="1:9">
      <c r="A1793" s="246">
        <v>1789</v>
      </c>
      <c r="B1793" s="247" t="s">
        <v>3553</v>
      </c>
      <c r="C1793" s="302" t="str">
        <f>"13321"</f>
        <v>13321</v>
      </c>
      <c r="D1793" s="247" t="s">
        <v>23</v>
      </c>
      <c r="E1793" s="248">
        <v>3</v>
      </c>
      <c r="F1793" s="249">
        <v>42781</v>
      </c>
      <c r="G1793" s="249">
        <v>43145</v>
      </c>
      <c r="H1793" s="247" t="s">
        <v>19</v>
      </c>
      <c r="I1793" s="250" t="s">
        <v>3386</v>
      </c>
    </row>
    <row r="1794" spans="1:9">
      <c r="A1794" s="246">
        <v>1790</v>
      </c>
      <c r="B1794" s="247" t="s">
        <v>3553</v>
      </c>
      <c r="C1794" s="302" t="str">
        <f>"13322"</f>
        <v>13322</v>
      </c>
      <c r="D1794" s="247" t="s">
        <v>23</v>
      </c>
      <c r="E1794" s="248">
        <v>5</v>
      </c>
      <c r="F1794" s="249">
        <v>42781</v>
      </c>
      <c r="G1794" s="249">
        <v>43145</v>
      </c>
      <c r="H1794" s="247" t="s">
        <v>19</v>
      </c>
      <c r="I1794" s="250" t="s">
        <v>3386</v>
      </c>
    </row>
    <row r="1795" spans="1:9">
      <c r="A1795" s="246">
        <v>1791</v>
      </c>
      <c r="B1795" s="247" t="s">
        <v>3553</v>
      </c>
      <c r="C1795" s="302" t="str">
        <f>"13323"</f>
        <v>13323</v>
      </c>
      <c r="D1795" s="247" t="s">
        <v>23</v>
      </c>
      <c r="E1795" s="248">
        <v>5</v>
      </c>
      <c r="F1795" s="249">
        <v>42781</v>
      </c>
      <c r="G1795" s="249">
        <v>43145</v>
      </c>
      <c r="H1795" s="247" t="s">
        <v>19</v>
      </c>
      <c r="I1795" s="250" t="s">
        <v>3386</v>
      </c>
    </row>
    <row r="1796" spans="1:9">
      <c r="A1796" s="246">
        <v>1792</v>
      </c>
      <c r="B1796" s="247" t="s">
        <v>3552</v>
      </c>
      <c r="C1796" s="302" t="str">
        <f>"13324"</f>
        <v>13324</v>
      </c>
      <c r="D1796" s="247" t="s">
        <v>21</v>
      </c>
      <c r="E1796" s="248">
        <v>5</v>
      </c>
      <c r="F1796" s="249">
        <v>43098</v>
      </c>
      <c r="G1796" s="249">
        <v>44923</v>
      </c>
      <c r="H1796" s="247" t="s">
        <v>19</v>
      </c>
      <c r="I1796" s="250" t="s">
        <v>3342</v>
      </c>
    </row>
    <row r="1797" spans="1:9">
      <c r="A1797" s="246">
        <v>1793</v>
      </c>
      <c r="B1797" s="247" t="s">
        <v>3553</v>
      </c>
      <c r="C1797" s="302" t="str">
        <f>"13325"</f>
        <v>13325</v>
      </c>
      <c r="D1797" s="247" t="s">
        <v>23</v>
      </c>
      <c r="E1797" s="248">
        <v>5</v>
      </c>
      <c r="F1797" s="249">
        <v>42781</v>
      </c>
      <c r="G1797" s="249">
        <v>43145</v>
      </c>
      <c r="H1797" s="247" t="s">
        <v>19</v>
      </c>
      <c r="I1797" s="250" t="s">
        <v>3386</v>
      </c>
    </row>
    <row r="1798" spans="1:9">
      <c r="A1798" s="246">
        <v>1794</v>
      </c>
      <c r="B1798" s="247" t="s">
        <v>3552</v>
      </c>
      <c r="C1798" s="302" t="str">
        <f>"13326"</f>
        <v>13326</v>
      </c>
      <c r="D1798" s="247" t="s">
        <v>21</v>
      </c>
      <c r="E1798" s="248">
        <v>5</v>
      </c>
      <c r="F1798" s="249">
        <v>43098</v>
      </c>
      <c r="G1798" s="249">
        <v>44923</v>
      </c>
      <c r="H1798" s="247" t="s">
        <v>19</v>
      </c>
      <c r="I1798" s="250" t="s">
        <v>3342</v>
      </c>
    </row>
    <row r="1799" spans="1:9">
      <c r="A1799" s="246">
        <v>1795</v>
      </c>
      <c r="B1799" s="247" t="s">
        <v>3552</v>
      </c>
      <c r="C1799" s="302" t="str">
        <f>"13327"</f>
        <v>13327</v>
      </c>
      <c r="D1799" s="247" t="s">
        <v>21</v>
      </c>
      <c r="E1799" s="248">
        <v>5</v>
      </c>
      <c r="F1799" s="249">
        <v>43098</v>
      </c>
      <c r="G1799" s="249">
        <v>44923</v>
      </c>
      <c r="H1799" s="247" t="s">
        <v>19</v>
      </c>
      <c r="I1799" s="250" t="s">
        <v>3342</v>
      </c>
    </row>
    <row r="1800" spans="1:9">
      <c r="A1800" s="246">
        <v>1796</v>
      </c>
      <c r="B1800" s="247" t="s">
        <v>3552</v>
      </c>
      <c r="C1800" s="302" t="str">
        <f>"13328"</f>
        <v>13328</v>
      </c>
      <c r="D1800" s="247" t="s">
        <v>21</v>
      </c>
      <c r="E1800" s="248">
        <v>4</v>
      </c>
      <c r="F1800" s="249">
        <v>43098</v>
      </c>
      <c r="G1800" s="249">
        <v>44923</v>
      </c>
      <c r="H1800" s="247" t="s">
        <v>19</v>
      </c>
      <c r="I1800" s="250" t="s">
        <v>3342</v>
      </c>
    </row>
    <row r="1801" spans="1:9">
      <c r="A1801" s="246">
        <v>1797</v>
      </c>
      <c r="B1801" s="247" t="s">
        <v>205</v>
      </c>
      <c r="C1801" s="302" t="str">
        <f>"13330"</f>
        <v>13330</v>
      </c>
      <c r="D1801" s="247" t="s">
        <v>18</v>
      </c>
      <c r="E1801" s="248">
        <v>25</v>
      </c>
      <c r="F1801" s="249">
        <v>42818</v>
      </c>
      <c r="G1801" s="249">
        <v>44643</v>
      </c>
      <c r="H1801" s="247" t="s">
        <v>14</v>
      </c>
      <c r="I1801" s="250" t="s">
        <v>3369</v>
      </c>
    </row>
    <row r="1802" spans="1:9">
      <c r="A1802" s="246">
        <v>1798</v>
      </c>
      <c r="B1802" s="247" t="s">
        <v>205</v>
      </c>
      <c r="C1802" s="302" t="str">
        <f>"13331"</f>
        <v>13331</v>
      </c>
      <c r="D1802" s="247" t="s">
        <v>18</v>
      </c>
      <c r="E1802" s="248">
        <v>15</v>
      </c>
      <c r="F1802" s="249">
        <v>42818</v>
      </c>
      <c r="G1802" s="249">
        <v>44643</v>
      </c>
      <c r="H1802" s="247" t="s">
        <v>59</v>
      </c>
      <c r="I1802" s="250" t="s">
        <v>433</v>
      </c>
    </row>
    <row r="1803" spans="1:9">
      <c r="A1803" s="246">
        <v>1799</v>
      </c>
      <c r="B1803" s="247" t="s">
        <v>205</v>
      </c>
      <c r="C1803" s="302" t="str">
        <f>"13332"</f>
        <v>13332</v>
      </c>
      <c r="D1803" s="247" t="s">
        <v>18</v>
      </c>
      <c r="E1803" s="248">
        <v>6</v>
      </c>
      <c r="F1803" s="249">
        <v>43006</v>
      </c>
      <c r="G1803" s="249">
        <v>44831</v>
      </c>
      <c r="H1803" s="247" t="s">
        <v>70</v>
      </c>
      <c r="I1803" s="250" t="s">
        <v>79</v>
      </c>
    </row>
    <row r="1804" spans="1:9">
      <c r="A1804" s="246">
        <v>1800</v>
      </c>
      <c r="B1804" s="247" t="s">
        <v>3554</v>
      </c>
      <c r="C1804" s="302" t="str">
        <f>"13333"</f>
        <v>13333</v>
      </c>
      <c r="D1804" s="247" t="s">
        <v>18</v>
      </c>
      <c r="E1804" s="248">
        <v>6</v>
      </c>
      <c r="F1804" s="249">
        <v>42979</v>
      </c>
      <c r="G1804" s="249">
        <v>44804</v>
      </c>
      <c r="H1804" s="247" t="s">
        <v>56</v>
      </c>
      <c r="I1804" s="250" t="s">
        <v>438</v>
      </c>
    </row>
    <row r="1805" spans="1:9">
      <c r="A1805" s="246">
        <v>1801</v>
      </c>
      <c r="B1805" s="247" t="s">
        <v>3554</v>
      </c>
      <c r="C1805" s="302" t="str">
        <f>"13334"</f>
        <v>13334</v>
      </c>
      <c r="D1805" s="247" t="s">
        <v>18</v>
      </c>
      <c r="E1805" s="248">
        <v>20</v>
      </c>
      <c r="F1805" s="249">
        <v>42818</v>
      </c>
      <c r="G1805" s="249">
        <v>44643</v>
      </c>
      <c r="H1805" s="247" t="s">
        <v>56</v>
      </c>
      <c r="I1805" s="250" t="s">
        <v>438</v>
      </c>
    </row>
    <row r="1806" spans="1:9">
      <c r="A1806" s="246">
        <v>1802</v>
      </c>
      <c r="B1806" s="247" t="s">
        <v>3554</v>
      </c>
      <c r="C1806" s="302" t="str">
        <f>"13335"</f>
        <v>13335</v>
      </c>
      <c r="D1806" s="247" t="s">
        <v>18</v>
      </c>
      <c r="E1806" s="248">
        <v>240</v>
      </c>
      <c r="F1806" s="249">
        <v>42983</v>
      </c>
      <c r="G1806" s="249">
        <v>44808</v>
      </c>
      <c r="H1806" s="247" t="s">
        <v>59</v>
      </c>
      <c r="I1806" s="250" t="s">
        <v>438</v>
      </c>
    </row>
    <row r="1807" spans="1:9">
      <c r="A1807" s="246">
        <v>1803</v>
      </c>
      <c r="B1807" s="247" t="s">
        <v>3554</v>
      </c>
      <c r="C1807" s="302" t="str">
        <f>"13336"</f>
        <v>13336</v>
      </c>
      <c r="D1807" s="247" t="s">
        <v>18</v>
      </c>
      <c r="E1807" s="248">
        <v>12</v>
      </c>
      <c r="F1807" s="249">
        <v>42979</v>
      </c>
      <c r="G1807" s="249">
        <v>44804</v>
      </c>
      <c r="H1807" s="247" t="s">
        <v>56</v>
      </c>
      <c r="I1807" s="250" t="s">
        <v>438</v>
      </c>
    </row>
    <row r="1808" spans="1:9">
      <c r="A1808" s="246">
        <v>1804</v>
      </c>
      <c r="B1808" s="247" t="s">
        <v>3554</v>
      </c>
      <c r="C1808" s="302" t="str">
        <f>"13337"</f>
        <v>13337</v>
      </c>
      <c r="D1808" s="247" t="s">
        <v>18</v>
      </c>
      <c r="E1808" s="248">
        <v>44</v>
      </c>
      <c r="F1808" s="249">
        <v>42979</v>
      </c>
      <c r="G1808" s="249">
        <v>44804</v>
      </c>
      <c r="H1808" s="247" t="s">
        <v>56</v>
      </c>
      <c r="I1808" s="250" t="s">
        <v>438</v>
      </c>
    </row>
    <row r="1809" spans="1:9">
      <c r="A1809" s="246">
        <v>1805</v>
      </c>
      <c r="B1809" s="247" t="s">
        <v>3554</v>
      </c>
      <c r="C1809" s="302" t="str">
        <f>"13338"</f>
        <v>13338</v>
      </c>
      <c r="D1809" s="247" t="s">
        <v>18</v>
      </c>
      <c r="E1809" s="248">
        <v>160</v>
      </c>
      <c r="F1809" s="249">
        <v>42979</v>
      </c>
      <c r="G1809" s="249">
        <v>44804</v>
      </c>
      <c r="H1809" s="247" t="s">
        <v>56</v>
      </c>
      <c r="I1809" s="250" t="s">
        <v>438</v>
      </c>
    </row>
    <row r="1810" spans="1:9">
      <c r="A1810" s="246">
        <v>1806</v>
      </c>
      <c r="B1810" s="247" t="s">
        <v>3554</v>
      </c>
      <c r="C1810" s="302" t="str">
        <f>"13339"</f>
        <v>13339</v>
      </c>
      <c r="D1810" s="247" t="s">
        <v>18</v>
      </c>
      <c r="E1810" s="248">
        <v>6</v>
      </c>
      <c r="F1810" s="249">
        <v>42979</v>
      </c>
      <c r="G1810" s="249">
        <v>44804</v>
      </c>
      <c r="H1810" s="247" t="s">
        <v>56</v>
      </c>
      <c r="I1810" s="250" t="s">
        <v>438</v>
      </c>
    </row>
    <row r="1811" spans="1:9">
      <c r="A1811" s="246">
        <v>1807</v>
      </c>
      <c r="B1811" s="247" t="s">
        <v>3554</v>
      </c>
      <c r="C1811" s="302" t="str">
        <f>"13340"</f>
        <v>13340</v>
      </c>
      <c r="D1811" s="247" t="s">
        <v>18</v>
      </c>
      <c r="E1811" s="248">
        <v>168</v>
      </c>
      <c r="F1811" s="249">
        <v>42979</v>
      </c>
      <c r="G1811" s="249">
        <v>44804</v>
      </c>
      <c r="H1811" s="247" t="s">
        <v>56</v>
      </c>
      <c r="I1811" s="250" t="s">
        <v>438</v>
      </c>
    </row>
    <row r="1812" spans="1:9">
      <c r="A1812" s="246">
        <v>1808</v>
      </c>
      <c r="B1812" s="247" t="s">
        <v>217</v>
      </c>
      <c r="C1812" s="302" t="str">
        <f>"13343"</f>
        <v>13343</v>
      </c>
      <c r="D1812" s="247" t="s">
        <v>18</v>
      </c>
      <c r="E1812" s="248">
        <v>30</v>
      </c>
      <c r="F1812" s="249">
        <v>42989</v>
      </c>
      <c r="G1812" s="249">
        <v>44449</v>
      </c>
      <c r="H1812" s="247" t="s">
        <v>73</v>
      </c>
      <c r="I1812" s="250" t="s">
        <v>448</v>
      </c>
    </row>
    <row r="1813" spans="1:9">
      <c r="A1813" s="246">
        <v>1809</v>
      </c>
      <c r="B1813" s="247" t="s">
        <v>206</v>
      </c>
      <c r="C1813" s="302" t="str">
        <f>"13353"</f>
        <v>13353</v>
      </c>
      <c r="D1813" s="247" t="s">
        <v>18</v>
      </c>
      <c r="E1813" s="248">
        <v>284</v>
      </c>
      <c r="F1813" s="249">
        <v>44288</v>
      </c>
      <c r="G1813" s="249">
        <v>46113</v>
      </c>
      <c r="H1813" s="247" t="s">
        <v>14</v>
      </c>
      <c r="I1813" s="250" t="s">
        <v>79</v>
      </c>
    </row>
    <row r="1814" spans="1:9">
      <c r="A1814" s="246">
        <v>1810</v>
      </c>
      <c r="B1814" s="247" t="s">
        <v>244</v>
      </c>
      <c r="C1814" s="302" t="str">
        <f>"13356"</f>
        <v>13356</v>
      </c>
      <c r="D1814" s="247" t="s">
        <v>18</v>
      </c>
      <c r="E1814" s="248">
        <v>7</v>
      </c>
      <c r="F1814" s="249">
        <v>42971</v>
      </c>
      <c r="G1814" s="249">
        <v>44431</v>
      </c>
      <c r="H1814" s="247" t="s">
        <v>26</v>
      </c>
      <c r="I1814" s="250" t="s">
        <v>3369</v>
      </c>
    </row>
    <row r="1815" spans="1:9">
      <c r="A1815" s="246">
        <v>1811</v>
      </c>
      <c r="B1815" s="247" t="s">
        <v>532</v>
      </c>
      <c r="C1815" s="302" t="str">
        <f>"13359"</f>
        <v>13359</v>
      </c>
      <c r="D1815" s="247" t="s">
        <v>18</v>
      </c>
      <c r="E1815" s="248">
        <v>139</v>
      </c>
      <c r="F1815" s="249">
        <v>42732</v>
      </c>
      <c r="G1815" s="249">
        <v>44557</v>
      </c>
      <c r="H1815" s="247" t="s">
        <v>59</v>
      </c>
      <c r="I1815" s="250" t="s">
        <v>448</v>
      </c>
    </row>
    <row r="1816" spans="1:9">
      <c r="A1816" s="246">
        <v>1812</v>
      </c>
      <c r="B1816" s="247" t="s">
        <v>533</v>
      </c>
      <c r="C1816" s="302" t="str">
        <f>"13368"</f>
        <v>13368</v>
      </c>
      <c r="D1816" s="247" t="s">
        <v>18</v>
      </c>
      <c r="E1816" s="248">
        <v>18</v>
      </c>
      <c r="F1816" s="249">
        <v>42957</v>
      </c>
      <c r="G1816" s="249">
        <v>44417</v>
      </c>
      <c r="H1816" s="247" t="s">
        <v>56</v>
      </c>
      <c r="I1816" s="250" t="s">
        <v>448</v>
      </c>
    </row>
    <row r="1817" spans="1:9">
      <c r="A1817" s="246">
        <v>1813</v>
      </c>
      <c r="B1817" s="247" t="s">
        <v>237</v>
      </c>
      <c r="C1817" s="302" t="str">
        <f>"13370"</f>
        <v>13370</v>
      </c>
      <c r="D1817" s="247" t="s">
        <v>18</v>
      </c>
      <c r="E1817" s="248">
        <v>4</v>
      </c>
      <c r="F1817" s="249">
        <v>42871</v>
      </c>
      <c r="G1817" s="249">
        <v>44696</v>
      </c>
      <c r="H1817" s="247" t="s">
        <v>14</v>
      </c>
      <c r="I1817" s="250" t="s">
        <v>3369</v>
      </c>
    </row>
    <row r="1818" spans="1:9">
      <c r="A1818" s="246">
        <v>1814</v>
      </c>
      <c r="B1818" s="247" t="s">
        <v>237</v>
      </c>
      <c r="C1818" s="302" t="str">
        <f>"13371"</f>
        <v>13371</v>
      </c>
      <c r="D1818" s="247" t="s">
        <v>18</v>
      </c>
      <c r="E1818" s="248">
        <v>3</v>
      </c>
      <c r="F1818" s="249">
        <v>42871</v>
      </c>
      <c r="G1818" s="249">
        <v>44696</v>
      </c>
      <c r="H1818" s="247" t="s">
        <v>14</v>
      </c>
      <c r="I1818" s="250" t="s">
        <v>3369</v>
      </c>
    </row>
    <row r="1819" spans="1:9">
      <c r="A1819" s="246">
        <v>1815</v>
      </c>
      <c r="B1819" s="247" t="s">
        <v>237</v>
      </c>
      <c r="C1819" s="302" t="str">
        <f>"13372"</f>
        <v>13372</v>
      </c>
      <c r="D1819" s="247" t="s">
        <v>18</v>
      </c>
      <c r="E1819" s="248">
        <v>5</v>
      </c>
      <c r="F1819" s="249">
        <v>42871</v>
      </c>
      <c r="G1819" s="249">
        <v>44696</v>
      </c>
      <c r="H1819" s="247" t="s">
        <v>14</v>
      </c>
      <c r="I1819" s="250" t="s">
        <v>3369</v>
      </c>
    </row>
    <row r="1820" spans="1:9">
      <c r="A1820" s="246">
        <v>1816</v>
      </c>
      <c r="B1820" s="247" t="s">
        <v>28</v>
      </c>
      <c r="C1820" s="302" t="str">
        <f>"13378"</f>
        <v>13378</v>
      </c>
      <c r="D1820" s="247" t="s">
        <v>18</v>
      </c>
      <c r="E1820" s="248">
        <v>200</v>
      </c>
      <c r="F1820" s="249">
        <v>42994</v>
      </c>
      <c r="G1820" s="249">
        <v>46645</v>
      </c>
      <c r="H1820" s="247" t="s">
        <v>70</v>
      </c>
      <c r="I1820" s="250" t="s">
        <v>455</v>
      </c>
    </row>
    <row r="1821" spans="1:9">
      <c r="A1821" s="246">
        <v>1817</v>
      </c>
      <c r="B1821" s="247" t="s">
        <v>28</v>
      </c>
      <c r="C1821" s="302" t="str">
        <f>"13379"</f>
        <v>13379</v>
      </c>
      <c r="D1821" s="247" t="s">
        <v>18</v>
      </c>
      <c r="E1821" s="248">
        <v>77</v>
      </c>
      <c r="F1821" s="249">
        <v>42984</v>
      </c>
      <c r="G1821" s="249">
        <v>45306</v>
      </c>
      <c r="H1821" s="247" t="s">
        <v>59</v>
      </c>
      <c r="I1821" s="250" t="s">
        <v>3351</v>
      </c>
    </row>
    <row r="1822" spans="1:9">
      <c r="A1822" s="246">
        <v>1818</v>
      </c>
      <c r="B1822" s="247" t="s">
        <v>3555</v>
      </c>
      <c r="C1822" s="302" t="str">
        <f>"13382"</f>
        <v>13382</v>
      </c>
      <c r="D1822" s="247" t="s">
        <v>18</v>
      </c>
      <c r="E1822" s="248">
        <v>4</v>
      </c>
      <c r="F1822" s="249">
        <v>42989</v>
      </c>
      <c r="G1822" s="249">
        <v>44814</v>
      </c>
      <c r="H1822" s="247" t="s">
        <v>19</v>
      </c>
      <c r="I1822" s="250" t="s">
        <v>433</v>
      </c>
    </row>
    <row r="1823" spans="1:9">
      <c r="A1823" s="246">
        <v>1819</v>
      </c>
      <c r="B1823" s="247" t="s">
        <v>3556</v>
      </c>
      <c r="C1823" s="302" t="str">
        <f>"13383"</f>
        <v>13383</v>
      </c>
      <c r="D1823" s="247" t="s">
        <v>18</v>
      </c>
      <c r="E1823" s="248">
        <v>10</v>
      </c>
      <c r="F1823" s="249">
        <v>43020</v>
      </c>
      <c r="G1823" s="249">
        <v>44845</v>
      </c>
      <c r="H1823" s="247" t="s">
        <v>59</v>
      </c>
      <c r="I1823" s="250" t="s">
        <v>437</v>
      </c>
    </row>
    <row r="1824" spans="1:9">
      <c r="A1824" s="246">
        <v>1820</v>
      </c>
      <c r="B1824" s="247" t="s">
        <v>3556</v>
      </c>
      <c r="C1824" s="302" t="str">
        <f>"13384"</f>
        <v>13384</v>
      </c>
      <c r="D1824" s="247" t="s">
        <v>18</v>
      </c>
      <c r="E1824" s="248">
        <v>4</v>
      </c>
      <c r="F1824" s="249">
        <v>43020</v>
      </c>
      <c r="G1824" s="249">
        <v>44845</v>
      </c>
      <c r="H1824" s="247" t="s">
        <v>59</v>
      </c>
      <c r="I1824" s="250" t="s">
        <v>437</v>
      </c>
    </row>
    <row r="1825" spans="1:9">
      <c r="A1825" s="246">
        <v>1821</v>
      </c>
      <c r="B1825" s="247" t="s">
        <v>147</v>
      </c>
      <c r="C1825" s="302" t="str">
        <f>"13390"</f>
        <v>13390</v>
      </c>
      <c r="D1825" s="247" t="s">
        <v>18</v>
      </c>
      <c r="E1825" s="248">
        <v>42</v>
      </c>
      <c r="F1825" s="249">
        <v>42994</v>
      </c>
      <c r="G1825" s="249">
        <v>44454</v>
      </c>
      <c r="H1825" s="247" t="s">
        <v>84</v>
      </c>
      <c r="I1825" s="250" t="s">
        <v>3369</v>
      </c>
    </row>
    <row r="1826" spans="1:9">
      <c r="A1826" s="246">
        <v>1822</v>
      </c>
      <c r="B1826" s="247" t="s">
        <v>1064</v>
      </c>
      <c r="C1826" s="302" t="str">
        <f>"13392"</f>
        <v>13392</v>
      </c>
      <c r="D1826" s="247" t="s">
        <v>18</v>
      </c>
      <c r="E1826" s="248">
        <v>11</v>
      </c>
      <c r="F1826" s="249">
        <v>42954</v>
      </c>
      <c r="G1826" s="249">
        <v>44779</v>
      </c>
      <c r="H1826" s="247" t="s">
        <v>16</v>
      </c>
      <c r="I1826" s="250" t="s">
        <v>448</v>
      </c>
    </row>
    <row r="1827" spans="1:9">
      <c r="A1827" s="246">
        <v>1823</v>
      </c>
      <c r="B1827" s="247" t="s">
        <v>1064</v>
      </c>
      <c r="C1827" s="302" t="str">
        <f>"13393"</f>
        <v>13393</v>
      </c>
      <c r="D1827" s="247" t="s">
        <v>18</v>
      </c>
      <c r="E1827" s="248">
        <v>13</v>
      </c>
      <c r="F1827" s="249">
        <v>42954</v>
      </c>
      <c r="G1827" s="249">
        <v>44779</v>
      </c>
      <c r="H1827" s="247" t="s">
        <v>16</v>
      </c>
      <c r="I1827" s="250" t="s">
        <v>448</v>
      </c>
    </row>
    <row r="1828" spans="1:9">
      <c r="A1828" s="246">
        <v>1824</v>
      </c>
      <c r="B1828" s="247" t="s">
        <v>3557</v>
      </c>
      <c r="C1828" s="302" t="str">
        <f>"13394"</f>
        <v>13394</v>
      </c>
      <c r="D1828" s="247" t="s">
        <v>18</v>
      </c>
      <c r="E1828" s="248">
        <v>12</v>
      </c>
      <c r="F1828" s="249">
        <v>42954</v>
      </c>
      <c r="G1828" s="249">
        <v>44779</v>
      </c>
      <c r="H1828" s="247" t="s">
        <v>14</v>
      </c>
      <c r="I1828" s="250" t="s">
        <v>3369</v>
      </c>
    </row>
    <row r="1829" spans="1:9">
      <c r="A1829" s="246">
        <v>1825</v>
      </c>
      <c r="B1829" s="247" t="s">
        <v>3557</v>
      </c>
      <c r="C1829" s="302" t="str">
        <f>"13395"</f>
        <v>13395</v>
      </c>
      <c r="D1829" s="247" t="s">
        <v>18</v>
      </c>
      <c r="E1829" s="248">
        <v>20</v>
      </c>
      <c r="F1829" s="249">
        <v>42954</v>
      </c>
      <c r="G1829" s="249">
        <v>44779</v>
      </c>
      <c r="H1829" s="247" t="s">
        <v>14</v>
      </c>
      <c r="I1829" s="250" t="s">
        <v>3369</v>
      </c>
    </row>
    <row r="1830" spans="1:9">
      <c r="A1830" s="246">
        <v>1826</v>
      </c>
      <c r="B1830" s="247" t="s">
        <v>3557</v>
      </c>
      <c r="C1830" s="302" t="str">
        <f>"13396"</f>
        <v>13396</v>
      </c>
      <c r="D1830" s="247" t="s">
        <v>18</v>
      </c>
      <c r="E1830" s="248">
        <v>2</v>
      </c>
      <c r="F1830" s="249">
        <v>42954</v>
      </c>
      <c r="G1830" s="249">
        <v>44779</v>
      </c>
      <c r="H1830" s="247" t="s">
        <v>14</v>
      </c>
      <c r="I1830" s="250" t="s">
        <v>3369</v>
      </c>
    </row>
    <row r="1831" spans="1:9">
      <c r="A1831" s="246">
        <v>1827</v>
      </c>
      <c r="B1831" s="247" t="s">
        <v>534</v>
      </c>
      <c r="C1831" s="302" t="str">
        <f>"13397"</f>
        <v>13397</v>
      </c>
      <c r="D1831" s="247" t="s">
        <v>18</v>
      </c>
      <c r="E1831" s="248">
        <v>55</v>
      </c>
      <c r="F1831" s="249">
        <v>42961</v>
      </c>
      <c r="G1831" s="249">
        <v>44786</v>
      </c>
      <c r="H1831" s="247" t="s">
        <v>70</v>
      </c>
      <c r="I1831" s="250" t="s">
        <v>3369</v>
      </c>
    </row>
    <row r="1832" spans="1:9">
      <c r="A1832" s="246">
        <v>1828</v>
      </c>
      <c r="B1832" s="247" t="s">
        <v>534</v>
      </c>
      <c r="C1832" s="302" t="str">
        <f>"13398"</f>
        <v>13398</v>
      </c>
      <c r="D1832" s="247" t="s">
        <v>18</v>
      </c>
      <c r="E1832" s="248">
        <v>32</v>
      </c>
      <c r="F1832" s="249">
        <v>42957</v>
      </c>
      <c r="G1832" s="249">
        <v>44782</v>
      </c>
      <c r="H1832" s="247" t="s">
        <v>56</v>
      </c>
      <c r="I1832" s="250" t="s">
        <v>3369</v>
      </c>
    </row>
    <row r="1833" spans="1:9">
      <c r="A1833" s="246">
        <v>1829</v>
      </c>
      <c r="B1833" s="247" t="s">
        <v>534</v>
      </c>
      <c r="C1833" s="302" t="str">
        <f>"13399"</f>
        <v>13399</v>
      </c>
      <c r="D1833" s="247" t="s">
        <v>18</v>
      </c>
      <c r="E1833" s="248">
        <v>25</v>
      </c>
      <c r="F1833" s="249">
        <v>42961</v>
      </c>
      <c r="G1833" s="249">
        <v>44786</v>
      </c>
      <c r="H1833" s="247" t="s">
        <v>56</v>
      </c>
      <c r="I1833" s="250" t="s">
        <v>3369</v>
      </c>
    </row>
    <row r="1834" spans="1:9">
      <c r="A1834" s="246">
        <v>1830</v>
      </c>
      <c r="B1834" s="247" t="s">
        <v>534</v>
      </c>
      <c r="C1834" s="302" t="str">
        <f>"13400"</f>
        <v>13400</v>
      </c>
      <c r="D1834" s="247" t="s">
        <v>18</v>
      </c>
      <c r="E1834" s="248">
        <v>38</v>
      </c>
      <c r="F1834" s="249">
        <v>42961</v>
      </c>
      <c r="G1834" s="249">
        <v>44786</v>
      </c>
      <c r="H1834" s="247" t="s">
        <v>56</v>
      </c>
      <c r="I1834" s="250" t="s">
        <v>3369</v>
      </c>
    </row>
    <row r="1835" spans="1:9">
      <c r="A1835" s="246">
        <v>1831</v>
      </c>
      <c r="B1835" s="247" t="s">
        <v>534</v>
      </c>
      <c r="C1835" s="302" t="str">
        <f>"13401"</f>
        <v>13401</v>
      </c>
      <c r="D1835" s="247" t="s">
        <v>18</v>
      </c>
      <c r="E1835" s="248">
        <v>20</v>
      </c>
      <c r="F1835" s="249">
        <v>42992</v>
      </c>
      <c r="G1835" s="249">
        <v>44817</v>
      </c>
      <c r="H1835" s="247" t="s">
        <v>14</v>
      </c>
      <c r="I1835" s="250" t="s">
        <v>3369</v>
      </c>
    </row>
    <row r="1836" spans="1:9">
      <c r="A1836" s="246">
        <v>1832</v>
      </c>
      <c r="B1836" s="247" t="s">
        <v>534</v>
      </c>
      <c r="C1836" s="302" t="str">
        <f>"13402"</f>
        <v>13402</v>
      </c>
      <c r="D1836" s="247" t="s">
        <v>18</v>
      </c>
      <c r="E1836" s="248">
        <v>12</v>
      </c>
      <c r="F1836" s="249">
        <v>42989</v>
      </c>
      <c r="G1836" s="249">
        <v>44814</v>
      </c>
      <c r="H1836" s="247" t="s">
        <v>16</v>
      </c>
      <c r="I1836" s="250" t="s">
        <v>3369</v>
      </c>
    </row>
    <row r="1837" spans="1:9">
      <c r="A1837" s="246">
        <v>1833</v>
      </c>
      <c r="B1837" s="247" t="s">
        <v>207</v>
      </c>
      <c r="C1837" s="302" t="str">
        <f>"13407"</f>
        <v>13407</v>
      </c>
      <c r="D1837" s="247" t="s">
        <v>21</v>
      </c>
      <c r="E1837" s="248">
        <v>4</v>
      </c>
      <c r="F1837" s="249">
        <v>44677</v>
      </c>
      <c r="G1837" s="249">
        <v>46502</v>
      </c>
      <c r="H1837" s="247" t="s">
        <v>14</v>
      </c>
      <c r="I1837" s="250" t="s">
        <v>79</v>
      </c>
    </row>
    <row r="1838" spans="1:9">
      <c r="A1838" s="246">
        <v>1834</v>
      </c>
      <c r="B1838" s="247" t="s">
        <v>534</v>
      </c>
      <c r="C1838" s="302" t="str">
        <f>"13408"</f>
        <v>13408</v>
      </c>
      <c r="D1838" s="247" t="s">
        <v>23</v>
      </c>
      <c r="E1838" s="248">
        <v>4</v>
      </c>
      <c r="F1838" s="249">
        <v>42985</v>
      </c>
      <c r="G1838" s="249">
        <v>43349</v>
      </c>
      <c r="H1838" s="247" t="s">
        <v>16</v>
      </c>
      <c r="I1838" s="250" t="s">
        <v>3413</v>
      </c>
    </row>
    <row r="1839" spans="1:9">
      <c r="A1839" s="246">
        <v>1835</v>
      </c>
      <c r="B1839" s="247" t="s">
        <v>534</v>
      </c>
      <c r="C1839" s="302" t="str">
        <f>"13410"</f>
        <v>13410</v>
      </c>
      <c r="D1839" s="247" t="s">
        <v>23</v>
      </c>
      <c r="E1839" s="248">
        <v>4</v>
      </c>
      <c r="F1839" s="249">
        <v>42985</v>
      </c>
      <c r="G1839" s="249">
        <v>43349</v>
      </c>
      <c r="H1839" s="247" t="s">
        <v>16</v>
      </c>
      <c r="I1839" s="250" t="s">
        <v>3413</v>
      </c>
    </row>
    <row r="1840" spans="1:9">
      <c r="A1840" s="246">
        <v>1836</v>
      </c>
      <c r="B1840" s="247" t="s">
        <v>534</v>
      </c>
      <c r="C1840" s="302" t="str">
        <f>"13411"</f>
        <v>13411</v>
      </c>
      <c r="D1840" s="247" t="s">
        <v>23</v>
      </c>
      <c r="E1840" s="248">
        <v>4</v>
      </c>
      <c r="F1840" s="249">
        <v>42985</v>
      </c>
      <c r="G1840" s="249">
        <v>43349</v>
      </c>
      <c r="H1840" s="247" t="s">
        <v>16</v>
      </c>
      <c r="I1840" s="250" t="s">
        <v>3413</v>
      </c>
    </row>
    <row r="1841" spans="1:9">
      <c r="A1841" s="246">
        <v>1837</v>
      </c>
      <c r="B1841" s="247" t="s">
        <v>534</v>
      </c>
      <c r="C1841" s="302" t="str">
        <f>"13412"</f>
        <v>13412</v>
      </c>
      <c r="D1841" s="247" t="s">
        <v>23</v>
      </c>
      <c r="E1841" s="248">
        <v>4</v>
      </c>
      <c r="F1841" s="249">
        <v>42985</v>
      </c>
      <c r="G1841" s="249">
        <v>43349</v>
      </c>
      <c r="H1841" s="247" t="s">
        <v>16</v>
      </c>
      <c r="I1841" s="250" t="s">
        <v>3413</v>
      </c>
    </row>
    <row r="1842" spans="1:9">
      <c r="A1842" s="246">
        <v>1838</v>
      </c>
      <c r="B1842" s="247" t="s">
        <v>534</v>
      </c>
      <c r="C1842" s="302" t="str">
        <f>"13413"</f>
        <v>13413</v>
      </c>
      <c r="D1842" s="247" t="s">
        <v>23</v>
      </c>
      <c r="E1842" s="248">
        <v>4</v>
      </c>
      <c r="F1842" s="249">
        <v>42985</v>
      </c>
      <c r="G1842" s="249">
        <v>43349</v>
      </c>
      <c r="H1842" s="247" t="s">
        <v>16</v>
      </c>
      <c r="I1842" s="250" t="s">
        <v>3413</v>
      </c>
    </row>
    <row r="1843" spans="1:9">
      <c r="A1843" s="246">
        <v>1839</v>
      </c>
      <c r="B1843" s="247" t="s">
        <v>3558</v>
      </c>
      <c r="C1843" s="302" t="str">
        <f>"13416"</f>
        <v>13416</v>
      </c>
      <c r="D1843" s="247" t="s">
        <v>18</v>
      </c>
      <c r="E1843" s="248">
        <v>12</v>
      </c>
      <c r="F1843" s="249">
        <v>42947</v>
      </c>
      <c r="G1843" s="249">
        <v>44772</v>
      </c>
      <c r="H1843" s="247" t="s">
        <v>16</v>
      </c>
      <c r="I1843" s="250" t="s">
        <v>3369</v>
      </c>
    </row>
    <row r="1844" spans="1:9">
      <c r="A1844" s="246">
        <v>1840</v>
      </c>
      <c r="B1844" s="247" t="s">
        <v>3558</v>
      </c>
      <c r="C1844" s="302" t="str">
        <f>"13419"</f>
        <v>13419</v>
      </c>
      <c r="D1844" s="247" t="s">
        <v>18</v>
      </c>
      <c r="E1844" s="248">
        <v>16</v>
      </c>
      <c r="F1844" s="249">
        <v>42947</v>
      </c>
      <c r="G1844" s="249">
        <v>44772</v>
      </c>
      <c r="H1844" s="247" t="s">
        <v>14</v>
      </c>
      <c r="I1844" s="250" t="s">
        <v>433</v>
      </c>
    </row>
    <row r="1845" spans="1:9">
      <c r="A1845" s="246">
        <v>1841</v>
      </c>
      <c r="B1845" s="247" t="s">
        <v>3559</v>
      </c>
      <c r="C1845" s="302" t="str">
        <f>"13420"</f>
        <v>13420</v>
      </c>
      <c r="D1845" s="247" t="s">
        <v>18</v>
      </c>
      <c r="E1845" s="248">
        <v>63</v>
      </c>
      <c r="F1845" s="249">
        <v>42947</v>
      </c>
      <c r="G1845" s="249">
        <v>44772</v>
      </c>
      <c r="H1845" s="247" t="s">
        <v>16</v>
      </c>
      <c r="I1845" s="250" t="s">
        <v>437</v>
      </c>
    </row>
    <row r="1846" spans="1:9">
      <c r="A1846" s="246">
        <v>1842</v>
      </c>
      <c r="B1846" s="247" t="s">
        <v>3558</v>
      </c>
      <c r="C1846" s="302" t="str">
        <f>"13422"</f>
        <v>13422</v>
      </c>
      <c r="D1846" s="247" t="s">
        <v>18</v>
      </c>
      <c r="E1846" s="248">
        <v>54</v>
      </c>
      <c r="F1846" s="249">
        <v>42947</v>
      </c>
      <c r="G1846" s="249">
        <v>44772</v>
      </c>
      <c r="H1846" s="247" t="s">
        <v>16</v>
      </c>
      <c r="I1846" s="250" t="s">
        <v>448</v>
      </c>
    </row>
    <row r="1847" spans="1:9">
      <c r="A1847" s="246">
        <v>1843</v>
      </c>
      <c r="B1847" s="247" t="s">
        <v>3558</v>
      </c>
      <c r="C1847" s="302" t="str">
        <f>"13423"</f>
        <v>13423</v>
      </c>
      <c r="D1847" s="247" t="s">
        <v>18</v>
      </c>
      <c r="E1847" s="248">
        <v>9</v>
      </c>
      <c r="F1847" s="249">
        <v>42947</v>
      </c>
      <c r="G1847" s="249">
        <v>44772</v>
      </c>
      <c r="H1847" s="247" t="s">
        <v>14</v>
      </c>
      <c r="I1847" s="250" t="s">
        <v>3369</v>
      </c>
    </row>
    <row r="1848" spans="1:9">
      <c r="A1848" s="246">
        <v>1844</v>
      </c>
      <c r="B1848" s="247" t="s">
        <v>3558</v>
      </c>
      <c r="C1848" s="302" t="str">
        <f>"13425"</f>
        <v>13425</v>
      </c>
      <c r="D1848" s="247" t="s">
        <v>18</v>
      </c>
      <c r="E1848" s="248">
        <v>16</v>
      </c>
      <c r="F1848" s="249">
        <v>42947</v>
      </c>
      <c r="G1848" s="249">
        <v>44772</v>
      </c>
      <c r="H1848" s="247" t="s">
        <v>14</v>
      </c>
      <c r="I1848" s="250" t="s">
        <v>3369</v>
      </c>
    </row>
    <row r="1849" spans="1:9">
      <c r="A1849" s="246">
        <v>1845</v>
      </c>
      <c r="B1849" s="247" t="s">
        <v>3558</v>
      </c>
      <c r="C1849" s="302" t="str">
        <f>"13429"</f>
        <v>13429</v>
      </c>
      <c r="D1849" s="247" t="s">
        <v>18</v>
      </c>
      <c r="E1849" s="248">
        <v>30</v>
      </c>
      <c r="F1849" s="249">
        <v>42947</v>
      </c>
      <c r="G1849" s="249">
        <v>44772</v>
      </c>
      <c r="H1849" s="247" t="s">
        <v>14</v>
      </c>
      <c r="I1849" s="250" t="s">
        <v>433</v>
      </c>
    </row>
    <row r="1850" spans="1:9">
      <c r="A1850" s="246">
        <v>1846</v>
      </c>
      <c r="B1850" s="247" t="s">
        <v>3558</v>
      </c>
      <c r="C1850" s="302" t="str">
        <f>"13433"</f>
        <v>13433</v>
      </c>
      <c r="D1850" s="247" t="s">
        <v>18</v>
      </c>
      <c r="E1850" s="248">
        <v>9</v>
      </c>
      <c r="F1850" s="249">
        <v>42947</v>
      </c>
      <c r="G1850" s="249">
        <v>44772</v>
      </c>
      <c r="H1850" s="247" t="s">
        <v>14</v>
      </c>
      <c r="I1850" s="250" t="s">
        <v>3346</v>
      </c>
    </row>
    <row r="1851" spans="1:9">
      <c r="A1851" s="246">
        <v>1847</v>
      </c>
      <c r="B1851" s="247" t="s">
        <v>3558</v>
      </c>
      <c r="C1851" s="302" t="str">
        <f>"13439"</f>
        <v>13439</v>
      </c>
      <c r="D1851" s="247" t="s">
        <v>18</v>
      </c>
      <c r="E1851" s="248">
        <v>36</v>
      </c>
      <c r="F1851" s="249">
        <v>42947</v>
      </c>
      <c r="G1851" s="249">
        <v>44772</v>
      </c>
      <c r="H1851" s="247" t="s">
        <v>56</v>
      </c>
      <c r="I1851" s="250" t="s">
        <v>3369</v>
      </c>
    </row>
    <row r="1852" spans="1:9">
      <c r="A1852" s="246">
        <v>1848</v>
      </c>
      <c r="B1852" s="247" t="s">
        <v>3558</v>
      </c>
      <c r="C1852" s="302" t="str">
        <f>"13440"</f>
        <v>13440</v>
      </c>
      <c r="D1852" s="247" t="s">
        <v>18</v>
      </c>
      <c r="E1852" s="248">
        <v>4</v>
      </c>
      <c r="F1852" s="249">
        <v>42947</v>
      </c>
      <c r="G1852" s="249">
        <v>44772</v>
      </c>
      <c r="H1852" s="247" t="s">
        <v>56</v>
      </c>
      <c r="I1852" s="250" t="s">
        <v>3369</v>
      </c>
    </row>
    <row r="1853" spans="1:9">
      <c r="A1853" s="246">
        <v>1849</v>
      </c>
      <c r="B1853" s="247" t="s">
        <v>3558</v>
      </c>
      <c r="C1853" s="302" t="str">
        <f>"13441"</f>
        <v>13441</v>
      </c>
      <c r="D1853" s="247" t="s">
        <v>18</v>
      </c>
      <c r="E1853" s="248">
        <v>5</v>
      </c>
      <c r="F1853" s="249">
        <v>42947</v>
      </c>
      <c r="G1853" s="249">
        <v>44772</v>
      </c>
      <c r="H1853" s="247" t="s">
        <v>14</v>
      </c>
      <c r="I1853" s="250" t="s">
        <v>3369</v>
      </c>
    </row>
    <row r="1854" spans="1:9">
      <c r="A1854" s="246">
        <v>1850</v>
      </c>
      <c r="B1854" s="247" t="s">
        <v>3558</v>
      </c>
      <c r="C1854" s="302" t="str">
        <f>"13445"</f>
        <v>13445</v>
      </c>
      <c r="D1854" s="247" t="s">
        <v>18</v>
      </c>
      <c r="E1854" s="248">
        <v>48</v>
      </c>
      <c r="F1854" s="249">
        <v>42961</v>
      </c>
      <c r="G1854" s="249">
        <v>44786</v>
      </c>
      <c r="H1854" s="247" t="s">
        <v>14</v>
      </c>
      <c r="I1854" s="250" t="s">
        <v>3369</v>
      </c>
    </row>
    <row r="1855" spans="1:9">
      <c r="A1855" s="246">
        <v>1851</v>
      </c>
      <c r="B1855" s="247" t="s">
        <v>2593</v>
      </c>
      <c r="C1855" s="302" t="str">
        <f>"13448"</f>
        <v>13448</v>
      </c>
      <c r="D1855" s="247" t="s">
        <v>18</v>
      </c>
      <c r="E1855" s="248">
        <v>99</v>
      </c>
      <c r="F1855" s="249">
        <v>43031</v>
      </c>
      <c r="G1855" s="249">
        <v>44856</v>
      </c>
      <c r="H1855" s="247" t="s">
        <v>32</v>
      </c>
      <c r="I1855" s="250" t="s">
        <v>448</v>
      </c>
    </row>
    <row r="1856" spans="1:9">
      <c r="A1856" s="246">
        <v>1852</v>
      </c>
      <c r="B1856" s="247" t="s">
        <v>2593</v>
      </c>
      <c r="C1856" s="302" t="str">
        <f>"13449"</f>
        <v>13449</v>
      </c>
      <c r="D1856" s="247" t="s">
        <v>18</v>
      </c>
      <c r="E1856" s="248">
        <v>41</v>
      </c>
      <c r="F1856" s="249">
        <v>42993</v>
      </c>
      <c r="G1856" s="249">
        <v>44818</v>
      </c>
      <c r="H1856" s="247" t="s">
        <v>32</v>
      </c>
      <c r="I1856" s="250" t="s">
        <v>448</v>
      </c>
    </row>
    <row r="1857" spans="1:9">
      <c r="A1857" s="246">
        <v>1853</v>
      </c>
      <c r="B1857" s="247" t="s">
        <v>2593</v>
      </c>
      <c r="C1857" s="302" t="str">
        <f>"13450"</f>
        <v>13450</v>
      </c>
      <c r="D1857" s="247" t="s">
        <v>18</v>
      </c>
      <c r="E1857" s="248">
        <v>77</v>
      </c>
      <c r="F1857" s="249">
        <v>42993</v>
      </c>
      <c r="G1857" s="249">
        <v>44818</v>
      </c>
      <c r="H1857" s="247" t="s">
        <v>32</v>
      </c>
      <c r="I1857" s="250" t="s">
        <v>448</v>
      </c>
    </row>
    <row r="1858" spans="1:9">
      <c r="A1858" s="246">
        <v>1854</v>
      </c>
      <c r="B1858" s="247" t="s">
        <v>535</v>
      </c>
      <c r="C1858" s="302" t="str">
        <f>"13452"</f>
        <v>13452</v>
      </c>
      <c r="D1858" s="247" t="s">
        <v>23</v>
      </c>
      <c r="E1858" s="248">
        <v>3</v>
      </c>
      <c r="F1858" s="249">
        <v>42926</v>
      </c>
      <c r="G1858" s="249">
        <v>43290</v>
      </c>
      <c r="H1858" s="247" t="s">
        <v>14</v>
      </c>
      <c r="I1858" s="250" t="s">
        <v>3413</v>
      </c>
    </row>
    <row r="1859" spans="1:9">
      <c r="A1859" s="246">
        <v>1855</v>
      </c>
      <c r="B1859" s="247" t="s">
        <v>3560</v>
      </c>
      <c r="C1859" s="302" t="str">
        <f>"13459"</f>
        <v>13459</v>
      </c>
      <c r="D1859" s="247" t="s">
        <v>18</v>
      </c>
      <c r="E1859" s="248">
        <v>10</v>
      </c>
      <c r="F1859" s="249">
        <v>42994</v>
      </c>
      <c r="G1859" s="249">
        <v>44819</v>
      </c>
      <c r="H1859" s="247" t="s">
        <v>32</v>
      </c>
      <c r="I1859" s="250" t="s">
        <v>438</v>
      </c>
    </row>
    <row r="1860" spans="1:9">
      <c r="A1860" s="246">
        <v>1856</v>
      </c>
      <c r="B1860" s="247" t="s">
        <v>3560</v>
      </c>
      <c r="C1860" s="302" t="str">
        <f>"13460"</f>
        <v>13460</v>
      </c>
      <c r="D1860" s="247" t="s">
        <v>18</v>
      </c>
      <c r="E1860" s="248">
        <v>3</v>
      </c>
      <c r="F1860" s="249">
        <v>42985</v>
      </c>
      <c r="G1860" s="249">
        <v>44810</v>
      </c>
      <c r="H1860" s="247" t="s">
        <v>32</v>
      </c>
      <c r="I1860" s="250" t="s">
        <v>438</v>
      </c>
    </row>
    <row r="1861" spans="1:9">
      <c r="A1861" s="246">
        <v>1857</v>
      </c>
      <c r="B1861" s="247" t="s">
        <v>3560</v>
      </c>
      <c r="C1861" s="302" t="str">
        <f>"13461"</f>
        <v>13461</v>
      </c>
      <c r="D1861" s="247" t="s">
        <v>18</v>
      </c>
      <c r="E1861" s="248">
        <v>20</v>
      </c>
      <c r="F1861" s="249">
        <v>42984</v>
      </c>
      <c r="G1861" s="249">
        <v>44809</v>
      </c>
      <c r="H1861" s="247" t="s">
        <v>16</v>
      </c>
      <c r="I1861" s="250" t="s">
        <v>438</v>
      </c>
    </row>
    <row r="1862" spans="1:9">
      <c r="A1862" s="246">
        <v>1858</v>
      </c>
      <c r="B1862" s="247" t="s">
        <v>3560</v>
      </c>
      <c r="C1862" s="302" t="str">
        <f>"13462"</f>
        <v>13462</v>
      </c>
      <c r="D1862" s="247" t="s">
        <v>18</v>
      </c>
      <c r="E1862" s="248">
        <v>13</v>
      </c>
      <c r="F1862" s="249">
        <v>42976</v>
      </c>
      <c r="G1862" s="249">
        <v>44801</v>
      </c>
      <c r="H1862" s="247" t="s">
        <v>16</v>
      </c>
      <c r="I1862" s="250" t="s">
        <v>438</v>
      </c>
    </row>
    <row r="1863" spans="1:9">
      <c r="A1863" s="246">
        <v>1859</v>
      </c>
      <c r="B1863" s="247" t="s">
        <v>3560</v>
      </c>
      <c r="C1863" s="302" t="str">
        <f>"13463"</f>
        <v>13463</v>
      </c>
      <c r="D1863" s="247" t="s">
        <v>18</v>
      </c>
      <c r="E1863" s="248">
        <v>5</v>
      </c>
      <c r="F1863" s="249">
        <v>42989</v>
      </c>
      <c r="G1863" s="249">
        <v>44814</v>
      </c>
      <c r="H1863" s="247" t="s">
        <v>14</v>
      </c>
      <c r="I1863" s="250" t="s">
        <v>438</v>
      </c>
    </row>
    <row r="1864" spans="1:9">
      <c r="A1864" s="246">
        <v>1860</v>
      </c>
      <c r="B1864" s="247" t="s">
        <v>3560</v>
      </c>
      <c r="C1864" s="302" t="str">
        <f>"13464"</f>
        <v>13464</v>
      </c>
      <c r="D1864" s="247" t="s">
        <v>18</v>
      </c>
      <c r="E1864" s="248">
        <v>4</v>
      </c>
      <c r="F1864" s="249">
        <v>42984</v>
      </c>
      <c r="G1864" s="249">
        <v>44809</v>
      </c>
      <c r="H1864" s="247" t="s">
        <v>14</v>
      </c>
      <c r="I1864" s="250" t="s">
        <v>438</v>
      </c>
    </row>
    <row r="1865" spans="1:9">
      <c r="A1865" s="246">
        <v>1861</v>
      </c>
      <c r="B1865" s="247" t="s">
        <v>3560</v>
      </c>
      <c r="C1865" s="302" t="str">
        <f>"13466"</f>
        <v>13466</v>
      </c>
      <c r="D1865" s="247" t="s">
        <v>23</v>
      </c>
      <c r="E1865" s="248">
        <v>2</v>
      </c>
      <c r="F1865" s="249">
        <v>42983</v>
      </c>
      <c r="G1865" s="249">
        <v>43347</v>
      </c>
      <c r="H1865" s="247" t="s">
        <v>89</v>
      </c>
      <c r="I1865" s="250" t="s">
        <v>437</v>
      </c>
    </row>
    <row r="1866" spans="1:9">
      <c r="A1866" s="246">
        <v>1862</v>
      </c>
      <c r="B1866" s="247" t="s">
        <v>3560</v>
      </c>
      <c r="C1866" s="302" t="str">
        <f>"13467"</f>
        <v>13467</v>
      </c>
      <c r="D1866" s="247" t="s">
        <v>23</v>
      </c>
      <c r="E1866" s="248">
        <v>3</v>
      </c>
      <c r="F1866" s="249">
        <v>42983</v>
      </c>
      <c r="G1866" s="249">
        <v>43347</v>
      </c>
      <c r="H1866" s="247" t="s">
        <v>89</v>
      </c>
      <c r="I1866" s="250" t="s">
        <v>437</v>
      </c>
    </row>
    <row r="1867" spans="1:9">
      <c r="A1867" s="246">
        <v>1863</v>
      </c>
      <c r="B1867" s="247" t="s">
        <v>3561</v>
      </c>
      <c r="C1867" s="302" t="str">
        <f>"13478"</f>
        <v>13478</v>
      </c>
      <c r="D1867" s="247" t="s">
        <v>18</v>
      </c>
      <c r="E1867" s="248">
        <v>5</v>
      </c>
      <c r="F1867" s="249">
        <v>42969</v>
      </c>
      <c r="G1867" s="249">
        <v>44794</v>
      </c>
      <c r="H1867" s="247" t="s">
        <v>14</v>
      </c>
      <c r="I1867" s="250" t="s">
        <v>433</v>
      </c>
    </row>
    <row r="1868" spans="1:9">
      <c r="A1868" s="246">
        <v>1864</v>
      </c>
      <c r="B1868" s="247" t="s">
        <v>3561</v>
      </c>
      <c r="C1868" s="302" t="str">
        <f>"13479"</f>
        <v>13479</v>
      </c>
      <c r="D1868" s="247" t="s">
        <v>18</v>
      </c>
      <c r="E1868" s="248">
        <v>4</v>
      </c>
      <c r="F1868" s="249">
        <v>42978</v>
      </c>
      <c r="G1868" s="249">
        <v>44803</v>
      </c>
      <c r="H1868" s="247" t="s">
        <v>16</v>
      </c>
      <c r="I1868" s="250" t="s">
        <v>433</v>
      </c>
    </row>
    <row r="1869" spans="1:9">
      <c r="A1869" s="246">
        <v>1865</v>
      </c>
      <c r="B1869" s="247" t="s">
        <v>3561</v>
      </c>
      <c r="C1869" s="302" t="str">
        <f>"13480"</f>
        <v>13480</v>
      </c>
      <c r="D1869" s="247" t="s">
        <v>18</v>
      </c>
      <c r="E1869" s="248">
        <v>2</v>
      </c>
      <c r="F1869" s="249">
        <v>42969</v>
      </c>
      <c r="G1869" s="249">
        <v>44794</v>
      </c>
      <c r="H1869" s="247" t="s">
        <v>16</v>
      </c>
      <c r="I1869" s="250" t="s">
        <v>433</v>
      </c>
    </row>
    <row r="1870" spans="1:9">
      <c r="A1870" s="246">
        <v>1866</v>
      </c>
      <c r="B1870" s="247" t="s">
        <v>207</v>
      </c>
      <c r="C1870" s="302" t="str">
        <f>"13487"</f>
        <v>13487</v>
      </c>
      <c r="D1870" s="247" t="s">
        <v>21</v>
      </c>
      <c r="E1870" s="248">
        <v>4</v>
      </c>
      <c r="F1870" s="249">
        <v>44926</v>
      </c>
      <c r="G1870" s="249">
        <v>46751</v>
      </c>
      <c r="H1870" s="247" t="s">
        <v>16</v>
      </c>
      <c r="I1870" s="250" t="s">
        <v>79</v>
      </c>
    </row>
    <row r="1871" spans="1:9">
      <c r="A1871" s="246">
        <v>1867</v>
      </c>
      <c r="B1871" s="247" t="s">
        <v>3562</v>
      </c>
      <c r="C1871" s="302" t="str">
        <f>"13492"</f>
        <v>13492</v>
      </c>
      <c r="D1871" s="247" t="s">
        <v>18</v>
      </c>
      <c r="E1871" s="248">
        <v>246</v>
      </c>
      <c r="F1871" s="249">
        <v>42989</v>
      </c>
      <c r="G1871" s="249">
        <v>44814</v>
      </c>
      <c r="H1871" s="247" t="s">
        <v>56</v>
      </c>
      <c r="I1871" s="250" t="s">
        <v>3369</v>
      </c>
    </row>
    <row r="1872" spans="1:9">
      <c r="A1872" s="246">
        <v>1868</v>
      </c>
      <c r="B1872" s="247" t="s">
        <v>129</v>
      </c>
      <c r="C1872" s="302" t="str">
        <f>"13502"</f>
        <v>13502</v>
      </c>
      <c r="D1872" s="247" t="s">
        <v>18</v>
      </c>
      <c r="E1872" s="248">
        <v>32</v>
      </c>
      <c r="F1872" s="249">
        <v>42989</v>
      </c>
      <c r="G1872" s="249">
        <v>44814</v>
      </c>
      <c r="H1872" s="247" t="s">
        <v>19</v>
      </c>
      <c r="I1872" s="250" t="s">
        <v>448</v>
      </c>
    </row>
    <row r="1873" spans="1:9">
      <c r="A1873" s="246">
        <v>1869</v>
      </c>
      <c r="B1873" s="247" t="s">
        <v>129</v>
      </c>
      <c r="C1873" s="302" t="str">
        <f>"13503"</f>
        <v>13503</v>
      </c>
      <c r="D1873" s="247" t="s">
        <v>18</v>
      </c>
      <c r="E1873" s="248">
        <v>55</v>
      </c>
      <c r="F1873" s="249">
        <v>42957</v>
      </c>
      <c r="G1873" s="249">
        <v>44782</v>
      </c>
      <c r="H1873" s="247" t="s">
        <v>19</v>
      </c>
      <c r="I1873" s="250" t="s">
        <v>448</v>
      </c>
    </row>
    <row r="1874" spans="1:9">
      <c r="A1874" s="246">
        <v>1870</v>
      </c>
      <c r="B1874" s="247" t="s">
        <v>129</v>
      </c>
      <c r="C1874" s="302" t="str">
        <f>"13505"</f>
        <v>13505</v>
      </c>
      <c r="D1874" s="247" t="s">
        <v>18</v>
      </c>
      <c r="E1874" s="248">
        <v>35</v>
      </c>
      <c r="F1874" s="249">
        <v>42957</v>
      </c>
      <c r="G1874" s="249">
        <v>44782</v>
      </c>
      <c r="H1874" s="247" t="s">
        <v>19</v>
      </c>
      <c r="I1874" s="250" t="s">
        <v>448</v>
      </c>
    </row>
    <row r="1875" spans="1:9">
      <c r="A1875" s="246">
        <v>1871</v>
      </c>
      <c r="B1875" s="247" t="s">
        <v>129</v>
      </c>
      <c r="C1875" s="302" t="str">
        <f>"13506"</f>
        <v>13506</v>
      </c>
      <c r="D1875" s="247" t="s">
        <v>18</v>
      </c>
      <c r="E1875" s="248">
        <v>28</v>
      </c>
      <c r="F1875" s="249">
        <v>42961</v>
      </c>
      <c r="G1875" s="249">
        <v>44786</v>
      </c>
      <c r="H1875" s="247" t="s">
        <v>84</v>
      </c>
      <c r="I1875" s="250" t="s">
        <v>448</v>
      </c>
    </row>
    <row r="1876" spans="1:9">
      <c r="A1876" s="246">
        <v>1872</v>
      </c>
      <c r="B1876" s="247" t="s">
        <v>1988</v>
      </c>
      <c r="C1876" s="302" t="str">
        <f>"13510"</f>
        <v>13510</v>
      </c>
      <c r="D1876" s="247" t="s">
        <v>18</v>
      </c>
      <c r="E1876" s="248">
        <v>10</v>
      </c>
      <c r="F1876" s="249">
        <v>42991</v>
      </c>
      <c r="G1876" s="249">
        <v>44816</v>
      </c>
      <c r="H1876" s="247" t="s">
        <v>32</v>
      </c>
      <c r="I1876" s="250" t="s">
        <v>433</v>
      </c>
    </row>
    <row r="1877" spans="1:9">
      <c r="A1877" s="246">
        <v>1873</v>
      </c>
      <c r="B1877" s="247" t="s">
        <v>1988</v>
      </c>
      <c r="C1877" s="302" t="str">
        <f>"13512"</f>
        <v>13512</v>
      </c>
      <c r="D1877" s="247" t="s">
        <v>18</v>
      </c>
      <c r="E1877" s="248">
        <v>6</v>
      </c>
      <c r="F1877" s="249">
        <v>42975</v>
      </c>
      <c r="G1877" s="249">
        <v>44800</v>
      </c>
      <c r="H1877" s="247" t="s">
        <v>14</v>
      </c>
      <c r="I1877" s="250" t="s">
        <v>433</v>
      </c>
    </row>
    <row r="1878" spans="1:9">
      <c r="A1878" s="246">
        <v>1874</v>
      </c>
      <c r="B1878" s="247" t="s">
        <v>432</v>
      </c>
      <c r="C1878" s="302" t="str">
        <f>"13515"</f>
        <v>13515</v>
      </c>
      <c r="D1878" s="247" t="s">
        <v>18</v>
      </c>
      <c r="E1878" s="248">
        <v>2</v>
      </c>
      <c r="F1878" s="249">
        <v>42989</v>
      </c>
      <c r="G1878" s="249">
        <v>44814</v>
      </c>
      <c r="H1878" s="247" t="s">
        <v>16</v>
      </c>
      <c r="I1878" s="250" t="s">
        <v>433</v>
      </c>
    </row>
    <row r="1879" spans="1:9">
      <c r="A1879" s="246">
        <v>1875</v>
      </c>
      <c r="B1879" s="247" t="s">
        <v>536</v>
      </c>
      <c r="C1879" s="302" t="str">
        <f>"13516"</f>
        <v>13516</v>
      </c>
      <c r="D1879" s="247" t="s">
        <v>18</v>
      </c>
      <c r="E1879" s="248">
        <v>3</v>
      </c>
      <c r="F1879" s="249">
        <v>43133</v>
      </c>
      <c r="G1879" s="249">
        <v>44593</v>
      </c>
      <c r="H1879" s="247" t="s">
        <v>26</v>
      </c>
      <c r="I1879" s="250" t="s">
        <v>3369</v>
      </c>
    </row>
    <row r="1880" spans="1:9">
      <c r="A1880" s="246">
        <v>1876</v>
      </c>
      <c r="B1880" s="247" t="s">
        <v>536</v>
      </c>
      <c r="C1880" s="302" t="str">
        <f>"13517"</f>
        <v>13517</v>
      </c>
      <c r="D1880" s="247" t="s">
        <v>18</v>
      </c>
      <c r="E1880" s="248">
        <v>3</v>
      </c>
      <c r="F1880" s="249">
        <v>43132</v>
      </c>
      <c r="G1880" s="249">
        <v>44592</v>
      </c>
      <c r="H1880" s="247" t="s">
        <v>26</v>
      </c>
      <c r="I1880" s="250" t="s">
        <v>437</v>
      </c>
    </row>
    <row r="1881" spans="1:9">
      <c r="A1881" s="246">
        <v>1877</v>
      </c>
      <c r="B1881" s="247" t="s">
        <v>27</v>
      </c>
      <c r="C1881" s="302" t="str">
        <f>"13521"</f>
        <v>13521</v>
      </c>
      <c r="D1881" s="247" t="s">
        <v>18</v>
      </c>
      <c r="E1881" s="248">
        <v>453</v>
      </c>
      <c r="F1881" s="249">
        <v>42983</v>
      </c>
      <c r="G1881" s="249">
        <v>44808</v>
      </c>
      <c r="H1881" s="247" t="s">
        <v>14</v>
      </c>
      <c r="I1881" s="250" t="s">
        <v>455</v>
      </c>
    </row>
    <row r="1882" spans="1:9">
      <c r="A1882" s="246">
        <v>1878</v>
      </c>
      <c r="B1882" s="247" t="s">
        <v>27</v>
      </c>
      <c r="C1882" s="302" t="str">
        <f>"13529"</f>
        <v>13529</v>
      </c>
      <c r="D1882" s="247" t="s">
        <v>18</v>
      </c>
      <c r="E1882" s="248">
        <v>468</v>
      </c>
      <c r="F1882" s="249">
        <v>43007</v>
      </c>
      <c r="G1882" s="249">
        <v>44832</v>
      </c>
      <c r="H1882" s="247" t="s">
        <v>14</v>
      </c>
      <c r="I1882" s="250" t="s">
        <v>3386</v>
      </c>
    </row>
    <row r="1883" spans="1:9">
      <c r="A1883" s="246">
        <v>1879</v>
      </c>
      <c r="B1883" s="247" t="s">
        <v>208</v>
      </c>
      <c r="C1883" s="302" t="str">
        <f>"13537"</f>
        <v>13537</v>
      </c>
      <c r="D1883" s="247" t="s">
        <v>18</v>
      </c>
      <c r="E1883" s="248">
        <v>130</v>
      </c>
      <c r="F1883" s="249">
        <v>42992</v>
      </c>
      <c r="G1883" s="249">
        <v>44817</v>
      </c>
      <c r="H1883" s="247" t="s">
        <v>56</v>
      </c>
      <c r="I1883" s="250" t="s">
        <v>79</v>
      </c>
    </row>
    <row r="1884" spans="1:9">
      <c r="A1884" s="246">
        <v>1880</v>
      </c>
      <c r="B1884" s="247" t="s">
        <v>208</v>
      </c>
      <c r="C1884" s="302" t="str">
        <f>"13538"</f>
        <v>13538</v>
      </c>
      <c r="D1884" s="247" t="s">
        <v>18</v>
      </c>
      <c r="E1884" s="248">
        <v>50</v>
      </c>
      <c r="F1884" s="249">
        <v>42992</v>
      </c>
      <c r="G1884" s="249">
        <v>44817</v>
      </c>
      <c r="H1884" s="247" t="s">
        <v>14</v>
      </c>
      <c r="I1884" s="250" t="s">
        <v>3346</v>
      </c>
    </row>
    <row r="1885" spans="1:9">
      <c r="A1885" s="246">
        <v>1881</v>
      </c>
      <c r="B1885" s="247" t="s">
        <v>208</v>
      </c>
      <c r="C1885" s="302" t="str">
        <f>"13539"</f>
        <v>13539</v>
      </c>
      <c r="D1885" s="247" t="s">
        <v>18</v>
      </c>
      <c r="E1885" s="248">
        <v>32</v>
      </c>
      <c r="F1885" s="249">
        <v>42992</v>
      </c>
      <c r="G1885" s="249">
        <v>44817</v>
      </c>
      <c r="H1885" s="247" t="s">
        <v>14</v>
      </c>
      <c r="I1885" s="250" t="s">
        <v>3346</v>
      </c>
    </row>
    <row r="1886" spans="1:9">
      <c r="A1886" s="246">
        <v>1882</v>
      </c>
      <c r="B1886" s="247" t="s">
        <v>209</v>
      </c>
      <c r="C1886" s="302" t="str">
        <f>"13543"</f>
        <v>13543</v>
      </c>
      <c r="D1886" s="247" t="s">
        <v>18</v>
      </c>
      <c r="E1886" s="248">
        <v>71</v>
      </c>
      <c r="F1886" s="249">
        <v>42991</v>
      </c>
      <c r="G1886" s="249">
        <v>44816</v>
      </c>
      <c r="H1886" s="247" t="s">
        <v>19</v>
      </c>
      <c r="I1886" s="250" t="s">
        <v>79</v>
      </c>
    </row>
    <row r="1887" spans="1:9">
      <c r="A1887" s="246">
        <v>1883</v>
      </c>
      <c r="B1887" s="247" t="s">
        <v>209</v>
      </c>
      <c r="C1887" s="302" t="str">
        <f>"13544"</f>
        <v>13544</v>
      </c>
      <c r="D1887" s="247" t="s">
        <v>18</v>
      </c>
      <c r="E1887" s="248">
        <v>54</v>
      </c>
      <c r="F1887" s="249">
        <v>44495</v>
      </c>
      <c r="G1887" s="249">
        <v>46320</v>
      </c>
      <c r="H1887" s="247" t="s">
        <v>16</v>
      </c>
      <c r="I1887" s="250" t="s">
        <v>79</v>
      </c>
    </row>
    <row r="1888" spans="1:9">
      <c r="A1888" s="246">
        <v>1884</v>
      </c>
      <c r="B1888" s="247" t="s">
        <v>319</v>
      </c>
      <c r="C1888" s="302" t="str">
        <f>"13547"</f>
        <v>13547</v>
      </c>
      <c r="D1888" s="247" t="s">
        <v>23</v>
      </c>
      <c r="E1888" s="248">
        <v>3</v>
      </c>
      <c r="F1888" s="249">
        <v>44411</v>
      </c>
      <c r="G1888" s="249">
        <v>44775</v>
      </c>
      <c r="H1888" s="247" t="s">
        <v>14</v>
      </c>
      <c r="I1888" s="250" t="s">
        <v>3413</v>
      </c>
    </row>
    <row r="1889" spans="1:9">
      <c r="A1889" s="246">
        <v>1885</v>
      </c>
      <c r="B1889" s="247" t="s">
        <v>319</v>
      </c>
      <c r="C1889" s="302" t="str">
        <f>"13548"</f>
        <v>13548</v>
      </c>
      <c r="D1889" s="247" t="s">
        <v>23</v>
      </c>
      <c r="E1889" s="248">
        <v>5</v>
      </c>
      <c r="F1889" s="249">
        <v>44411</v>
      </c>
      <c r="G1889" s="249">
        <v>44775</v>
      </c>
      <c r="H1889" s="247" t="s">
        <v>14</v>
      </c>
      <c r="I1889" s="250" t="s">
        <v>3413</v>
      </c>
    </row>
    <row r="1890" spans="1:9">
      <c r="A1890" s="246">
        <v>1886</v>
      </c>
      <c r="B1890" s="247" t="s">
        <v>319</v>
      </c>
      <c r="C1890" s="302" t="str">
        <f>"13550"</f>
        <v>13550</v>
      </c>
      <c r="D1890" s="247" t="s">
        <v>23</v>
      </c>
      <c r="E1890" s="248">
        <v>4</v>
      </c>
      <c r="F1890" s="249">
        <v>43692</v>
      </c>
      <c r="G1890" s="249">
        <v>44057</v>
      </c>
      <c r="H1890" s="247" t="s">
        <v>14</v>
      </c>
      <c r="I1890" s="250" t="s">
        <v>3544</v>
      </c>
    </row>
    <row r="1891" spans="1:9">
      <c r="A1891" s="246">
        <v>1887</v>
      </c>
      <c r="B1891" s="247" t="s">
        <v>319</v>
      </c>
      <c r="C1891" s="302" t="str">
        <f>"13551"</f>
        <v>13551</v>
      </c>
      <c r="D1891" s="247" t="s">
        <v>23</v>
      </c>
      <c r="E1891" s="248">
        <v>3</v>
      </c>
      <c r="F1891" s="249">
        <v>44411</v>
      </c>
      <c r="G1891" s="249">
        <v>44775</v>
      </c>
      <c r="H1891" s="247" t="s">
        <v>14</v>
      </c>
      <c r="I1891" s="250" t="s">
        <v>3413</v>
      </c>
    </row>
    <row r="1892" spans="1:9">
      <c r="A1892" s="246">
        <v>1888</v>
      </c>
      <c r="B1892" s="247" t="s">
        <v>319</v>
      </c>
      <c r="C1892" s="302" t="str">
        <f>"13552"</f>
        <v>13552</v>
      </c>
      <c r="D1892" s="247" t="s">
        <v>23</v>
      </c>
      <c r="E1892" s="248">
        <v>4</v>
      </c>
      <c r="F1892" s="249">
        <v>43692</v>
      </c>
      <c r="G1892" s="249">
        <v>44057</v>
      </c>
      <c r="H1892" s="247" t="s">
        <v>14</v>
      </c>
      <c r="I1892" s="250" t="s">
        <v>3544</v>
      </c>
    </row>
    <row r="1893" spans="1:9">
      <c r="A1893" s="246">
        <v>1889</v>
      </c>
      <c r="B1893" s="247" t="s">
        <v>319</v>
      </c>
      <c r="C1893" s="302" t="str">
        <f>"13553"</f>
        <v>13553</v>
      </c>
      <c r="D1893" s="247" t="s">
        <v>23</v>
      </c>
      <c r="E1893" s="248">
        <v>4</v>
      </c>
      <c r="F1893" s="249">
        <v>43692</v>
      </c>
      <c r="G1893" s="249">
        <v>44057</v>
      </c>
      <c r="H1893" s="247" t="s">
        <v>14</v>
      </c>
      <c r="I1893" s="250" t="s">
        <v>3544</v>
      </c>
    </row>
    <row r="1894" spans="1:9">
      <c r="A1894" s="246">
        <v>1890</v>
      </c>
      <c r="B1894" s="247" t="s">
        <v>319</v>
      </c>
      <c r="C1894" s="302" t="str">
        <f>"13554"</f>
        <v>13554</v>
      </c>
      <c r="D1894" s="247" t="s">
        <v>23</v>
      </c>
      <c r="E1894" s="248">
        <v>3</v>
      </c>
      <c r="F1894" s="249">
        <v>43784</v>
      </c>
      <c r="G1894" s="249">
        <v>44149</v>
      </c>
      <c r="H1894" s="247" t="s">
        <v>14</v>
      </c>
      <c r="I1894" s="250" t="s">
        <v>3544</v>
      </c>
    </row>
    <row r="1895" spans="1:9">
      <c r="A1895" s="246">
        <v>1891</v>
      </c>
      <c r="B1895" s="247" t="s">
        <v>536</v>
      </c>
      <c r="C1895" s="302" t="str">
        <f>"13555"</f>
        <v>13555</v>
      </c>
      <c r="D1895" s="247" t="s">
        <v>18</v>
      </c>
      <c r="E1895" s="248">
        <v>1</v>
      </c>
      <c r="F1895" s="249">
        <v>42993</v>
      </c>
      <c r="G1895" s="249">
        <v>44453</v>
      </c>
      <c r="H1895" s="247" t="s">
        <v>26</v>
      </c>
      <c r="I1895" s="250" t="s">
        <v>438</v>
      </c>
    </row>
    <row r="1896" spans="1:9">
      <c r="A1896" s="246">
        <v>1892</v>
      </c>
      <c r="B1896" s="247" t="s">
        <v>3551</v>
      </c>
      <c r="C1896" s="302" t="str">
        <f>"13556"</f>
        <v>13556</v>
      </c>
      <c r="D1896" s="247" t="s">
        <v>18</v>
      </c>
      <c r="E1896" s="248">
        <v>4</v>
      </c>
      <c r="F1896" s="249">
        <v>43010</v>
      </c>
      <c r="G1896" s="249">
        <v>44835</v>
      </c>
      <c r="H1896" s="247" t="s">
        <v>84</v>
      </c>
      <c r="I1896" s="250" t="s">
        <v>438</v>
      </c>
    </row>
    <row r="1897" spans="1:9">
      <c r="A1897" s="246">
        <v>1893</v>
      </c>
      <c r="B1897" s="247" t="s">
        <v>3551</v>
      </c>
      <c r="C1897" s="302" t="str">
        <f>"13557"</f>
        <v>13557</v>
      </c>
      <c r="D1897" s="247" t="s">
        <v>18</v>
      </c>
      <c r="E1897" s="248">
        <v>4</v>
      </c>
      <c r="F1897" s="249">
        <v>42991</v>
      </c>
      <c r="G1897" s="249">
        <v>44816</v>
      </c>
      <c r="H1897" s="247" t="s">
        <v>84</v>
      </c>
      <c r="I1897" s="250" t="s">
        <v>438</v>
      </c>
    </row>
    <row r="1898" spans="1:9">
      <c r="A1898" s="246">
        <v>1894</v>
      </c>
      <c r="B1898" s="247" t="s">
        <v>3551</v>
      </c>
      <c r="C1898" s="302" t="str">
        <f>"13558"</f>
        <v>13558</v>
      </c>
      <c r="D1898" s="247" t="s">
        <v>18</v>
      </c>
      <c r="E1898" s="248">
        <v>4</v>
      </c>
      <c r="F1898" s="249">
        <v>42991</v>
      </c>
      <c r="G1898" s="249">
        <v>44816</v>
      </c>
      <c r="H1898" s="247" t="s">
        <v>84</v>
      </c>
      <c r="I1898" s="250" t="s">
        <v>438</v>
      </c>
    </row>
    <row r="1899" spans="1:9">
      <c r="A1899" s="246">
        <v>1895</v>
      </c>
      <c r="B1899" s="247" t="s">
        <v>362</v>
      </c>
      <c r="C1899" s="302" t="str">
        <f>"13569"</f>
        <v>13569</v>
      </c>
      <c r="D1899" s="247" t="s">
        <v>18</v>
      </c>
      <c r="E1899" s="248">
        <v>9</v>
      </c>
      <c r="F1899" s="249">
        <v>42989</v>
      </c>
      <c r="G1899" s="249">
        <v>44814</v>
      </c>
      <c r="H1899" s="247" t="s">
        <v>56</v>
      </c>
      <c r="I1899" s="250" t="s">
        <v>3369</v>
      </c>
    </row>
    <row r="1900" spans="1:9">
      <c r="A1900" s="246">
        <v>1896</v>
      </c>
      <c r="B1900" s="247" t="s">
        <v>362</v>
      </c>
      <c r="C1900" s="302" t="str">
        <f>"13570"</f>
        <v>13570</v>
      </c>
      <c r="D1900" s="247" t="s">
        <v>18</v>
      </c>
      <c r="E1900" s="248">
        <v>10</v>
      </c>
      <c r="F1900" s="249">
        <v>43010</v>
      </c>
      <c r="G1900" s="249">
        <v>44470</v>
      </c>
      <c r="H1900" s="247" t="s">
        <v>24</v>
      </c>
      <c r="I1900" s="250" t="s">
        <v>3369</v>
      </c>
    </row>
    <row r="1901" spans="1:9">
      <c r="A1901" s="246">
        <v>1897</v>
      </c>
      <c r="B1901" s="247" t="s">
        <v>3551</v>
      </c>
      <c r="C1901" s="302" t="str">
        <f>"13573"</f>
        <v>13573</v>
      </c>
      <c r="D1901" s="247" t="s">
        <v>18</v>
      </c>
      <c r="E1901" s="248">
        <v>12</v>
      </c>
      <c r="F1901" s="249">
        <v>43024</v>
      </c>
      <c r="G1901" s="249">
        <v>44484</v>
      </c>
      <c r="H1901" s="247" t="s">
        <v>26</v>
      </c>
      <c r="I1901" s="250" t="s">
        <v>438</v>
      </c>
    </row>
    <row r="1902" spans="1:9">
      <c r="A1902" s="246">
        <v>1898</v>
      </c>
      <c r="B1902" s="247" t="s">
        <v>3551</v>
      </c>
      <c r="C1902" s="302" t="str">
        <f>"13574"</f>
        <v>13574</v>
      </c>
      <c r="D1902" s="247" t="s">
        <v>18</v>
      </c>
      <c r="E1902" s="248">
        <v>12</v>
      </c>
      <c r="F1902" s="249">
        <v>42984</v>
      </c>
      <c r="G1902" s="249">
        <v>44444</v>
      </c>
      <c r="H1902" s="247" t="s">
        <v>26</v>
      </c>
      <c r="I1902" s="250" t="s">
        <v>438</v>
      </c>
    </row>
    <row r="1903" spans="1:9">
      <c r="A1903" s="246">
        <v>1899</v>
      </c>
      <c r="B1903" s="247" t="s">
        <v>1983</v>
      </c>
      <c r="C1903" s="302" t="str">
        <f>"13590"</f>
        <v>13590</v>
      </c>
      <c r="D1903" s="247" t="s">
        <v>18</v>
      </c>
      <c r="E1903" s="248">
        <v>88</v>
      </c>
      <c r="F1903" s="249">
        <v>42986</v>
      </c>
      <c r="G1903" s="249">
        <v>44811</v>
      </c>
      <c r="H1903" s="247" t="s">
        <v>70</v>
      </c>
      <c r="I1903" s="250" t="s">
        <v>3369</v>
      </c>
    </row>
    <row r="1904" spans="1:9">
      <c r="A1904" s="246">
        <v>1900</v>
      </c>
      <c r="B1904" s="247" t="s">
        <v>1983</v>
      </c>
      <c r="C1904" s="302" t="str">
        <f>"13591"</f>
        <v>13591</v>
      </c>
      <c r="D1904" s="247" t="s">
        <v>18</v>
      </c>
      <c r="E1904" s="248">
        <v>16</v>
      </c>
      <c r="F1904" s="249">
        <v>42994</v>
      </c>
      <c r="G1904" s="249">
        <v>44819</v>
      </c>
      <c r="H1904" s="247" t="s">
        <v>70</v>
      </c>
      <c r="I1904" s="250" t="s">
        <v>438</v>
      </c>
    </row>
    <row r="1905" spans="1:9">
      <c r="A1905" s="246">
        <v>1901</v>
      </c>
      <c r="B1905" s="247" t="s">
        <v>295</v>
      </c>
      <c r="C1905" s="302" t="str">
        <f>"13607"</f>
        <v>13607</v>
      </c>
      <c r="D1905" s="247" t="s">
        <v>18</v>
      </c>
      <c r="E1905" s="248">
        <v>87</v>
      </c>
      <c r="F1905" s="249">
        <v>42961</v>
      </c>
      <c r="G1905" s="249">
        <v>44786</v>
      </c>
      <c r="H1905" s="247" t="s">
        <v>14</v>
      </c>
      <c r="I1905" s="250" t="s">
        <v>3369</v>
      </c>
    </row>
    <row r="1906" spans="1:9">
      <c r="A1906" s="246">
        <v>1902</v>
      </c>
      <c r="B1906" s="247" t="s">
        <v>538</v>
      </c>
      <c r="C1906" s="302" t="str">
        <f>"13608"</f>
        <v>13608</v>
      </c>
      <c r="D1906" s="247" t="s">
        <v>18</v>
      </c>
      <c r="E1906" s="248">
        <v>96</v>
      </c>
      <c r="F1906" s="249">
        <v>42961</v>
      </c>
      <c r="G1906" s="249">
        <v>44786</v>
      </c>
      <c r="H1906" s="247" t="s">
        <v>16</v>
      </c>
      <c r="I1906" s="250" t="s">
        <v>438</v>
      </c>
    </row>
    <row r="1907" spans="1:9">
      <c r="A1907" s="246">
        <v>1903</v>
      </c>
      <c r="B1907" s="247" t="s">
        <v>538</v>
      </c>
      <c r="C1907" s="302" t="str">
        <f>"13609"</f>
        <v>13609</v>
      </c>
      <c r="D1907" s="247" t="s">
        <v>18</v>
      </c>
      <c r="E1907" s="248">
        <v>30</v>
      </c>
      <c r="F1907" s="249">
        <v>42957</v>
      </c>
      <c r="G1907" s="249">
        <v>44782</v>
      </c>
      <c r="H1907" s="247" t="s">
        <v>14</v>
      </c>
      <c r="I1907" s="250" t="s">
        <v>438</v>
      </c>
    </row>
    <row r="1908" spans="1:9">
      <c r="A1908" s="246">
        <v>1904</v>
      </c>
      <c r="B1908" s="247" t="s">
        <v>231</v>
      </c>
      <c r="C1908" s="302" t="str">
        <f>"13610"</f>
        <v>13610</v>
      </c>
      <c r="D1908" s="247" t="s">
        <v>18</v>
      </c>
      <c r="E1908" s="248">
        <v>246</v>
      </c>
      <c r="F1908" s="249">
        <v>42804</v>
      </c>
      <c r="G1908" s="249">
        <v>44629</v>
      </c>
      <c r="H1908" s="247" t="s">
        <v>59</v>
      </c>
      <c r="I1908" s="250" t="s">
        <v>3346</v>
      </c>
    </row>
    <row r="1909" spans="1:9">
      <c r="A1909" s="246">
        <v>1905</v>
      </c>
      <c r="B1909" s="247" t="s">
        <v>231</v>
      </c>
      <c r="C1909" s="302" t="str">
        <f>"13611"</f>
        <v>13611</v>
      </c>
      <c r="D1909" s="247" t="s">
        <v>18</v>
      </c>
      <c r="E1909" s="248">
        <v>61</v>
      </c>
      <c r="F1909" s="249">
        <v>42804</v>
      </c>
      <c r="G1909" s="249">
        <v>44629</v>
      </c>
      <c r="H1909" s="247" t="s">
        <v>59</v>
      </c>
      <c r="I1909" s="250" t="s">
        <v>3346</v>
      </c>
    </row>
    <row r="1910" spans="1:9">
      <c r="A1910" s="246">
        <v>1906</v>
      </c>
      <c r="B1910" s="247" t="s">
        <v>129</v>
      </c>
      <c r="C1910" s="302" t="str">
        <f>"13612"</f>
        <v>13612</v>
      </c>
      <c r="D1910" s="247" t="s">
        <v>18</v>
      </c>
      <c r="E1910" s="248">
        <v>21</v>
      </c>
      <c r="F1910" s="249">
        <v>42961</v>
      </c>
      <c r="G1910" s="249">
        <v>44786</v>
      </c>
      <c r="H1910" s="247" t="s">
        <v>14</v>
      </c>
      <c r="I1910" s="250" t="s">
        <v>448</v>
      </c>
    </row>
    <row r="1911" spans="1:9">
      <c r="A1911" s="246">
        <v>1907</v>
      </c>
      <c r="B1911" s="247" t="s">
        <v>129</v>
      </c>
      <c r="C1911" s="302" t="str">
        <f>"13613"</f>
        <v>13613</v>
      </c>
      <c r="D1911" s="247" t="s">
        <v>18</v>
      </c>
      <c r="E1911" s="248">
        <v>41</v>
      </c>
      <c r="F1911" s="249">
        <v>42961</v>
      </c>
      <c r="G1911" s="249">
        <v>44786</v>
      </c>
      <c r="H1911" s="247" t="s">
        <v>14</v>
      </c>
      <c r="I1911" s="250" t="s">
        <v>448</v>
      </c>
    </row>
    <row r="1912" spans="1:9">
      <c r="A1912" s="246">
        <v>1908</v>
      </c>
      <c r="B1912" s="247" t="s">
        <v>129</v>
      </c>
      <c r="C1912" s="302" t="str">
        <f>"13614"</f>
        <v>13614</v>
      </c>
      <c r="D1912" s="247" t="s">
        <v>18</v>
      </c>
      <c r="E1912" s="248">
        <v>18</v>
      </c>
      <c r="F1912" s="249">
        <v>42961</v>
      </c>
      <c r="G1912" s="249">
        <v>44786</v>
      </c>
      <c r="H1912" s="247" t="s">
        <v>14</v>
      </c>
      <c r="I1912" s="250" t="s">
        <v>448</v>
      </c>
    </row>
    <row r="1913" spans="1:9">
      <c r="A1913" s="246">
        <v>1909</v>
      </c>
      <c r="B1913" s="247" t="s">
        <v>3563</v>
      </c>
      <c r="C1913" s="302" t="str">
        <f>"13617"</f>
        <v>13617</v>
      </c>
      <c r="D1913" s="247" t="s">
        <v>18</v>
      </c>
      <c r="E1913" s="248">
        <v>10</v>
      </c>
      <c r="F1913" s="249">
        <v>43010</v>
      </c>
      <c r="G1913" s="249">
        <v>44470</v>
      </c>
      <c r="H1913" s="247" t="s">
        <v>24</v>
      </c>
      <c r="I1913" s="250" t="s">
        <v>448</v>
      </c>
    </row>
    <row r="1914" spans="1:9">
      <c r="A1914" s="246">
        <v>1910</v>
      </c>
      <c r="B1914" s="247" t="s">
        <v>1961</v>
      </c>
      <c r="C1914" s="302" t="str">
        <f>"13622"</f>
        <v>13622</v>
      </c>
      <c r="D1914" s="247" t="s">
        <v>18</v>
      </c>
      <c r="E1914" s="248">
        <v>51</v>
      </c>
      <c r="F1914" s="249">
        <v>42969</v>
      </c>
      <c r="G1914" s="249">
        <v>44794</v>
      </c>
      <c r="H1914" s="247" t="s">
        <v>14</v>
      </c>
      <c r="I1914" s="250" t="s">
        <v>448</v>
      </c>
    </row>
    <row r="1915" spans="1:9">
      <c r="A1915" s="246">
        <v>1911</v>
      </c>
      <c r="B1915" s="247" t="s">
        <v>3564</v>
      </c>
      <c r="C1915" s="302" t="str">
        <f>"13623"</f>
        <v>13623</v>
      </c>
      <c r="D1915" s="247" t="s">
        <v>18</v>
      </c>
      <c r="E1915" s="248">
        <v>15</v>
      </c>
      <c r="F1915" s="249">
        <v>42961</v>
      </c>
      <c r="G1915" s="249">
        <v>44786</v>
      </c>
      <c r="H1915" s="247" t="s">
        <v>16</v>
      </c>
      <c r="I1915" s="250" t="s">
        <v>438</v>
      </c>
    </row>
    <row r="1916" spans="1:9">
      <c r="A1916" s="246">
        <v>1912</v>
      </c>
      <c r="B1916" s="247" t="s">
        <v>2014</v>
      </c>
      <c r="C1916" s="302" t="str">
        <f>"13624"</f>
        <v>13624</v>
      </c>
      <c r="D1916" s="247" t="s">
        <v>18</v>
      </c>
      <c r="E1916" s="248">
        <v>80</v>
      </c>
      <c r="F1916" s="249">
        <v>42969</v>
      </c>
      <c r="G1916" s="249">
        <v>44794</v>
      </c>
      <c r="H1916" s="247" t="s">
        <v>16</v>
      </c>
      <c r="I1916" s="250" t="s">
        <v>3369</v>
      </c>
    </row>
    <row r="1917" spans="1:9">
      <c r="A1917" s="246">
        <v>1913</v>
      </c>
      <c r="B1917" s="247" t="s">
        <v>245</v>
      </c>
      <c r="C1917" s="302" t="str">
        <f>"13625"</f>
        <v>13625</v>
      </c>
      <c r="D1917" s="247" t="s">
        <v>18</v>
      </c>
      <c r="E1917" s="248">
        <v>20</v>
      </c>
      <c r="F1917" s="249">
        <v>42957</v>
      </c>
      <c r="G1917" s="249">
        <v>44782</v>
      </c>
      <c r="H1917" s="247" t="s">
        <v>16</v>
      </c>
      <c r="I1917" s="250" t="s">
        <v>448</v>
      </c>
    </row>
    <row r="1918" spans="1:9">
      <c r="A1918" s="246">
        <v>1914</v>
      </c>
      <c r="B1918" s="247" t="s">
        <v>353</v>
      </c>
      <c r="C1918" s="302" t="str">
        <f>"13626"</f>
        <v>13626</v>
      </c>
      <c r="D1918" s="247" t="s">
        <v>18</v>
      </c>
      <c r="E1918" s="248">
        <v>5</v>
      </c>
      <c r="F1918" s="249">
        <v>42961</v>
      </c>
      <c r="G1918" s="249">
        <v>44786</v>
      </c>
      <c r="H1918" s="247" t="s">
        <v>14</v>
      </c>
      <c r="I1918" s="250" t="s">
        <v>3369</v>
      </c>
    </row>
    <row r="1919" spans="1:9">
      <c r="A1919" s="246">
        <v>1915</v>
      </c>
      <c r="B1919" s="247" t="s">
        <v>1985</v>
      </c>
      <c r="C1919" s="302" t="str">
        <f>"13627"</f>
        <v>13627</v>
      </c>
      <c r="D1919" s="247" t="s">
        <v>18</v>
      </c>
      <c r="E1919" s="248">
        <v>159</v>
      </c>
      <c r="F1919" s="249">
        <v>42957</v>
      </c>
      <c r="G1919" s="249">
        <v>44782</v>
      </c>
      <c r="H1919" s="247" t="s">
        <v>16</v>
      </c>
      <c r="I1919" s="250" t="s">
        <v>438</v>
      </c>
    </row>
    <row r="1920" spans="1:9">
      <c r="A1920" s="246">
        <v>1916</v>
      </c>
      <c r="B1920" s="247" t="s">
        <v>2675</v>
      </c>
      <c r="C1920" s="302" t="str">
        <f>"13628"</f>
        <v>13628</v>
      </c>
      <c r="D1920" s="247" t="s">
        <v>18</v>
      </c>
      <c r="E1920" s="248">
        <v>15</v>
      </c>
      <c r="F1920" s="249">
        <v>42961</v>
      </c>
      <c r="G1920" s="249">
        <v>44786</v>
      </c>
      <c r="H1920" s="247" t="s">
        <v>16</v>
      </c>
      <c r="I1920" s="250" t="s">
        <v>3369</v>
      </c>
    </row>
    <row r="1921" spans="1:9">
      <c r="A1921" s="246">
        <v>1917</v>
      </c>
      <c r="B1921" s="247" t="s">
        <v>267</v>
      </c>
      <c r="C1921" s="302" t="str">
        <f>"13629"</f>
        <v>13629</v>
      </c>
      <c r="D1921" s="247" t="s">
        <v>18</v>
      </c>
      <c r="E1921" s="248">
        <v>36</v>
      </c>
      <c r="F1921" s="249">
        <v>42961</v>
      </c>
      <c r="G1921" s="249">
        <v>44786</v>
      </c>
      <c r="H1921" s="247" t="s">
        <v>16</v>
      </c>
      <c r="I1921" s="250" t="s">
        <v>3369</v>
      </c>
    </row>
    <row r="1922" spans="1:9">
      <c r="A1922" s="246">
        <v>1918</v>
      </c>
      <c r="B1922" s="247" t="s">
        <v>1983</v>
      </c>
      <c r="C1922" s="302" t="str">
        <f>"13634"</f>
        <v>13634</v>
      </c>
      <c r="D1922" s="247" t="s">
        <v>18</v>
      </c>
      <c r="E1922" s="248">
        <v>52</v>
      </c>
      <c r="F1922" s="249">
        <v>42976</v>
      </c>
      <c r="G1922" s="249">
        <v>44801</v>
      </c>
      <c r="H1922" s="247" t="s">
        <v>16</v>
      </c>
      <c r="I1922" s="250" t="s">
        <v>3369</v>
      </c>
    </row>
    <row r="1923" spans="1:9">
      <c r="A1923" s="246">
        <v>1919</v>
      </c>
      <c r="B1923" s="247" t="s">
        <v>1983</v>
      </c>
      <c r="C1923" s="302" t="str">
        <f>"13635"</f>
        <v>13635</v>
      </c>
      <c r="D1923" s="247" t="s">
        <v>18</v>
      </c>
      <c r="E1923" s="248">
        <v>12</v>
      </c>
      <c r="F1923" s="249">
        <v>42989</v>
      </c>
      <c r="G1923" s="249">
        <v>44814</v>
      </c>
      <c r="H1923" s="247" t="s">
        <v>70</v>
      </c>
      <c r="I1923" s="250" t="s">
        <v>3417</v>
      </c>
    </row>
    <row r="1924" spans="1:9">
      <c r="A1924" s="246">
        <v>1920</v>
      </c>
      <c r="B1924" s="247" t="s">
        <v>3565</v>
      </c>
      <c r="C1924" s="302" t="str">
        <f>"13656"</f>
        <v>13656</v>
      </c>
      <c r="D1924" s="247" t="s">
        <v>18</v>
      </c>
      <c r="E1924" s="248">
        <v>460</v>
      </c>
      <c r="F1924" s="249">
        <v>42969</v>
      </c>
      <c r="G1924" s="249">
        <v>44794</v>
      </c>
      <c r="H1924" s="247" t="s">
        <v>19</v>
      </c>
      <c r="I1924" s="250" t="s">
        <v>438</v>
      </c>
    </row>
    <row r="1925" spans="1:9">
      <c r="A1925" s="246">
        <v>1921</v>
      </c>
      <c r="B1925" s="247" t="s">
        <v>3565</v>
      </c>
      <c r="C1925" s="302" t="str">
        <f>"13657"</f>
        <v>13657</v>
      </c>
      <c r="D1925" s="247" t="s">
        <v>18</v>
      </c>
      <c r="E1925" s="248">
        <v>460</v>
      </c>
      <c r="F1925" s="249">
        <v>42969</v>
      </c>
      <c r="G1925" s="249">
        <v>44794</v>
      </c>
      <c r="H1925" s="247" t="s">
        <v>19</v>
      </c>
      <c r="I1925" s="250" t="s">
        <v>438</v>
      </c>
    </row>
    <row r="1926" spans="1:9">
      <c r="A1926" s="246">
        <v>1922</v>
      </c>
      <c r="B1926" s="247" t="s">
        <v>2096</v>
      </c>
      <c r="C1926" s="302" t="str">
        <f>"13671"</f>
        <v>13671</v>
      </c>
      <c r="D1926" s="247" t="s">
        <v>18</v>
      </c>
      <c r="E1926" s="248">
        <v>20</v>
      </c>
      <c r="F1926" s="249">
        <v>42975</v>
      </c>
      <c r="G1926" s="249">
        <v>44800</v>
      </c>
      <c r="H1926" s="247" t="s">
        <v>22</v>
      </c>
      <c r="I1926" s="250" t="s">
        <v>438</v>
      </c>
    </row>
    <row r="1927" spans="1:9">
      <c r="A1927" s="246">
        <v>1923</v>
      </c>
      <c r="B1927" s="247" t="s">
        <v>3566</v>
      </c>
      <c r="C1927" s="302" t="str">
        <f>"13674"</f>
        <v>13674</v>
      </c>
      <c r="D1927" s="247" t="s">
        <v>18</v>
      </c>
      <c r="E1927" s="248">
        <v>80</v>
      </c>
      <c r="F1927" s="249">
        <v>42991</v>
      </c>
      <c r="G1927" s="249">
        <v>44451</v>
      </c>
      <c r="H1927" s="247" t="s">
        <v>56</v>
      </c>
      <c r="I1927" s="250" t="s">
        <v>438</v>
      </c>
    </row>
    <row r="1928" spans="1:9">
      <c r="A1928" s="246">
        <v>1924</v>
      </c>
      <c r="B1928" s="247" t="s">
        <v>3566</v>
      </c>
      <c r="C1928" s="302" t="str">
        <f>"13675"</f>
        <v>13675</v>
      </c>
      <c r="D1928" s="247" t="s">
        <v>18</v>
      </c>
      <c r="E1928" s="248">
        <v>77</v>
      </c>
      <c r="F1928" s="249">
        <v>42989</v>
      </c>
      <c r="G1928" s="249">
        <v>44449</v>
      </c>
      <c r="H1928" s="247" t="s">
        <v>56</v>
      </c>
      <c r="I1928" s="250" t="s">
        <v>438</v>
      </c>
    </row>
    <row r="1929" spans="1:9">
      <c r="A1929" s="246">
        <v>1925</v>
      </c>
      <c r="B1929" s="247" t="s">
        <v>3567</v>
      </c>
      <c r="C1929" s="302" t="str">
        <f>"13680"</f>
        <v>13680</v>
      </c>
      <c r="D1929" s="247" t="s">
        <v>18</v>
      </c>
      <c r="E1929" s="248">
        <v>25</v>
      </c>
      <c r="F1929" s="249">
        <v>43019</v>
      </c>
      <c r="G1929" s="249">
        <v>44479</v>
      </c>
      <c r="H1929" s="247" t="s">
        <v>25</v>
      </c>
      <c r="I1929" s="250" t="s">
        <v>438</v>
      </c>
    </row>
    <row r="1930" spans="1:9">
      <c r="A1930" s="246">
        <v>1926</v>
      </c>
      <c r="B1930" s="247" t="s">
        <v>3567</v>
      </c>
      <c r="C1930" s="302" t="str">
        <f>"13681"</f>
        <v>13681</v>
      </c>
      <c r="D1930" s="247" t="s">
        <v>18</v>
      </c>
      <c r="E1930" s="248">
        <v>50</v>
      </c>
      <c r="F1930" s="249">
        <v>42999</v>
      </c>
      <c r="G1930" s="249">
        <v>44459</v>
      </c>
      <c r="H1930" s="247" t="s">
        <v>25</v>
      </c>
      <c r="I1930" s="250" t="s">
        <v>438</v>
      </c>
    </row>
    <row r="1931" spans="1:9">
      <c r="A1931" s="246">
        <v>1927</v>
      </c>
      <c r="B1931" s="247" t="s">
        <v>534</v>
      </c>
      <c r="C1931" s="302" t="str">
        <f>"13683"</f>
        <v>13683</v>
      </c>
      <c r="D1931" s="247" t="s">
        <v>18</v>
      </c>
      <c r="E1931" s="248">
        <v>3</v>
      </c>
      <c r="F1931" s="249">
        <v>42975</v>
      </c>
      <c r="G1931" s="249">
        <v>44800</v>
      </c>
      <c r="H1931" s="247" t="s">
        <v>14</v>
      </c>
      <c r="I1931" s="250" t="s">
        <v>3369</v>
      </c>
    </row>
    <row r="1932" spans="1:9">
      <c r="A1932" s="246">
        <v>1928</v>
      </c>
      <c r="B1932" s="247" t="s">
        <v>534</v>
      </c>
      <c r="C1932" s="302" t="str">
        <f>"13684"</f>
        <v>13684</v>
      </c>
      <c r="D1932" s="247" t="s">
        <v>18</v>
      </c>
      <c r="E1932" s="248">
        <v>4</v>
      </c>
      <c r="F1932" s="249">
        <v>42975</v>
      </c>
      <c r="G1932" s="249">
        <v>44800</v>
      </c>
      <c r="H1932" s="247" t="s">
        <v>14</v>
      </c>
      <c r="I1932" s="250" t="s">
        <v>3369</v>
      </c>
    </row>
    <row r="1933" spans="1:9">
      <c r="A1933" s="246">
        <v>1929</v>
      </c>
      <c r="B1933" s="247" t="s">
        <v>534</v>
      </c>
      <c r="C1933" s="302" t="str">
        <f>"13685"</f>
        <v>13685</v>
      </c>
      <c r="D1933" s="247" t="s">
        <v>18</v>
      </c>
      <c r="E1933" s="248">
        <v>9</v>
      </c>
      <c r="F1933" s="249">
        <v>42979</v>
      </c>
      <c r="G1933" s="249">
        <v>44804</v>
      </c>
      <c r="H1933" s="247" t="s">
        <v>19</v>
      </c>
      <c r="I1933" s="250" t="s">
        <v>3369</v>
      </c>
    </row>
    <row r="1934" spans="1:9">
      <c r="A1934" s="246">
        <v>1930</v>
      </c>
      <c r="B1934" s="247" t="s">
        <v>536</v>
      </c>
      <c r="C1934" s="302" t="str">
        <f>"13695"</f>
        <v>13695</v>
      </c>
      <c r="D1934" s="247" t="s">
        <v>18</v>
      </c>
      <c r="E1934" s="248">
        <v>3</v>
      </c>
      <c r="F1934" s="249">
        <v>43133</v>
      </c>
      <c r="G1934" s="249">
        <v>44593</v>
      </c>
      <c r="H1934" s="247" t="s">
        <v>26</v>
      </c>
      <c r="I1934" s="250" t="s">
        <v>437</v>
      </c>
    </row>
    <row r="1935" spans="1:9">
      <c r="A1935" s="246">
        <v>1931</v>
      </c>
      <c r="B1935" s="247" t="s">
        <v>257</v>
      </c>
      <c r="C1935" s="302" t="str">
        <f>"13700"</f>
        <v>13700</v>
      </c>
      <c r="D1935" s="247" t="s">
        <v>18</v>
      </c>
      <c r="E1935" s="248">
        <v>2</v>
      </c>
      <c r="F1935" s="249">
        <v>42991</v>
      </c>
      <c r="G1935" s="249">
        <v>44816</v>
      </c>
      <c r="H1935" s="247" t="s">
        <v>19</v>
      </c>
      <c r="I1935" s="250" t="s">
        <v>3369</v>
      </c>
    </row>
    <row r="1936" spans="1:9">
      <c r="A1936" s="246">
        <v>1932</v>
      </c>
      <c r="B1936" s="247" t="s">
        <v>247</v>
      </c>
      <c r="C1936" s="302" t="str">
        <f>"13701"</f>
        <v>13701</v>
      </c>
      <c r="D1936" s="247" t="s">
        <v>18</v>
      </c>
      <c r="E1936" s="248">
        <v>30</v>
      </c>
      <c r="F1936" s="249">
        <v>42986</v>
      </c>
      <c r="G1936" s="249">
        <v>44446</v>
      </c>
      <c r="H1936" s="247" t="s">
        <v>24</v>
      </c>
      <c r="I1936" s="250" t="s">
        <v>3389</v>
      </c>
    </row>
    <row r="1937" spans="1:9">
      <c r="A1937" s="246">
        <v>1933</v>
      </c>
      <c r="B1937" s="247" t="s">
        <v>1961</v>
      </c>
      <c r="C1937" s="302" t="str">
        <f>"13703"</f>
        <v>13703</v>
      </c>
      <c r="D1937" s="247" t="s">
        <v>18</v>
      </c>
      <c r="E1937" s="248">
        <v>9</v>
      </c>
      <c r="F1937" s="249">
        <v>42969</v>
      </c>
      <c r="G1937" s="249">
        <v>44794</v>
      </c>
      <c r="H1937" s="247" t="s">
        <v>14</v>
      </c>
      <c r="I1937" s="250" t="s">
        <v>3369</v>
      </c>
    </row>
    <row r="1938" spans="1:9">
      <c r="A1938" s="246">
        <v>1934</v>
      </c>
      <c r="B1938" s="247" t="s">
        <v>294</v>
      </c>
      <c r="C1938" s="302" t="str">
        <f>"13707"</f>
        <v>13707</v>
      </c>
      <c r="D1938" s="247" t="s">
        <v>23</v>
      </c>
      <c r="E1938" s="248">
        <v>3</v>
      </c>
      <c r="F1938" s="249">
        <v>43024</v>
      </c>
      <c r="G1938" s="249">
        <v>43388</v>
      </c>
      <c r="H1938" s="247" t="s">
        <v>16</v>
      </c>
      <c r="I1938" s="250" t="s">
        <v>3413</v>
      </c>
    </row>
    <row r="1939" spans="1:9">
      <c r="A1939" s="246">
        <v>1935</v>
      </c>
      <c r="B1939" s="247" t="s">
        <v>295</v>
      </c>
      <c r="C1939" s="302" t="str">
        <f>"13709"</f>
        <v>13709</v>
      </c>
      <c r="D1939" s="247" t="s">
        <v>18</v>
      </c>
      <c r="E1939" s="248">
        <v>16</v>
      </c>
      <c r="F1939" s="249">
        <v>42961</v>
      </c>
      <c r="G1939" s="249">
        <v>44786</v>
      </c>
      <c r="H1939" s="247" t="s">
        <v>14</v>
      </c>
      <c r="I1939" s="250" t="s">
        <v>3369</v>
      </c>
    </row>
    <row r="1940" spans="1:9">
      <c r="A1940" s="246">
        <v>1936</v>
      </c>
      <c r="B1940" s="247" t="s">
        <v>3568</v>
      </c>
      <c r="C1940" s="302" t="str">
        <f>"13712"</f>
        <v>13712</v>
      </c>
      <c r="D1940" s="247" t="s">
        <v>18</v>
      </c>
      <c r="E1940" s="248">
        <v>2</v>
      </c>
      <c r="F1940" s="249">
        <v>42986</v>
      </c>
      <c r="G1940" s="249">
        <v>44811</v>
      </c>
      <c r="H1940" s="247" t="s">
        <v>59</v>
      </c>
      <c r="I1940" s="250" t="s">
        <v>438</v>
      </c>
    </row>
    <row r="1941" spans="1:9">
      <c r="A1941" s="246">
        <v>1937</v>
      </c>
      <c r="B1941" s="247" t="s">
        <v>3568</v>
      </c>
      <c r="C1941" s="302" t="str">
        <f>"13713"</f>
        <v>13713</v>
      </c>
      <c r="D1941" s="247" t="s">
        <v>18</v>
      </c>
      <c r="E1941" s="248">
        <v>3</v>
      </c>
      <c r="F1941" s="249">
        <v>42986</v>
      </c>
      <c r="G1941" s="249">
        <v>44811</v>
      </c>
      <c r="H1941" s="247" t="s">
        <v>14</v>
      </c>
      <c r="I1941" s="250" t="s">
        <v>438</v>
      </c>
    </row>
    <row r="1942" spans="1:9">
      <c r="A1942" s="246">
        <v>1938</v>
      </c>
      <c r="B1942" s="247" t="s">
        <v>3568</v>
      </c>
      <c r="C1942" s="302" t="str">
        <f>"13714"</f>
        <v>13714</v>
      </c>
      <c r="D1942" s="247" t="s">
        <v>18</v>
      </c>
      <c r="E1942" s="248">
        <v>3</v>
      </c>
      <c r="F1942" s="249">
        <v>43024</v>
      </c>
      <c r="G1942" s="249">
        <v>44849</v>
      </c>
      <c r="H1942" s="247" t="s">
        <v>16</v>
      </c>
      <c r="I1942" s="250" t="s">
        <v>438</v>
      </c>
    </row>
    <row r="1943" spans="1:9">
      <c r="A1943" s="246">
        <v>1939</v>
      </c>
      <c r="B1943" s="247" t="s">
        <v>210</v>
      </c>
      <c r="C1943" s="302" t="str">
        <f>"13717"</f>
        <v>13717</v>
      </c>
      <c r="D1943" s="247" t="s">
        <v>18</v>
      </c>
      <c r="E1943" s="248">
        <v>52</v>
      </c>
      <c r="F1943" s="249">
        <v>42999</v>
      </c>
      <c r="G1943" s="249">
        <v>44459</v>
      </c>
      <c r="H1943" s="247" t="s">
        <v>26</v>
      </c>
      <c r="I1943" s="250" t="s">
        <v>79</v>
      </c>
    </row>
    <row r="1944" spans="1:9">
      <c r="A1944" s="246">
        <v>1940</v>
      </c>
      <c r="B1944" s="247" t="s">
        <v>211</v>
      </c>
      <c r="C1944" s="302" t="str">
        <f>"13720"</f>
        <v>13720</v>
      </c>
      <c r="D1944" s="247" t="s">
        <v>18</v>
      </c>
      <c r="E1944" s="248">
        <v>4</v>
      </c>
      <c r="F1944" s="249">
        <v>44132</v>
      </c>
      <c r="G1944" s="249">
        <v>45957</v>
      </c>
      <c r="H1944" s="247" t="s">
        <v>19</v>
      </c>
      <c r="I1944" s="250" t="s">
        <v>79</v>
      </c>
    </row>
    <row r="1945" spans="1:9">
      <c r="A1945" s="246">
        <v>1941</v>
      </c>
      <c r="B1945" s="247" t="s">
        <v>2039</v>
      </c>
      <c r="C1945" s="302" t="str">
        <f>"13723"</f>
        <v>13723</v>
      </c>
      <c r="D1945" s="247" t="s">
        <v>18</v>
      </c>
      <c r="E1945" s="248">
        <v>24</v>
      </c>
      <c r="F1945" s="249">
        <v>43006</v>
      </c>
      <c r="G1945" s="249">
        <v>44831</v>
      </c>
      <c r="H1945" s="247" t="s">
        <v>59</v>
      </c>
      <c r="I1945" s="250" t="s">
        <v>438</v>
      </c>
    </row>
    <row r="1946" spans="1:9">
      <c r="A1946" s="246">
        <v>1942</v>
      </c>
      <c r="B1946" s="247" t="s">
        <v>2039</v>
      </c>
      <c r="C1946" s="302" t="str">
        <f>"13724"</f>
        <v>13724</v>
      </c>
      <c r="D1946" s="247" t="s">
        <v>18</v>
      </c>
      <c r="E1946" s="248">
        <v>25</v>
      </c>
      <c r="F1946" s="249">
        <v>43006</v>
      </c>
      <c r="G1946" s="249">
        <v>44831</v>
      </c>
      <c r="H1946" s="247" t="s">
        <v>16</v>
      </c>
      <c r="I1946" s="250" t="s">
        <v>438</v>
      </c>
    </row>
    <row r="1947" spans="1:9">
      <c r="A1947" s="246">
        <v>1943</v>
      </c>
      <c r="B1947" s="247" t="s">
        <v>2039</v>
      </c>
      <c r="C1947" s="302" t="str">
        <f>"13725"</f>
        <v>13725</v>
      </c>
      <c r="D1947" s="247" t="s">
        <v>18</v>
      </c>
      <c r="E1947" s="248">
        <v>6</v>
      </c>
      <c r="F1947" s="249">
        <v>43006</v>
      </c>
      <c r="G1947" s="249">
        <v>44831</v>
      </c>
      <c r="H1947" s="247" t="s">
        <v>14</v>
      </c>
      <c r="I1947" s="250" t="s">
        <v>438</v>
      </c>
    </row>
    <row r="1948" spans="1:9">
      <c r="A1948" s="246">
        <v>1944</v>
      </c>
      <c r="B1948" s="247" t="s">
        <v>2039</v>
      </c>
      <c r="C1948" s="302" t="str">
        <f>"13726"</f>
        <v>13726</v>
      </c>
      <c r="D1948" s="247" t="s">
        <v>18</v>
      </c>
      <c r="E1948" s="248">
        <v>120</v>
      </c>
      <c r="F1948" s="249">
        <v>43006</v>
      </c>
      <c r="G1948" s="249">
        <v>44831</v>
      </c>
      <c r="H1948" s="247" t="s">
        <v>14</v>
      </c>
      <c r="I1948" s="250" t="s">
        <v>438</v>
      </c>
    </row>
    <row r="1949" spans="1:9">
      <c r="A1949" s="246">
        <v>1945</v>
      </c>
      <c r="B1949" s="247" t="s">
        <v>2039</v>
      </c>
      <c r="C1949" s="302" t="str">
        <f>"13727"</f>
        <v>13727</v>
      </c>
      <c r="D1949" s="247" t="s">
        <v>18</v>
      </c>
      <c r="E1949" s="248">
        <v>19</v>
      </c>
      <c r="F1949" s="249">
        <v>43006</v>
      </c>
      <c r="G1949" s="249">
        <v>44800</v>
      </c>
      <c r="H1949" s="247" t="s">
        <v>14</v>
      </c>
      <c r="I1949" s="250" t="s">
        <v>438</v>
      </c>
    </row>
    <row r="1950" spans="1:9">
      <c r="A1950" s="246">
        <v>1946</v>
      </c>
      <c r="B1950" s="247" t="s">
        <v>1977</v>
      </c>
      <c r="C1950" s="302" t="str">
        <f>"13728"</f>
        <v>13728</v>
      </c>
      <c r="D1950" s="247" t="s">
        <v>18</v>
      </c>
      <c r="E1950" s="248">
        <v>81</v>
      </c>
      <c r="F1950" s="249">
        <v>42804</v>
      </c>
      <c r="G1950" s="249">
        <v>44629</v>
      </c>
      <c r="H1950" s="247" t="s">
        <v>14</v>
      </c>
      <c r="I1950" s="250" t="s">
        <v>3369</v>
      </c>
    </row>
    <row r="1951" spans="1:9">
      <c r="A1951" s="246">
        <v>1947</v>
      </c>
      <c r="B1951" s="247" t="s">
        <v>1977</v>
      </c>
      <c r="C1951" s="302" t="str">
        <f>"13729"</f>
        <v>13729</v>
      </c>
      <c r="D1951" s="247" t="s">
        <v>18</v>
      </c>
      <c r="E1951" s="248">
        <v>41</v>
      </c>
      <c r="F1951" s="249">
        <v>42804</v>
      </c>
      <c r="G1951" s="249">
        <v>44629</v>
      </c>
      <c r="H1951" s="247" t="s">
        <v>14</v>
      </c>
      <c r="I1951" s="250" t="s">
        <v>3369</v>
      </c>
    </row>
    <row r="1952" spans="1:9">
      <c r="A1952" s="246">
        <v>1948</v>
      </c>
      <c r="B1952" s="247" t="s">
        <v>1977</v>
      </c>
      <c r="C1952" s="302" t="str">
        <f>"13730"</f>
        <v>13730</v>
      </c>
      <c r="D1952" s="247" t="s">
        <v>18</v>
      </c>
      <c r="E1952" s="248">
        <v>21</v>
      </c>
      <c r="F1952" s="249">
        <v>42809</v>
      </c>
      <c r="G1952" s="249">
        <v>44634</v>
      </c>
      <c r="H1952" s="247" t="s">
        <v>14</v>
      </c>
      <c r="I1952" s="250" t="s">
        <v>3369</v>
      </c>
    </row>
    <row r="1953" spans="1:9">
      <c r="A1953" s="246">
        <v>1949</v>
      </c>
      <c r="B1953" s="247" t="s">
        <v>537</v>
      </c>
      <c r="C1953" s="302" t="str">
        <f>"13731"</f>
        <v>13731</v>
      </c>
      <c r="D1953" s="247" t="s">
        <v>23</v>
      </c>
      <c r="E1953" s="248">
        <v>1</v>
      </c>
      <c r="F1953" s="249">
        <v>43699</v>
      </c>
      <c r="G1953" s="249">
        <v>44064</v>
      </c>
      <c r="H1953" s="247" t="s">
        <v>16</v>
      </c>
      <c r="I1953" s="250" t="s">
        <v>3413</v>
      </c>
    </row>
    <row r="1954" spans="1:9">
      <c r="A1954" s="246">
        <v>1950</v>
      </c>
      <c r="B1954" s="247" t="s">
        <v>211</v>
      </c>
      <c r="C1954" s="302" t="str">
        <f>"13736"</f>
        <v>13736</v>
      </c>
      <c r="D1954" s="247" t="s">
        <v>18</v>
      </c>
      <c r="E1954" s="248">
        <v>1</v>
      </c>
      <c r="F1954" s="249">
        <v>43222</v>
      </c>
      <c r="G1954" s="249">
        <v>45047</v>
      </c>
      <c r="H1954" s="247" t="s">
        <v>19</v>
      </c>
      <c r="I1954" s="250" t="s">
        <v>79</v>
      </c>
    </row>
    <row r="1955" spans="1:9">
      <c r="A1955" s="246">
        <v>1951</v>
      </c>
      <c r="B1955" s="247" t="s">
        <v>212</v>
      </c>
      <c r="C1955" s="302" t="str">
        <f>"13739"</f>
        <v>13739</v>
      </c>
      <c r="D1955" s="247" t="s">
        <v>21</v>
      </c>
      <c r="E1955" s="248">
        <v>5</v>
      </c>
      <c r="F1955" s="249">
        <v>43517</v>
      </c>
      <c r="G1955" s="249">
        <v>46438</v>
      </c>
      <c r="H1955" s="247" t="s">
        <v>59</v>
      </c>
      <c r="I1955" s="250" t="s">
        <v>79</v>
      </c>
    </row>
    <row r="1956" spans="1:9">
      <c r="A1956" s="246">
        <v>1952</v>
      </c>
      <c r="B1956" s="247" t="s">
        <v>212</v>
      </c>
      <c r="C1956" s="302" t="str">
        <f>"13744"</f>
        <v>13744</v>
      </c>
      <c r="D1956" s="247" t="s">
        <v>18</v>
      </c>
      <c r="E1956" s="248">
        <v>42</v>
      </c>
      <c r="F1956" s="249">
        <v>43024</v>
      </c>
      <c r="G1956" s="249">
        <v>44849</v>
      </c>
      <c r="H1956" s="247" t="s">
        <v>59</v>
      </c>
      <c r="I1956" s="250" t="s">
        <v>433</v>
      </c>
    </row>
    <row r="1957" spans="1:9">
      <c r="A1957" s="246">
        <v>1953</v>
      </c>
      <c r="B1957" s="247" t="s">
        <v>212</v>
      </c>
      <c r="C1957" s="302" t="str">
        <f>"13746"</f>
        <v>13746</v>
      </c>
      <c r="D1957" s="247" t="s">
        <v>18</v>
      </c>
      <c r="E1957" s="248">
        <v>18</v>
      </c>
      <c r="F1957" s="249">
        <v>43010</v>
      </c>
      <c r="G1957" s="249">
        <v>44835</v>
      </c>
      <c r="H1957" s="247" t="s">
        <v>59</v>
      </c>
      <c r="I1957" s="250" t="s">
        <v>433</v>
      </c>
    </row>
    <row r="1958" spans="1:9">
      <c r="A1958" s="246">
        <v>1954</v>
      </c>
      <c r="B1958" s="247" t="s">
        <v>212</v>
      </c>
      <c r="C1958" s="302" t="str">
        <f>"13749"</f>
        <v>13749</v>
      </c>
      <c r="D1958" s="247" t="s">
        <v>18</v>
      </c>
      <c r="E1958" s="248">
        <v>32</v>
      </c>
      <c r="F1958" s="249">
        <v>43010</v>
      </c>
      <c r="G1958" s="249">
        <v>44835</v>
      </c>
      <c r="H1958" s="247" t="s">
        <v>59</v>
      </c>
      <c r="I1958" s="250" t="s">
        <v>433</v>
      </c>
    </row>
    <row r="1959" spans="1:9">
      <c r="A1959" s="246">
        <v>1955</v>
      </c>
      <c r="B1959" s="247" t="s">
        <v>212</v>
      </c>
      <c r="C1959" s="302" t="str">
        <f>"13750"</f>
        <v>13750</v>
      </c>
      <c r="D1959" s="247" t="s">
        <v>18</v>
      </c>
      <c r="E1959" s="248">
        <v>30</v>
      </c>
      <c r="F1959" s="249">
        <v>43010</v>
      </c>
      <c r="G1959" s="249">
        <v>44835</v>
      </c>
      <c r="H1959" s="247" t="s">
        <v>59</v>
      </c>
      <c r="I1959" s="250" t="s">
        <v>433</v>
      </c>
    </row>
    <row r="1960" spans="1:9">
      <c r="A1960" s="246">
        <v>1956</v>
      </c>
      <c r="B1960" s="247" t="s">
        <v>537</v>
      </c>
      <c r="C1960" s="302" t="str">
        <f>"13752"</f>
        <v>13752</v>
      </c>
      <c r="D1960" s="247" t="s">
        <v>23</v>
      </c>
      <c r="E1960" s="248">
        <v>1</v>
      </c>
      <c r="F1960" s="249">
        <v>43699</v>
      </c>
      <c r="G1960" s="249">
        <v>44064</v>
      </c>
      <c r="H1960" s="247" t="s">
        <v>16</v>
      </c>
      <c r="I1960" s="250" t="s">
        <v>3413</v>
      </c>
    </row>
    <row r="1961" spans="1:9">
      <c r="A1961" s="246">
        <v>1957</v>
      </c>
      <c r="B1961" s="247" t="s">
        <v>213</v>
      </c>
      <c r="C1961" s="302" t="str">
        <f>"13755"</f>
        <v>13755</v>
      </c>
      <c r="D1961" s="247" t="s">
        <v>18</v>
      </c>
      <c r="E1961" s="248">
        <v>21</v>
      </c>
      <c r="F1961" s="249">
        <v>43019</v>
      </c>
      <c r="G1961" s="249">
        <v>44844</v>
      </c>
      <c r="H1961" s="247" t="s">
        <v>59</v>
      </c>
      <c r="I1961" s="250" t="s">
        <v>79</v>
      </c>
    </row>
    <row r="1962" spans="1:9">
      <c r="A1962" s="246">
        <v>1958</v>
      </c>
      <c r="B1962" s="247" t="s">
        <v>212</v>
      </c>
      <c r="C1962" s="302" t="str">
        <f>"13757"</f>
        <v>13757</v>
      </c>
      <c r="D1962" s="247" t="s">
        <v>21</v>
      </c>
      <c r="E1962" s="248">
        <v>5</v>
      </c>
      <c r="F1962" s="249">
        <v>44218</v>
      </c>
      <c r="G1962" s="249">
        <v>46043</v>
      </c>
      <c r="H1962" s="247" t="s">
        <v>59</v>
      </c>
      <c r="I1962" s="250" t="s">
        <v>79</v>
      </c>
    </row>
    <row r="1963" spans="1:9">
      <c r="A1963" s="246">
        <v>1959</v>
      </c>
      <c r="B1963" s="247" t="s">
        <v>3569</v>
      </c>
      <c r="C1963" s="302" t="str">
        <f>"13776"</f>
        <v>13776</v>
      </c>
      <c r="D1963" s="247" t="s">
        <v>18</v>
      </c>
      <c r="E1963" s="248">
        <v>2</v>
      </c>
      <c r="F1963" s="249">
        <v>43000</v>
      </c>
      <c r="G1963" s="249">
        <v>44825</v>
      </c>
      <c r="H1963" s="247" t="s">
        <v>14</v>
      </c>
      <c r="I1963" s="250" t="s">
        <v>438</v>
      </c>
    </row>
    <row r="1964" spans="1:9">
      <c r="A1964" s="246">
        <v>1960</v>
      </c>
      <c r="B1964" s="247" t="s">
        <v>3569</v>
      </c>
      <c r="C1964" s="302" t="str">
        <f>"13777"</f>
        <v>13777</v>
      </c>
      <c r="D1964" s="247" t="s">
        <v>18</v>
      </c>
      <c r="E1964" s="248">
        <v>2</v>
      </c>
      <c r="F1964" s="249">
        <v>42989</v>
      </c>
      <c r="G1964" s="249">
        <v>44814</v>
      </c>
      <c r="H1964" s="247" t="s">
        <v>14</v>
      </c>
      <c r="I1964" s="250" t="s">
        <v>438</v>
      </c>
    </row>
    <row r="1965" spans="1:9">
      <c r="A1965" s="246">
        <v>1961</v>
      </c>
      <c r="B1965" s="247" t="s">
        <v>3569</v>
      </c>
      <c r="C1965" s="302" t="str">
        <f>"13778"</f>
        <v>13778</v>
      </c>
      <c r="D1965" s="247" t="s">
        <v>18</v>
      </c>
      <c r="E1965" s="248">
        <v>2</v>
      </c>
      <c r="F1965" s="249">
        <v>42989</v>
      </c>
      <c r="G1965" s="249">
        <v>44814</v>
      </c>
      <c r="H1965" s="247" t="s">
        <v>14</v>
      </c>
      <c r="I1965" s="250" t="s">
        <v>438</v>
      </c>
    </row>
    <row r="1966" spans="1:9">
      <c r="A1966" s="246">
        <v>1962</v>
      </c>
      <c r="B1966" s="247" t="s">
        <v>214</v>
      </c>
      <c r="C1966" s="302" t="str">
        <f>"13779"</f>
        <v>13779</v>
      </c>
      <c r="D1966" s="247" t="s">
        <v>18</v>
      </c>
      <c r="E1966" s="248">
        <v>306</v>
      </c>
      <c r="F1966" s="249">
        <v>43222</v>
      </c>
      <c r="G1966" s="249">
        <v>45047</v>
      </c>
      <c r="H1966" s="247" t="s">
        <v>16</v>
      </c>
      <c r="I1966" s="250" t="s">
        <v>79</v>
      </c>
    </row>
    <row r="1967" spans="1:9">
      <c r="A1967" s="246">
        <v>1963</v>
      </c>
      <c r="B1967" s="247" t="s">
        <v>2039</v>
      </c>
      <c r="C1967" s="302" t="str">
        <f>"13781"</f>
        <v>13781</v>
      </c>
      <c r="D1967" s="247" t="s">
        <v>18</v>
      </c>
      <c r="E1967" s="248">
        <v>14</v>
      </c>
      <c r="F1967" s="249">
        <v>42994</v>
      </c>
      <c r="G1967" s="249">
        <v>44819</v>
      </c>
      <c r="H1967" s="247" t="s">
        <v>14</v>
      </c>
      <c r="I1967" s="250" t="s">
        <v>438</v>
      </c>
    </row>
    <row r="1968" spans="1:9">
      <c r="A1968" s="246">
        <v>1964</v>
      </c>
      <c r="B1968" s="247" t="s">
        <v>3570</v>
      </c>
      <c r="C1968" s="302" t="str">
        <f>"13782"</f>
        <v>13782</v>
      </c>
      <c r="D1968" s="247" t="s">
        <v>23</v>
      </c>
      <c r="E1968" s="248">
        <v>2</v>
      </c>
      <c r="F1968" s="249">
        <v>42951</v>
      </c>
      <c r="G1968" s="249">
        <v>43315</v>
      </c>
      <c r="H1968" s="247" t="s">
        <v>34</v>
      </c>
      <c r="I1968" s="250" t="s">
        <v>437</v>
      </c>
    </row>
    <row r="1969" spans="1:9">
      <c r="A1969" s="246">
        <v>1965</v>
      </c>
      <c r="B1969" s="247" t="s">
        <v>3568</v>
      </c>
      <c r="C1969" s="302" t="str">
        <f>"13787"</f>
        <v>13787</v>
      </c>
      <c r="D1969" s="247" t="s">
        <v>18</v>
      </c>
      <c r="E1969" s="248">
        <v>3</v>
      </c>
      <c r="F1969" s="249">
        <v>43131</v>
      </c>
      <c r="G1969" s="249">
        <v>44591</v>
      </c>
      <c r="H1969" s="247" t="s">
        <v>26</v>
      </c>
      <c r="I1969" s="250" t="s">
        <v>438</v>
      </c>
    </row>
    <row r="1970" spans="1:9">
      <c r="A1970" s="246">
        <v>1966</v>
      </c>
      <c r="B1970" s="247" t="s">
        <v>321</v>
      </c>
      <c r="C1970" s="302" t="str">
        <f>"13788"</f>
        <v>13788</v>
      </c>
      <c r="D1970" s="247" t="s">
        <v>23</v>
      </c>
      <c r="E1970" s="248">
        <v>5</v>
      </c>
      <c r="F1970" s="249">
        <v>43012</v>
      </c>
      <c r="G1970" s="249">
        <v>43376</v>
      </c>
      <c r="H1970" s="247" t="s">
        <v>22</v>
      </c>
      <c r="I1970" s="250" t="s">
        <v>3413</v>
      </c>
    </row>
    <row r="1971" spans="1:9">
      <c r="A1971" s="246">
        <v>1967</v>
      </c>
      <c r="B1971" s="247" t="s">
        <v>321</v>
      </c>
      <c r="C1971" s="302" t="str">
        <f>"13789"</f>
        <v>13789</v>
      </c>
      <c r="D1971" s="247" t="s">
        <v>23</v>
      </c>
      <c r="E1971" s="248">
        <v>5</v>
      </c>
      <c r="F1971" s="249">
        <v>43012</v>
      </c>
      <c r="G1971" s="249">
        <v>43376</v>
      </c>
      <c r="H1971" s="247" t="s">
        <v>22</v>
      </c>
      <c r="I1971" s="250" t="s">
        <v>3413</v>
      </c>
    </row>
    <row r="1972" spans="1:9">
      <c r="A1972" s="246">
        <v>1968</v>
      </c>
      <c r="B1972" s="247" t="s">
        <v>321</v>
      </c>
      <c r="C1972" s="302" t="str">
        <f>"13790"</f>
        <v>13790</v>
      </c>
      <c r="D1972" s="247" t="s">
        <v>23</v>
      </c>
      <c r="E1972" s="248">
        <v>5</v>
      </c>
      <c r="F1972" s="249">
        <v>43012</v>
      </c>
      <c r="G1972" s="249">
        <v>43376</v>
      </c>
      <c r="H1972" s="247" t="s">
        <v>22</v>
      </c>
      <c r="I1972" s="250" t="s">
        <v>3413</v>
      </c>
    </row>
    <row r="1973" spans="1:9">
      <c r="A1973" s="246">
        <v>1969</v>
      </c>
      <c r="B1973" s="247" t="s">
        <v>536</v>
      </c>
      <c r="C1973" s="302" t="str">
        <f>"13791"</f>
        <v>13791</v>
      </c>
      <c r="D1973" s="247" t="s">
        <v>18</v>
      </c>
      <c r="E1973" s="248">
        <v>3</v>
      </c>
      <c r="F1973" s="249">
        <v>43133</v>
      </c>
      <c r="G1973" s="249">
        <v>44593</v>
      </c>
      <c r="H1973" s="247" t="s">
        <v>26</v>
      </c>
      <c r="I1973" s="250" t="s">
        <v>437</v>
      </c>
    </row>
    <row r="1974" spans="1:9">
      <c r="A1974" s="246">
        <v>1970</v>
      </c>
      <c r="B1974" s="247" t="s">
        <v>536</v>
      </c>
      <c r="C1974" s="302" t="str">
        <f>"13792"</f>
        <v>13792</v>
      </c>
      <c r="D1974" s="247" t="s">
        <v>18</v>
      </c>
      <c r="E1974" s="248">
        <v>12</v>
      </c>
      <c r="F1974" s="249">
        <v>43133</v>
      </c>
      <c r="G1974" s="249">
        <v>44593</v>
      </c>
      <c r="H1974" s="247" t="s">
        <v>26</v>
      </c>
      <c r="I1974" s="250" t="s">
        <v>437</v>
      </c>
    </row>
    <row r="1975" spans="1:9">
      <c r="A1975" s="246">
        <v>1971</v>
      </c>
      <c r="B1975" s="247" t="s">
        <v>3571</v>
      </c>
      <c r="C1975" s="302" t="str">
        <f>"13811"</f>
        <v>13811</v>
      </c>
      <c r="D1975" s="247" t="s">
        <v>18</v>
      </c>
      <c r="E1975" s="248">
        <v>10</v>
      </c>
      <c r="F1975" s="249">
        <v>43025</v>
      </c>
      <c r="G1975" s="249">
        <v>44850</v>
      </c>
      <c r="H1975" s="247" t="s">
        <v>19</v>
      </c>
      <c r="I1975" s="250" t="s">
        <v>437</v>
      </c>
    </row>
    <row r="1976" spans="1:9">
      <c r="A1976" s="246">
        <v>1972</v>
      </c>
      <c r="B1976" s="247" t="s">
        <v>215</v>
      </c>
      <c r="C1976" s="302" t="str">
        <f>"13813"</f>
        <v>13813</v>
      </c>
      <c r="D1976" s="247" t="s">
        <v>30</v>
      </c>
      <c r="E1976" s="248">
        <v>5</v>
      </c>
      <c r="F1976" s="249">
        <v>42895</v>
      </c>
      <c r="G1976" s="249">
        <v>46546</v>
      </c>
      <c r="H1976" s="247" t="s">
        <v>16</v>
      </c>
      <c r="I1976" s="250" t="s">
        <v>79</v>
      </c>
    </row>
    <row r="1977" spans="1:9">
      <c r="A1977" s="246">
        <v>1973</v>
      </c>
      <c r="B1977" s="247" t="s">
        <v>538</v>
      </c>
      <c r="C1977" s="302" t="str">
        <f>"13815"</f>
        <v>13815</v>
      </c>
      <c r="D1977" s="247" t="s">
        <v>18</v>
      </c>
      <c r="E1977" s="248">
        <v>25</v>
      </c>
      <c r="F1977" s="249">
        <v>42969</v>
      </c>
      <c r="G1977" s="249">
        <v>44429</v>
      </c>
      <c r="H1977" s="247" t="s">
        <v>16</v>
      </c>
      <c r="I1977" s="250" t="s">
        <v>438</v>
      </c>
    </row>
    <row r="1978" spans="1:9">
      <c r="A1978" s="246">
        <v>1974</v>
      </c>
      <c r="B1978" s="247" t="s">
        <v>539</v>
      </c>
      <c r="C1978" s="302" t="str">
        <f>"13816"</f>
        <v>13816</v>
      </c>
      <c r="D1978" s="247" t="s">
        <v>18</v>
      </c>
      <c r="E1978" s="248">
        <v>25</v>
      </c>
      <c r="F1978" s="249">
        <v>42969</v>
      </c>
      <c r="G1978" s="249">
        <v>44429</v>
      </c>
      <c r="H1978" s="247" t="s">
        <v>16</v>
      </c>
      <c r="I1978" s="250" t="s">
        <v>438</v>
      </c>
    </row>
    <row r="1979" spans="1:9">
      <c r="A1979" s="246">
        <v>1975</v>
      </c>
      <c r="B1979" s="247" t="s">
        <v>3572</v>
      </c>
      <c r="C1979" s="302" t="str">
        <f>"13817"</f>
        <v>13817</v>
      </c>
      <c r="D1979" s="247" t="s">
        <v>18</v>
      </c>
      <c r="E1979" s="248">
        <v>20</v>
      </c>
      <c r="F1979" s="249">
        <v>42969</v>
      </c>
      <c r="G1979" s="249">
        <v>44429</v>
      </c>
      <c r="H1979" s="247" t="s">
        <v>16</v>
      </c>
      <c r="I1979" s="250" t="s">
        <v>438</v>
      </c>
    </row>
    <row r="1980" spans="1:9">
      <c r="A1980" s="246">
        <v>1976</v>
      </c>
      <c r="B1980" s="247" t="s">
        <v>3573</v>
      </c>
      <c r="C1980" s="302" t="str">
        <f>"13818"</f>
        <v>13818</v>
      </c>
      <c r="D1980" s="247" t="s">
        <v>18</v>
      </c>
      <c r="E1980" s="248">
        <v>3</v>
      </c>
      <c r="F1980" s="249">
        <v>42969</v>
      </c>
      <c r="G1980" s="249">
        <v>44794</v>
      </c>
      <c r="H1980" s="247" t="s">
        <v>16</v>
      </c>
      <c r="I1980" s="250" t="s">
        <v>433</v>
      </c>
    </row>
    <row r="1981" spans="1:9">
      <c r="A1981" s="246">
        <v>1977</v>
      </c>
      <c r="B1981" s="247" t="s">
        <v>3574</v>
      </c>
      <c r="C1981" s="302" t="str">
        <f>"13821"</f>
        <v>13821</v>
      </c>
      <c r="D1981" s="247" t="s">
        <v>18</v>
      </c>
      <c r="E1981" s="248">
        <v>8</v>
      </c>
      <c r="F1981" s="249">
        <v>43028</v>
      </c>
      <c r="G1981" s="249">
        <v>44488</v>
      </c>
      <c r="H1981" s="247" t="s">
        <v>219</v>
      </c>
      <c r="I1981" s="250" t="s">
        <v>438</v>
      </c>
    </row>
    <row r="1982" spans="1:9">
      <c r="A1982" s="246">
        <v>1978</v>
      </c>
      <c r="B1982" s="247" t="s">
        <v>244</v>
      </c>
      <c r="C1982" s="302" t="str">
        <f>"13824"</f>
        <v>13824</v>
      </c>
      <c r="D1982" s="247" t="s">
        <v>18</v>
      </c>
      <c r="E1982" s="248">
        <v>14</v>
      </c>
      <c r="F1982" s="249">
        <v>43025</v>
      </c>
      <c r="G1982" s="249">
        <v>44485</v>
      </c>
      <c r="H1982" s="247" t="s">
        <v>26</v>
      </c>
      <c r="I1982" s="250" t="s">
        <v>437</v>
      </c>
    </row>
    <row r="1983" spans="1:9">
      <c r="A1983" s="246">
        <v>1979</v>
      </c>
      <c r="B1983" s="247" t="s">
        <v>244</v>
      </c>
      <c r="C1983" s="302" t="str">
        <f>"13825"</f>
        <v>13825</v>
      </c>
      <c r="D1983" s="247" t="s">
        <v>18</v>
      </c>
      <c r="E1983" s="248">
        <v>5</v>
      </c>
      <c r="F1983" s="249">
        <v>43025</v>
      </c>
      <c r="G1983" s="249">
        <v>44485</v>
      </c>
      <c r="H1983" s="247" t="s">
        <v>26</v>
      </c>
      <c r="I1983" s="250" t="s">
        <v>437</v>
      </c>
    </row>
    <row r="1984" spans="1:9">
      <c r="A1984" s="246">
        <v>1980</v>
      </c>
      <c r="B1984" s="247" t="s">
        <v>3559</v>
      </c>
      <c r="C1984" s="302" t="str">
        <f>"13826"</f>
        <v>13826</v>
      </c>
      <c r="D1984" s="247" t="s">
        <v>18</v>
      </c>
      <c r="E1984" s="248">
        <v>52</v>
      </c>
      <c r="F1984" s="249">
        <v>42969</v>
      </c>
      <c r="G1984" s="249">
        <v>44794</v>
      </c>
      <c r="H1984" s="247" t="s">
        <v>14</v>
      </c>
      <c r="I1984" s="250" t="s">
        <v>438</v>
      </c>
    </row>
    <row r="1985" spans="1:9">
      <c r="A1985" s="246">
        <v>1981</v>
      </c>
      <c r="B1985" s="247" t="s">
        <v>43</v>
      </c>
      <c r="C1985" s="302" t="str">
        <f>"13829"</f>
        <v>13829</v>
      </c>
      <c r="D1985" s="247" t="s">
        <v>13</v>
      </c>
      <c r="E1985" s="248">
        <v>24</v>
      </c>
      <c r="F1985" s="249">
        <v>42999</v>
      </c>
      <c r="G1985" s="249">
        <v>45384</v>
      </c>
      <c r="H1985" s="247" t="s">
        <v>14</v>
      </c>
      <c r="I1985" s="250" t="s">
        <v>79</v>
      </c>
    </row>
    <row r="1986" spans="1:9">
      <c r="A1986" s="246">
        <v>1982</v>
      </c>
      <c r="B1986" s="247" t="s">
        <v>43</v>
      </c>
      <c r="C1986" s="302" t="str">
        <f>"13830"</f>
        <v>13830</v>
      </c>
      <c r="D1986" s="247" t="s">
        <v>13</v>
      </c>
      <c r="E1986" s="248">
        <v>15</v>
      </c>
      <c r="F1986" s="249">
        <v>42999</v>
      </c>
      <c r="G1986" s="249">
        <v>45384</v>
      </c>
      <c r="H1986" s="247" t="s">
        <v>14</v>
      </c>
      <c r="I1986" s="250" t="s">
        <v>79</v>
      </c>
    </row>
    <row r="1987" spans="1:9">
      <c r="A1987" s="246">
        <v>1983</v>
      </c>
      <c r="B1987" s="247" t="s">
        <v>43</v>
      </c>
      <c r="C1987" s="302" t="str">
        <f>"13831"</f>
        <v>13831</v>
      </c>
      <c r="D1987" s="247" t="s">
        <v>13</v>
      </c>
      <c r="E1987" s="248">
        <v>33</v>
      </c>
      <c r="F1987" s="249">
        <v>43000</v>
      </c>
      <c r="G1987" s="249">
        <v>52508</v>
      </c>
      <c r="H1987" s="247" t="s">
        <v>14</v>
      </c>
      <c r="I1987" s="250" t="s">
        <v>79</v>
      </c>
    </row>
    <row r="1988" spans="1:9">
      <c r="A1988" s="246">
        <v>1984</v>
      </c>
      <c r="B1988" s="247" t="s">
        <v>96</v>
      </c>
      <c r="C1988" s="302" t="str">
        <f>"13832"</f>
        <v>13832</v>
      </c>
      <c r="D1988" s="247" t="s">
        <v>13</v>
      </c>
      <c r="E1988" s="248">
        <v>6</v>
      </c>
      <c r="F1988" s="249">
        <v>43000</v>
      </c>
      <c r="G1988" s="249">
        <v>52508</v>
      </c>
      <c r="H1988" s="247" t="s">
        <v>14</v>
      </c>
      <c r="I1988" s="250" t="s">
        <v>79</v>
      </c>
    </row>
    <row r="1989" spans="1:9">
      <c r="A1989" s="246">
        <v>1985</v>
      </c>
      <c r="B1989" s="247" t="s">
        <v>1996</v>
      </c>
      <c r="C1989" s="302" t="str">
        <f>"13833"</f>
        <v>13833</v>
      </c>
      <c r="D1989" s="247" t="s">
        <v>18</v>
      </c>
      <c r="E1989" s="248">
        <v>7</v>
      </c>
      <c r="F1989" s="249">
        <v>43025</v>
      </c>
      <c r="G1989" s="249">
        <v>44850</v>
      </c>
      <c r="H1989" s="247" t="s">
        <v>16</v>
      </c>
      <c r="I1989" s="250" t="s">
        <v>448</v>
      </c>
    </row>
    <row r="1990" spans="1:9">
      <c r="A1990" s="246">
        <v>1986</v>
      </c>
      <c r="B1990" s="247" t="s">
        <v>211</v>
      </c>
      <c r="C1990" s="302" t="str">
        <f>"13836"</f>
        <v>13836</v>
      </c>
      <c r="D1990" s="247" t="s">
        <v>18</v>
      </c>
      <c r="E1990" s="248">
        <v>4</v>
      </c>
      <c r="F1990" s="249">
        <v>43222</v>
      </c>
      <c r="G1990" s="249">
        <v>45047</v>
      </c>
      <c r="H1990" s="247" t="s">
        <v>19</v>
      </c>
      <c r="I1990" s="250" t="s">
        <v>79</v>
      </c>
    </row>
    <row r="1991" spans="1:9">
      <c r="A1991" s="246">
        <v>1987</v>
      </c>
      <c r="B1991" s="247" t="s">
        <v>211</v>
      </c>
      <c r="C1991" s="302" t="str">
        <f>"13837"</f>
        <v>13837</v>
      </c>
      <c r="D1991" s="247" t="s">
        <v>18</v>
      </c>
      <c r="E1991" s="248">
        <v>9</v>
      </c>
      <c r="F1991" s="249">
        <v>43222</v>
      </c>
      <c r="G1991" s="249">
        <v>45047</v>
      </c>
      <c r="H1991" s="247" t="s">
        <v>19</v>
      </c>
      <c r="I1991" s="250" t="s">
        <v>79</v>
      </c>
    </row>
    <row r="1992" spans="1:9">
      <c r="A1992" s="246">
        <v>1988</v>
      </c>
      <c r="B1992" s="247" t="s">
        <v>3575</v>
      </c>
      <c r="C1992" s="302" t="str">
        <f>"13839"</f>
        <v>13839</v>
      </c>
      <c r="D1992" s="247" t="s">
        <v>18</v>
      </c>
      <c r="E1992" s="248">
        <v>88</v>
      </c>
      <c r="F1992" s="249">
        <v>43137</v>
      </c>
      <c r="G1992" s="249">
        <v>44597</v>
      </c>
      <c r="H1992" s="247" t="s">
        <v>24</v>
      </c>
      <c r="I1992" s="250" t="s">
        <v>433</v>
      </c>
    </row>
    <row r="1993" spans="1:9">
      <c r="A1993" s="246">
        <v>1989</v>
      </c>
      <c r="B1993" s="247" t="s">
        <v>217</v>
      </c>
      <c r="C1993" s="302" t="str">
        <f>"13840"</f>
        <v>13840</v>
      </c>
      <c r="D1993" s="247" t="s">
        <v>18</v>
      </c>
      <c r="E1993" s="248">
        <v>26</v>
      </c>
      <c r="F1993" s="249">
        <v>42969</v>
      </c>
      <c r="G1993" s="249">
        <v>44794</v>
      </c>
      <c r="H1993" s="247" t="s">
        <v>16</v>
      </c>
      <c r="I1993" s="250" t="s">
        <v>433</v>
      </c>
    </row>
    <row r="1994" spans="1:9">
      <c r="A1994" s="246">
        <v>1990</v>
      </c>
      <c r="B1994" s="247" t="s">
        <v>3576</v>
      </c>
      <c r="C1994" s="302" t="str">
        <f>"13841"</f>
        <v>13841</v>
      </c>
      <c r="D1994" s="247" t="s">
        <v>18</v>
      </c>
      <c r="E1994" s="248">
        <v>14</v>
      </c>
      <c r="F1994" s="249">
        <v>42994</v>
      </c>
      <c r="G1994" s="249">
        <v>44454</v>
      </c>
      <c r="H1994" s="247" t="s">
        <v>26</v>
      </c>
      <c r="I1994" s="250" t="s">
        <v>438</v>
      </c>
    </row>
    <row r="1995" spans="1:9">
      <c r="A1995" s="246">
        <v>1991</v>
      </c>
      <c r="B1995" s="247" t="s">
        <v>3576</v>
      </c>
      <c r="C1995" s="302" t="str">
        <f>"13849"</f>
        <v>13849</v>
      </c>
      <c r="D1995" s="247" t="s">
        <v>18</v>
      </c>
      <c r="E1995" s="248">
        <v>16</v>
      </c>
      <c r="F1995" s="249">
        <v>42993</v>
      </c>
      <c r="G1995" s="249">
        <v>44453</v>
      </c>
      <c r="H1995" s="247" t="s">
        <v>26</v>
      </c>
      <c r="I1995" s="250" t="s">
        <v>438</v>
      </c>
    </row>
    <row r="1996" spans="1:9">
      <c r="A1996" s="246">
        <v>1992</v>
      </c>
      <c r="B1996" s="247" t="s">
        <v>3568</v>
      </c>
      <c r="C1996" s="302" t="str">
        <f>"13852"</f>
        <v>13852</v>
      </c>
      <c r="D1996" s="247" t="s">
        <v>18</v>
      </c>
      <c r="E1996" s="248">
        <v>9</v>
      </c>
      <c r="F1996" s="249">
        <v>43220</v>
      </c>
      <c r="G1996" s="249">
        <v>44680</v>
      </c>
      <c r="H1996" s="247" t="s">
        <v>219</v>
      </c>
      <c r="I1996" s="250" t="s">
        <v>438</v>
      </c>
    </row>
    <row r="1997" spans="1:9">
      <c r="A1997" s="246">
        <v>1993</v>
      </c>
      <c r="B1997" s="247" t="s">
        <v>3568</v>
      </c>
      <c r="C1997" s="302" t="str">
        <f>"13853"</f>
        <v>13853</v>
      </c>
      <c r="D1997" s="247" t="s">
        <v>18</v>
      </c>
      <c r="E1997" s="248">
        <v>9</v>
      </c>
      <c r="F1997" s="249">
        <v>43220</v>
      </c>
      <c r="G1997" s="249">
        <v>44680</v>
      </c>
      <c r="H1997" s="247" t="s">
        <v>219</v>
      </c>
      <c r="I1997" s="250" t="s">
        <v>438</v>
      </c>
    </row>
    <row r="1998" spans="1:9">
      <c r="A1998" s="246">
        <v>1994</v>
      </c>
      <c r="B1998" s="247" t="s">
        <v>3568</v>
      </c>
      <c r="C1998" s="302" t="str">
        <f>"13854"</f>
        <v>13854</v>
      </c>
      <c r="D1998" s="247" t="s">
        <v>18</v>
      </c>
      <c r="E1998" s="248">
        <v>9</v>
      </c>
      <c r="F1998" s="249">
        <v>43220</v>
      </c>
      <c r="G1998" s="249">
        <v>44680</v>
      </c>
      <c r="H1998" s="247" t="s">
        <v>219</v>
      </c>
      <c r="I1998" s="250" t="s">
        <v>438</v>
      </c>
    </row>
    <row r="1999" spans="1:9">
      <c r="A1999" s="246">
        <v>1995</v>
      </c>
      <c r="B1999" s="247" t="s">
        <v>3577</v>
      </c>
      <c r="C1999" s="302" t="str">
        <f>"13856"</f>
        <v>13856</v>
      </c>
      <c r="D1999" s="247" t="s">
        <v>23</v>
      </c>
      <c r="E1999" s="248">
        <v>5</v>
      </c>
      <c r="F1999" s="249">
        <v>43038</v>
      </c>
      <c r="G1999" s="249">
        <v>43402</v>
      </c>
      <c r="H1999" s="247" t="s">
        <v>22</v>
      </c>
      <c r="I1999" s="250" t="s">
        <v>540</v>
      </c>
    </row>
    <row r="2000" spans="1:9">
      <c r="A2000" s="246">
        <v>1996</v>
      </c>
      <c r="B2000" s="247" t="s">
        <v>3577</v>
      </c>
      <c r="C2000" s="302" t="str">
        <f>"13857"</f>
        <v>13857</v>
      </c>
      <c r="D2000" s="247" t="s">
        <v>23</v>
      </c>
      <c r="E2000" s="248">
        <v>5</v>
      </c>
      <c r="F2000" s="249">
        <v>43038</v>
      </c>
      <c r="G2000" s="249">
        <v>43402</v>
      </c>
      <c r="H2000" s="247" t="s">
        <v>22</v>
      </c>
      <c r="I2000" s="250" t="s">
        <v>540</v>
      </c>
    </row>
    <row r="2001" spans="1:9">
      <c r="A2001" s="246">
        <v>1997</v>
      </c>
      <c r="B2001" s="247" t="s">
        <v>536</v>
      </c>
      <c r="C2001" s="302" t="str">
        <f>"13859"</f>
        <v>13859</v>
      </c>
      <c r="D2001" s="247" t="s">
        <v>18</v>
      </c>
      <c r="E2001" s="248">
        <v>4</v>
      </c>
      <c r="F2001" s="249">
        <v>43133</v>
      </c>
      <c r="G2001" s="249">
        <v>44593</v>
      </c>
      <c r="H2001" s="247" t="s">
        <v>26</v>
      </c>
      <c r="I2001" s="250" t="s">
        <v>437</v>
      </c>
    </row>
    <row r="2002" spans="1:9">
      <c r="A2002" s="246">
        <v>1998</v>
      </c>
      <c r="B2002" s="247" t="s">
        <v>216</v>
      </c>
      <c r="C2002" s="302" t="str">
        <f>"13860"</f>
        <v>13860</v>
      </c>
      <c r="D2002" s="247" t="s">
        <v>13</v>
      </c>
      <c r="E2002" s="248">
        <v>8</v>
      </c>
      <c r="F2002" s="249">
        <v>42811</v>
      </c>
      <c r="G2002" s="249">
        <v>53767</v>
      </c>
      <c r="H2002" s="247" t="s">
        <v>22</v>
      </c>
      <c r="I2002" s="250" t="s">
        <v>79</v>
      </c>
    </row>
    <row r="2003" spans="1:9">
      <c r="A2003" s="246">
        <v>1999</v>
      </c>
      <c r="B2003" s="247" t="s">
        <v>217</v>
      </c>
      <c r="C2003" s="302" t="str">
        <f>"13863"</f>
        <v>13863</v>
      </c>
      <c r="D2003" s="247" t="s">
        <v>18</v>
      </c>
      <c r="E2003" s="248">
        <v>20</v>
      </c>
      <c r="F2003" s="249">
        <v>42989</v>
      </c>
      <c r="G2003" s="249">
        <v>44449</v>
      </c>
      <c r="H2003" s="247" t="s">
        <v>16</v>
      </c>
      <c r="I2003" s="250" t="s">
        <v>433</v>
      </c>
    </row>
    <row r="2004" spans="1:9">
      <c r="A2004" s="246">
        <v>2000</v>
      </c>
      <c r="B2004" s="247" t="s">
        <v>217</v>
      </c>
      <c r="C2004" s="302" t="str">
        <f>"13864"</f>
        <v>13864</v>
      </c>
      <c r="D2004" s="247" t="s">
        <v>18</v>
      </c>
      <c r="E2004" s="248">
        <v>6</v>
      </c>
      <c r="F2004" s="249">
        <v>43222</v>
      </c>
      <c r="G2004" s="249">
        <v>45047</v>
      </c>
      <c r="H2004" s="247" t="s">
        <v>73</v>
      </c>
      <c r="I2004" s="250" t="s">
        <v>79</v>
      </c>
    </row>
    <row r="2005" spans="1:9">
      <c r="A2005" s="246">
        <v>2001</v>
      </c>
      <c r="B2005" s="247" t="s">
        <v>3578</v>
      </c>
      <c r="C2005" s="302" t="str">
        <f>"13865"</f>
        <v>13865</v>
      </c>
      <c r="D2005" s="247" t="s">
        <v>18</v>
      </c>
      <c r="E2005" s="248">
        <v>34</v>
      </c>
      <c r="F2005" s="249">
        <v>43010</v>
      </c>
      <c r="G2005" s="249">
        <v>44835</v>
      </c>
      <c r="H2005" s="247" t="s">
        <v>14</v>
      </c>
      <c r="I2005" s="250" t="s">
        <v>433</v>
      </c>
    </row>
    <row r="2006" spans="1:9">
      <c r="A2006" s="246">
        <v>2002</v>
      </c>
      <c r="B2006" s="247" t="s">
        <v>541</v>
      </c>
      <c r="C2006" s="302" t="str">
        <f>"13869"</f>
        <v>13869</v>
      </c>
      <c r="D2006" s="247" t="s">
        <v>23</v>
      </c>
      <c r="E2006" s="248">
        <v>2</v>
      </c>
      <c r="F2006" s="249">
        <v>43026</v>
      </c>
      <c r="G2006" s="249">
        <v>43390</v>
      </c>
      <c r="H2006" s="247" t="s">
        <v>19</v>
      </c>
      <c r="I2006" s="250" t="s">
        <v>3413</v>
      </c>
    </row>
    <row r="2007" spans="1:9">
      <c r="A2007" s="246">
        <v>2003</v>
      </c>
      <c r="B2007" s="247" t="s">
        <v>218</v>
      </c>
      <c r="C2007" s="302" t="str">
        <f>"13870"</f>
        <v>13870</v>
      </c>
      <c r="D2007" s="247" t="s">
        <v>18</v>
      </c>
      <c r="E2007" s="248">
        <v>21</v>
      </c>
      <c r="F2007" s="249">
        <v>43133</v>
      </c>
      <c r="G2007" s="249">
        <v>44958</v>
      </c>
      <c r="H2007" s="247" t="s">
        <v>19</v>
      </c>
      <c r="I2007" s="250" t="s">
        <v>79</v>
      </c>
    </row>
    <row r="2008" spans="1:9">
      <c r="A2008" s="246">
        <v>2004</v>
      </c>
      <c r="B2008" s="247" t="s">
        <v>218</v>
      </c>
      <c r="C2008" s="302" t="str">
        <f>"13871"</f>
        <v>13871</v>
      </c>
      <c r="D2008" s="247" t="s">
        <v>18</v>
      </c>
      <c r="E2008" s="248">
        <v>18</v>
      </c>
      <c r="F2008" s="249">
        <v>43133</v>
      </c>
      <c r="G2008" s="249">
        <v>44958</v>
      </c>
      <c r="H2008" s="247" t="s">
        <v>19</v>
      </c>
      <c r="I2008" s="250" t="s">
        <v>79</v>
      </c>
    </row>
    <row r="2009" spans="1:9">
      <c r="A2009" s="246">
        <v>2005</v>
      </c>
      <c r="B2009" s="247" t="s">
        <v>218</v>
      </c>
      <c r="C2009" s="302" t="str">
        <f>"13872"</f>
        <v>13872</v>
      </c>
      <c r="D2009" s="247" t="s">
        <v>18</v>
      </c>
      <c r="E2009" s="248">
        <v>73</v>
      </c>
      <c r="F2009" s="249">
        <v>43133</v>
      </c>
      <c r="G2009" s="249">
        <v>44958</v>
      </c>
      <c r="H2009" s="247" t="s">
        <v>19</v>
      </c>
      <c r="I2009" s="250" t="s">
        <v>438</v>
      </c>
    </row>
    <row r="2010" spans="1:9">
      <c r="A2010" s="246">
        <v>2006</v>
      </c>
      <c r="B2010" s="247" t="s">
        <v>210</v>
      </c>
      <c r="C2010" s="302" t="str">
        <f>"13873"</f>
        <v>13873</v>
      </c>
      <c r="D2010" s="247" t="s">
        <v>18</v>
      </c>
      <c r="E2010" s="248">
        <v>11</v>
      </c>
      <c r="F2010" s="249">
        <v>43137</v>
      </c>
      <c r="G2010" s="249">
        <v>44597</v>
      </c>
      <c r="H2010" s="247" t="s">
        <v>26</v>
      </c>
      <c r="I2010" s="250" t="s">
        <v>438</v>
      </c>
    </row>
    <row r="2011" spans="1:9">
      <c r="A2011" s="246">
        <v>2007</v>
      </c>
      <c r="B2011" s="247" t="s">
        <v>210</v>
      </c>
      <c r="C2011" s="302" t="str">
        <f>"13874"</f>
        <v>13874</v>
      </c>
      <c r="D2011" s="247" t="s">
        <v>18</v>
      </c>
      <c r="E2011" s="248">
        <v>60</v>
      </c>
      <c r="F2011" s="249">
        <v>43153</v>
      </c>
      <c r="G2011" s="249">
        <v>44613</v>
      </c>
      <c r="H2011" s="247" t="s">
        <v>26</v>
      </c>
      <c r="I2011" s="250" t="s">
        <v>438</v>
      </c>
    </row>
    <row r="2012" spans="1:9">
      <c r="A2012" s="246">
        <v>2008</v>
      </c>
      <c r="B2012" s="247" t="s">
        <v>147</v>
      </c>
      <c r="C2012" s="302" t="str">
        <f>"13875"</f>
        <v>13875</v>
      </c>
      <c r="D2012" s="247" t="s">
        <v>18</v>
      </c>
      <c r="E2012" s="248">
        <v>60</v>
      </c>
      <c r="F2012" s="249">
        <v>43159</v>
      </c>
      <c r="G2012" s="249">
        <v>44984</v>
      </c>
      <c r="H2012" s="247" t="s">
        <v>84</v>
      </c>
      <c r="I2012" s="250" t="s">
        <v>433</v>
      </c>
    </row>
    <row r="2013" spans="1:9">
      <c r="A2013" s="246">
        <v>2009</v>
      </c>
      <c r="B2013" s="247" t="s">
        <v>147</v>
      </c>
      <c r="C2013" s="302" t="str">
        <f>"13876"</f>
        <v>13876</v>
      </c>
      <c r="D2013" s="247" t="s">
        <v>18</v>
      </c>
      <c r="E2013" s="248">
        <v>9</v>
      </c>
      <c r="F2013" s="249">
        <v>43159</v>
      </c>
      <c r="G2013" s="249">
        <v>44984</v>
      </c>
      <c r="H2013" s="247" t="s">
        <v>26</v>
      </c>
      <c r="I2013" s="250" t="s">
        <v>79</v>
      </c>
    </row>
    <row r="2014" spans="1:9">
      <c r="A2014" s="246">
        <v>2010</v>
      </c>
      <c r="B2014" s="247" t="s">
        <v>147</v>
      </c>
      <c r="C2014" s="302" t="str">
        <f>"13877"</f>
        <v>13877</v>
      </c>
      <c r="D2014" s="247" t="s">
        <v>18</v>
      </c>
      <c r="E2014" s="248">
        <v>57</v>
      </c>
      <c r="F2014" s="249">
        <v>43159</v>
      </c>
      <c r="G2014" s="249">
        <v>44984</v>
      </c>
      <c r="H2014" s="247" t="s">
        <v>16</v>
      </c>
      <c r="I2014" s="250" t="s">
        <v>79</v>
      </c>
    </row>
    <row r="2015" spans="1:9">
      <c r="A2015" s="246">
        <v>2011</v>
      </c>
      <c r="B2015" s="247" t="s">
        <v>147</v>
      </c>
      <c r="C2015" s="302" t="str">
        <f>"13878"</f>
        <v>13878</v>
      </c>
      <c r="D2015" s="247" t="s">
        <v>18</v>
      </c>
      <c r="E2015" s="248">
        <v>16</v>
      </c>
      <c r="F2015" s="249">
        <v>43159</v>
      </c>
      <c r="G2015" s="249">
        <v>44984</v>
      </c>
      <c r="H2015" s="247" t="s">
        <v>22</v>
      </c>
      <c r="I2015" s="250" t="s">
        <v>79</v>
      </c>
    </row>
    <row r="2016" spans="1:9">
      <c r="A2016" s="246">
        <v>2012</v>
      </c>
      <c r="B2016" s="247" t="s">
        <v>147</v>
      </c>
      <c r="C2016" s="302" t="str">
        <f>"13879"</f>
        <v>13879</v>
      </c>
      <c r="D2016" s="247" t="s">
        <v>18</v>
      </c>
      <c r="E2016" s="248">
        <v>12</v>
      </c>
      <c r="F2016" s="249">
        <v>43159</v>
      </c>
      <c r="G2016" s="249">
        <v>44984</v>
      </c>
      <c r="H2016" s="247" t="s">
        <v>22</v>
      </c>
      <c r="I2016" s="250" t="s">
        <v>79</v>
      </c>
    </row>
    <row r="2017" spans="1:9">
      <c r="A2017" s="246">
        <v>2013</v>
      </c>
      <c r="B2017" s="247" t="s">
        <v>1992</v>
      </c>
      <c r="C2017" s="302" t="str">
        <f>"13881"</f>
        <v>13881</v>
      </c>
      <c r="D2017" s="247" t="s">
        <v>18</v>
      </c>
      <c r="E2017" s="248">
        <v>16</v>
      </c>
      <c r="F2017" s="249">
        <v>43047</v>
      </c>
      <c r="G2017" s="249">
        <v>44872</v>
      </c>
      <c r="H2017" s="247" t="s">
        <v>31</v>
      </c>
      <c r="I2017" s="250" t="s">
        <v>3369</v>
      </c>
    </row>
    <row r="2018" spans="1:9">
      <c r="A2018" s="246">
        <v>2014</v>
      </c>
      <c r="B2018" s="247" t="s">
        <v>147</v>
      </c>
      <c r="C2018" s="302" t="str">
        <f>"13886"</f>
        <v>13886</v>
      </c>
      <c r="D2018" s="247" t="s">
        <v>18</v>
      </c>
      <c r="E2018" s="248">
        <v>15</v>
      </c>
      <c r="F2018" s="249">
        <v>43159</v>
      </c>
      <c r="G2018" s="249">
        <v>44984</v>
      </c>
      <c r="H2018" s="247" t="s">
        <v>219</v>
      </c>
      <c r="I2018" s="250" t="s">
        <v>79</v>
      </c>
    </row>
    <row r="2019" spans="1:9">
      <c r="A2019" s="246">
        <v>2015</v>
      </c>
      <c r="B2019" s="247" t="s">
        <v>147</v>
      </c>
      <c r="C2019" s="302" t="str">
        <f>"13887"</f>
        <v>13887</v>
      </c>
      <c r="D2019" s="247" t="s">
        <v>18</v>
      </c>
      <c r="E2019" s="248">
        <v>20</v>
      </c>
      <c r="F2019" s="249">
        <v>43159</v>
      </c>
      <c r="G2019" s="249">
        <v>44984</v>
      </c>
      <c r="H2019" s="247" t="s">
        <v>22</v>
      </c>
      <c r="I2019" s="250" t="s">
        <v>79</v>
      </c>
    </row>
    <row r="2020" spans="1:9">
      <c r="A2020" s="246">
        <v>2016</v>
      </c>
      <c r="B2020" s="247" t="s">
        <v>220</v>
      </c>
      <c r="C2020" s="302" t="str">
        <f>"13888"</f>
        <v>13888</v>
      </c>
      <c r="D2020" s="247" t="s">
        <v>13</v>
      </c>
      <c r="E2020" s="248">
        <v>12</v>
      </c>
      <c r="F2020" s="249">
        <v>42817</v>
      </c>
      <c r="G2020" s="249">
        <v>53767</v>
      </c>
      <c r="H2020" s="247" t="s">
        <v>22</v>
      </c>
      <c r="I2020" s="250" t="s">
        <v>79</v>
      </c>
    </row>
    <row r="2021" spans="1:9">
      <c r="A2021" s="246">
        <v>2017</v>
      </c>
      <c r="B2021" s="247" t="s">
        <v>536</v>
      </c>
      <c r="C2021" s="302" t="str">
        <f>"13889"</f>
        <v>13889</v>
      </c>
      <c r="D2021" s="247" t="s">
        <v>18</v>
      </c>
      <c r="E2021" s="248">
        <v>6</v>
      </c>
      <c r="F2021" s="249">
        <v>43133</v>
      </c>
      <c r="G2021" s="249">
        <v>44593</v>
      </c>
      <c r="H2021" s="247" t="s">
        <v>26</v>
      </c>
      <c r="I2021" s="250" t="s">
        <v>437</v>
      </c>
    </row>
    <row r="2022" spans="1:9">
      <c r="A2022" s="246">
        <v>2018</v>
      </c>
      <c r="B2022" s="247" t="s">
        <v>3579</v>
      </c>
      <c r="C2022" s="302" t="str">
        <f>"13890"</f>
        <v>13890</v>
      </c>
      <c r="D2022" s="247" t="s">
        <v>18</v>
      </c>
      <c r="E2022" s="248">
        <v>12</v>
      </c>
      <c r="F2022" s="249">
        <v>43159</v>
      </c>
      <c r="G2022" s="249">
        <v>44619</v>
      </c>
      <c r="H2022" s="247" t="s">
        <v>24</v>
      </c>
      <c r="I2022" s="250" t="s">
        <v>3417</v>
      </c>
    </row>
    <row r="2023" spans="1:9">
      <c r="A2023" s="246">
        <v>2019</v>
      </c>
      <c r="B2023" s="247" t="s">
        <v>504</v>
      </c>
      <c r="C2023" s="302" t="str">
        <f>"13891"</f>
        <v>13891</v>
      </c>
      <c r="D2023" s="247" t="s">
        <v>21</v>
      </c>
      <c r="E2023" s="248">
        <v>1</v>
      </c>
      <c r="F2023" s="249">
        <v>43013</v>
      </c>
      <c r="G2023" s="249">
        <v>44283</v>
      </c>
      <c r="H2023" s="247" t="s">
        <v>89</v>
      </c>
      <c r="I2023" s="250" t="s">
        <v>3342</v>
      </c>
    </row>
    <row r="2024" spans="1:9">
      <c r="A2024" s="246">
        <v>2020</v>
      </c>
      <c r="B2024" s="247" t="s">
        <v>3580</v>
      </c>
      <c r="C2024" s="302" t="str">
        <f>"13892"</f>
        <v>13892</v>
      </c>
      <c r="D2024" s="247" t="s">
        <v>18</v>
      </c>
      <c r="E2024" s="248">
        <v>2</v>
      </c>
      <c r="F2024" s="249">
        <v>43222</v>
      </c>
      <c r="G2024" s="249">
        <v>45047</v>
      </c>
      <c r="H2024" s="247" t="s">
        <v>94</v>
      </c>
      <c r="I2024" s="250" t="s">
        <v>438</v>
      </c>
    </row>
    <row r="2025" spans="1:9">
      <c r="A2025" s="246">
        <v>2021</v>
      </c>
      <c r="B2025" s="247" t="s">
        <v>237</v>
      </c>
      <c r="C2025" s="302" t="str">
        <f>"13893"</f>
        <v>13893</v>
      </c>
      <c r="D2025" s="247" t="s">
        <v>18</v>
      </c>
      <c r="E2025" s="248">
        <v>15</v>
      </c>
      <c r="F2025" s="249">
        <v>43028</v>
      </c>
      <c r="G2025" s="249">
        <v>44853</v>
      </c>
      <c r="H2025" s="247" t="s">
        <v>32</v>
      </c>
      <c r="I2025" s="250" t="s">
        <v>3369</v>
      </c>
    </row>
    <row r="2026" spans="1:9">
      <c r="A2026" s="246">
        <v>2022</v>
      </c>
      <c r="B2026" s="247" t="s">
        <v>207</v>
      </c>
      <c r="C2026" s="302" t="str">
        <f>"13900"</f>
        <v>13900</v>
      </c>
      <c r="D2026" s="247" t="s">
        <v>18</v>
      </c>
      <c r="E2026" s="248">
        <v>10</v>
      </c>
      <c r="F2026" s="249">
        <v>43137</v>
      </c>
      <c r="G2026" s="249">
        <v>44962</v>
      </c>
      <c r="H2026" s="247" t="s">
        <v>14</v>
      </c>
      <c r="I2026" s="250" t="s">
        <v>79</v>
      </c>
    </row>
    <row r="2027" spans="1:9">
      <c r="A2027" s="246">
        <v>2023</v>
      </c>
      <c r="B2027" s="247" t="s">
        <v>207</v>
      </c>
      <c r="C2027" s="302" t="str">
        <f>"13901"</f>
        <v>13901</v>
      </c>
      <c r="D2027" s="247" t="s">
        <v>18</v>
      </c>
      <c r="E2027" s="248">
        <v>42</v>
      </c>
      <c r="F2027" s="249">
        <v>43137</v>
      </c>
      <c r="G2027" s="249">
        <v>44962</v>
      </c>
      <c r="H2027" s="247" t="s">
        <v>14</v>
      </c>
      <c r="I2027" s="250" t="s">
        <v>79</v>
      </c>
    </row>
    <row r="2028" spans="1:9">
      <c r="A2028" s="246">
        <v>2024</v>
      </c>
      <c r="B2028" s="247" t="s">
        <v>207</v>
      </c>
      <c r="C2028" s="302" t="str">
        <f>"13903"</f>
        <v>13903</v>
      </c>
      <c r="D2028" s="247" t="s">
        <v>18</v>
      </c>
      <c r="E2028" s="248">
        <v>6</v>
      </c>
      <c r="F2028" s="249">
        <v>43222</v>
      </c>
      <c r="G2028" s="249">
        <v>45047</v>
      </c>
      <c r="H2028" s="247" t="s">
        <v>16</v>
      </c>
      <c r="I2028" s="250" t="s">
        <v>79</v>
      </c>
    </row>
    <row r="2029" spans="1:9">
      <c r="A2029" s="246">
        <v>2025</v>
      </c>
      <c r="B2029" s="247" t="s">
        <v>207</v>
      </c>
      <c r="C2029" s="302" t="str">
        <f>"13904"</f>
        <v>13904</v>
      </c>
      <c r="D2029" s="247" t="s">
        <v>18</v>
      </c>
      <c r="E2029" s="248">
        <v>30</v>
      </c>
      <c r="F2029" s="249">
        <v>43222</v>
      </c>
      <c r="G2029" s="249">
        <v>45047</v>
      </c>
      <c r="H2029" s="247" t="s">
        <v>16</v>
      </c>
      <c r="I2029" s="250" t="s">
        <v>79</v>
      </c>
    </row>
    <row r="2030" spans="1:9">
      <c r="A2030" s="246">
        <v>2026</v>
      </c>
      <c r="B2030" s="247" t="s">
        <v>207</v>
      </c>
      <c r="C2030" s="302" t="str">
        <f>"13905"</f>
        <v>13905</v>
      </c>
      <c r="D2030" s="247" t="s">
        <v>18</v>
      </c>
      <c r="E2030" s="248">
        <v>12</v>
      </c>
      <c r="F2030" s="249">
        <v>43222</v>
      </c>
      <c r="G2030" s="249">
        <v>45047</v>
      </c>
      <c r="H2030" s="247" t="s">
        <v>16</v>
      </c>
      <c r="I2030" s="250" t="s">
        <v>79</v>
      </c>
    </row>
    <row r="2031" spans="1:9">
      <c r="A2031" s="246">
        <v>2027</v>
      </c>
      <c r="B2031" s="247" t="s">
        <v>207</v>
      </c>
      <c r="C2031" s="302" t="str">
        <f>"13907"</f>
        <v>13907</v>
      </c>
      <c r="D2031" s="247" t="s">
        <v>18</v>
      </c>
      <c r="E2031" s="248">
        <v>6</v>
      </c>
      <c r="F2031" s="249">
        <v>43222</v>
      </c>
      <c r="G2031" s="249">
        <v>45047</v>
      </c>
      <c r="H2031" s="247" t="s">
        <v>16</v>
      </c>
      <c r="I2031" s="250" t="s">
        <v>79</v>
      </c>
    </row>
    <row r="2032" spans="1:9">
      <c r="A2032" s="246">
        <v>2028</v>
      </c>
      <c r="B2032" s="247" t="s">
        <v>207</v>
      </c>
      <c r="C2032" s="302" t="str">
        <f>"13908"</f>
        <v>13908</v>
      </c>
      <c r="D2032" s="247" t="s">
        <v>18</v>
      </c>
      <c r="E2032" s="248">
        <v>24</v>
      </c>
      <c r="F2032" s="249">
        <v>43137</v>
      </c>
      <c r="G2032" s="249">
        <v>44962</v>
      </c>
      <c r="H2032" s="247" t="s">
        <v>16</v>
      </c>
      <c r="I2032" s="250" t="s">
        <v>79</v>
      </c>
    </row>
    <row r="2033" spans="1:9">
      <c r="A2033" s="246">
        <v>2029</v>
      </c>
      <c r="B2033" s="247" t="s">
        <v>207</v>
      </c>
      <c r="C2033" s="302" t="str">
        <f>"13909"</f>
        <v>13909</v>
      </c>
      <c r="D2033" s="247" t="s">
        <v>18</v>
      </c>
      <c r="E2033" s="248">
        <v>8</v>
      </c>
      <c r="F2033" s="249">
        <v>43137</v>
      </c>
      <c r="G2033" s="249">
        <v>44962</v>
      </c>
      <c r="H2033" s="247" t="s">
        <v>14</v>
      </c>
      <c r="I2033" s="250" t="s">
        <v>79</v>
      </c>
    </row>
    <row r="2034" spans="1:9">
      <c r="A2034" s="246">
        <v>2030</v>
      </c>
      <c r="B2034" s="247" t="s">
        <v>207</v>
      </c>
      <c r="C2034" s="302" t="str">
        <f>"13910"</f>
        <v>13910</v>
      </c>
      <c r="D2034" s="247" t="s">
        <v>18</v>
      </c>
      <c r="E2034" s="248">
        <v>2</v>
      </c>
      <c r="F2034" s="249">
        <v>43137</v>
      </c>
      <c r="G2034" s="249">
        <v>44962</v>
      </c>
      <c r="H2034" s="247" t="s">
        <v>16</v>
      </c>
      <c r="I2034" s="250" t="s">
        <v>79</v>
      </c>
    </row>
    <row r="2035" spans="1:9">
      <c r="A2035" s="246">
        <v>2031</v>
      </c>
      <c r="B2035" s="247" t="s">
        <v>207</v>
      </c>
      <c r="C2035" s="302" t="str">
        <f>"13911"</f>
        <v>13911</v>
      </c>
      <c r="D2035" s="247" t="s">
        <v>18</v>
      </c>
      <c r="E2035" s="248">
        <v>6</v>
      </c>
      <c r="F2035" s="249">
        <v>43222</v>
      </c>
      <c r="G2035" s="249">
        <v>45047</v>
      </c>
      <c r="H2035" s="247" t="s">
        <v>16</v>
      </c>
      <c r="I2035" s="250" t="s">
        <v>79</v>
      </c>
    </row>
    <row r="2036" spans="1:9">
      <c r="A2036" s="246">
        <v>2032</v>
      </c>
      <c r="B2036" s="247" t="s">
        <v>207</v>
      </c>
      <c r="C2036" s="302" t="str">
        <f>"13912"</f>
        <v>13912</v>
      </c>
      <c r="D2036" s="247" t="s">
        <v>18</v>
      </c>
      <c r="E2036" s="248">
        <v>23</v>
      </c>
      <c r="F2036" s="249">
        <v>43137</v>
      </c>
      <c r="G2036" s="249">
        <v>44962</v>
      </c>
      <c r="H2036" s="247" t="s">
        <v>16</v>
      </c>
      <c r="I2036" s="250" t="s">
        <v>79</v>
      </c>
    </row>
    <row r="2037" spans="1:9">
      <c r="A2037" s="246">
        <v>2033</v>
      </c>
      <c r="B2037" s="247" t="s">
        <v>207</v>
      </c>
      <c r="C2037" s="302" t="str">
        <f>"13913"</f>
        <v>13913</v>
      </c>
      <c r="D2037" s="247" t="s">
        <v>18</v>
      </c>
      <c r="E2037" s="248">
        <v>42</v>
      </c>
      <c r="F2037" s="249">
        <v>43137</v>
      </c>
      <c r="G2037" s="249">
        <v>44962</v>
      </c>
      <c r="H2037" s="247" t="s">
        <v>84</v>
      </c>
      <c r="I2037" s="250" t="s">
        <v>79</v>
      </c>
    </row>
    <row r="2038" spans="1:9">
      <c r="A2038" s="246">
        <v>2034</v>
      </c>
      <c r="B2038" s="247" t="s">
        <v>207</v>
      </c>
      <c r="C2038" s="302" t="str">
        <f>"13914"</f>
        <v>13914</v>
      </c>
      <c r="D2038" s="247" t="s">
        <v>18</v>
      </c>
      <c r="E2038" s="248">
        <v>4</v>
      </c>
      <c r="F2038" s="249">
        <v>43585</v>
      </c>
      <c r="G2038" s="249">
        <v>45411</v>
      </c>
      <c r="H2038" s="247" t="s">
        <v>14</v>
      </c>
      <c r="I2038" s="250" t="s">
        <v>79</v>
      </c>
    </row>
    <row r="2039" spans="1:9">
      <c r="A2039" s="246">
        <v>2035</v>
      </c>
      <c r="B2039" s="247" t="s">
        <v>221</v>
      </c>
      <c r="C2039" s="302" t="str">
        <f>"13920"</f>
        <v>13920</v>
      </c>
      <c r="D2039" s="247" t="s">
        <v>18</v>
      </c>
      <c r="E2039" s="248">
        <v>2</v>
      </c>
      <c r="F2039" s="249">
        <v>43374</v>
      </c>
      <c r="G2039" s="249">
        <v>45199</v>
      </c>
      <c r="H2039" s="247" t="s">
        <v>14</v>
      </c>
      <c r="I2039" s="250" t="s">
        <v>79</v>
      </c>
    </row>
    <row r="2040" spans="1:9">
      <c r="A2040" s="246">
        <v>2036</v>
      </c>
      <c r="B2040" s="247" t="s">
        <v>221</v>
      </c>
      <c r="C2040" s="302" t="str">
        <f>"13925"</f>
        <v>13925</v>
      </c>
      <c r="D2040" s="247" t="s">
        <v>18</v>
      </c>
      <c r="E2040" s="248">
        <v>28</v>
      </c>
      <c r="F2040" s="249">
        <v>43374</v>
      </c>
      <c r="G2040" s="249">
        <v>45199</v>
      </c>
      <c r="H2040" s="247" t="s">
        <v>14</v>
      </c>
      <c r="I2040" s="250" t="s">
        <v>79</v>
      </c>
    </row>
    <row r="2041" spans="1:9">
      <c r="A2041" s="246">
        <v>2037</v>
      </c>
      <c r="B2041" s="247" t="s">
        <v>221</v>
      </c>
      <c r="C2041" s="302" t="str">
        <f>"13926"</f>
        <v>13926</v>
      </c>
      <c r="D2041" s="247" t="s">
        <v>18</v>
      </c>
      <c r="E2041" s="248">
        <v>3</v>
      </c>
      <c r="F2041" s="249">
        <v>43374</v>
      </c>
      <c r="G2041" s="249">
        <v>45199</v>
      </c>
      <c r="H2041" s="247" t="s">
        <v>14</v>
      </c>
      <c r="I2041" s="250" t="s">
        <v>79</v>
      </c>
    </row>
    <row r="2042" spans="1:9">
      <c r="A2042" s="246">
        <v>2038</v>
      </c>
      <c r="B2042" s="247" t="s">
        <v>221</v>
      </c>
      <c r="C2042" s="302" t="str">
        <f>"13927"</f>
        <v>13927</v>
      </c>
      <c r="D2042" s="247" t="s">
        <v>18</v>
      </c>
      <c r="E2042" s="248">
        <v>14</v>
      </c>
      <c r="F2042" s="249">
        <v>43374</v>
      </c>
      <c r="G2042" s="249">
        <v>45199</v>
      </c>
      <c r="H2042" s="247" t="s">
        <v>14</v>
      </c>
      <c r="I2042" s="250" t="s">
        <v>79</v>
      </c>
    </row>
    <row r="2043" spans="1:9">
      <c r="A2043" s="246">
        <v>2039</v>
      </c>
      <c r="B2043" s="247" t="s">
        <v>221</v>
      </c>
      <c r="C2043" s="302" t="str">
        <f>"13928"</f>
        <v>13928</v>
      </c>
      <c r="D2043" s="247" t="s">
        <v>18</v>
      </c>
      <c r="E2043" s="248">
        <v>6</v>
      </c>
      <c r="F2043" s="249">
        <v>43374</v>
      </c>
      <c r="G2043" s="249">
        <v>45199</v>
      </c>
      <c r="H2043" s="247" t="s">
        <v>16</v>
      </c>
      <c r="I2043" s="250" t="s">
        <v>79</v>
      </c>
    </row>
    <row r="2044" spans="1:9">
      <c r="A2044" s="246">
        <v>2040</v>
      </c>
      <c r="B2044" s="247" t="s">
        <v>222</v>
      </c>
      <c r="C2044" s="302" t="str">
        <f>"13929"</f>
        <v>13929</v>
      </c>
      <c r="D2044" s="247" t="s">
        <v>18</v>
      </c>
      <c r="E2044" s="248">
        <v>8</v>
      </c>
      <c r="F2044" s="249">
        <v>43222</v>
      </c>
      <c r="G2044" s="249">
        <v>45047</v>
      </c>
      <c r="H2044" s="247" t="s">
        <v>219</v>
      </c>
      <c r="I2044" s="250" t="s">
        <v>79</v>
      </c>
    </row>
    <row r="2045" spans="1:9">
      <c r="A2045" s="246">
        <v>2041</v>
      </c>
      <c r="B2045" s="247" t="s">
        <v>3561</v>
      </c>
      <c r="C2045" s="302" t="str">
        <f>"13931"</f>
        <v>13931</v>
      </c>
      <c r="D2045" s="247" t="s">
        <v>18</v>
      </c>
      <c r="E2045" s="248">
        <v>6</v>
      </c>
      <c r="F2045" s="249">
        <v>43137</v>
      </c>
      <c r="G2045" s="249">
        <v>44962</v>
      </c>
      <c r="H2045" s="247" t="s">
        <v>16</v>
      </c>
      <c r="I2045" s="250" t="s">
        <v>433</v>
      </c>
    </row>
    <row r="2046" spans="1:9">
      <c r="A2046" s="246">
        <v>2042</v>
      </c>
      <c r="B2046" s="247" t="s">
        <v>223</v>
      </c>
      <c r="C2046" s="302" t="str">
        <f>"13932"</f>
        <v>13932</v>
      </c>
      <c r="D2046" s="247" t="s">
        <v>23</v>
      </c>
      <c r="E2046" s="248">
        <v>5</v>
      </c>
      <c r="F2046" s="249">
        <v>43069</v>
      </c>
      <c r="G2046" s="249">
        <v>43433</v>
      </c>
      <c r="H2046" s="247" t="s">
        <v>22</v>
      </c>
      <c r="I2046" s="250" t="s">
        <v>3413</v>
      </c>
    </row>
    <row r="2047" spans="1:9">
      <c r="A2047" s="246">
        <v>2043</v>
      </c>
      <c r="B2047" s="247" t="s">
        <v>223</v>
      </c>
      <c r="C2047" s="302" t="str">
        <f>"13936"</f>
        <v>13936</v>
      </c>
      <c r="D2047" s="247" t="s">
        <v>23</v>
      </c>
      <c r="E2047" s="248">
        <v>5</v>
      </c>
      <c r="F2047" s="249">
        <v>43069</v>
      </c>
      <c r="G2047" s="249">
        <v>43433</v>
      </c>
      <c r="H2047" s="247" t="s">
        <v>22</v>
      </c>
      <c r="I2047" s="250" t="s">
        <v>3413</v>
      </c>
    </row>
    <row r="2048" spans="1:9">
      <c r="A2048" s="246">
        <v>2044</v>
      </c>
      <c r="B2048" s="247" t="s">
        <v>223</v>
      </c>
      <c r="C2048" s="302" t="str">
        <f>"13937"</f>
        <v>13937</v>
      </c>
      <c r="D2048" s="247" t="s">
        <v>18</v>
      </c>
      <c r="E2048" s="248">
        <v>14</v>
      </c>
      <c r="F2048" s="249">
        <v>43146</v>
      </c>
      <c r="G2048" s="249">
        <v>44971</v>
      </c>
      <c r="H2048" s="247" t="s">
        <v>16</v>
      </c>
      <c r="I2048" s="250" t="s">
        <v>79</v>
      </c>
    </row>
    <row r="2049" spans="1:9">
      <c r="A2049" s="246">
        <v>2045</v>
      </c>
      <c r="B2049" s="247" t="s">
        <v>223</v>
      </c>
      <c r="C2049" s="302" t="str">
        <f>"13938"</f>
        <v>13938</v>
      </c>
      <c r="D2049" s="247" t="s">
        <v>18</v>
      </c>
      <c r="E2049" s="248">
        <v>10</v>
      </c>
      <c r="F2049" s="249">
        <v>43146</v>
      </c>
      <c r="G2049" s="249">
        <v>44971</v>
      </c>
      <c r="H2049" s="247" t="s">
        <v>59</v>
      </c>
      <c r="I2049" s="250" t="s">
        <v>79</v>
      </c>
    </row>
    <row r="2050" spans="1:9">
      <c r="A2050" s="246">
        <v>2046</v>
      </c>
      <c r="B2050" s="247" t="s">
        <v>223</v>
      </c>
      <c r="C2050" s="302" t="str">
        <f>"13939"</f>
        <v>13939</v>
      </c>
      <c r="D2050" s="247" t="s">
        <v>18</v>
      </c>
      <c r="E2050" s="248">
        <v>36</v>
      </c>
      <c r="F2050" s="249">
        <v>43146</v>
      </c>
      <c r="G2050" s="249">
        <v>44971</v>
      </c>
      <c r="H2050" s="247" t="s">
        <v>16</v>
      </c>
      <c r="I2050" s="250" t="s">
        <v>79</v>
      </c>
    </row>
    <row r="2051" spans="1:9">
      <c r="A2051" s="246">
        <v>2047</v>
      </c>
      <c r="B2051" s="247" t="s">
        <v>223</v>
      </c>
      <c r="C2051" s="302" t="str">
        <f>"13940"</f>
        <v>13940</v>
      </c>
      <c r="D2051" s="247" t="s">
        <v>18</v>
      </c>
      <c r="E2051" s="248">
        <v>27</v>
      </c>
      <c r="F2051" s="249">
        <v>43146</v>
      </c>
      <c r="G2051" s="249">
        <v>44971</v>
      </c>
      <c r="H2051" s="247" t="s">
        <v>14</v>
      </c>
      <c r="I2051" s="250" t="s">
        <v>79</v>
      </c>
    </row>
    <row r="2052" spans="1:9">
      <c r="A2052" s="246">
        <v>2048</v>
      </c>
      <c r="B2052" s="247" t="s">
        <v>223</v>
      </c>
      <c r="C2052" s="302" t="str">
        <f>"13941"</f>
        <v>13941</v>
      </c>
      <c r="D2052" s="247" t="s">
        <v>18</v>
      </c>
      <c r="E2052" s="248">
        <v>24</v>
      </c>
      <c r="F2052" s="249">
        <v>43146</v>
      </c>
      <c r="G2052" s="249">
        <v>44971</v>
      </c>
      <c r="H2052" s="247" t="s">
        <v>14</v>
      </c>
      <c r="I2052" s="250" t="s">
        <v>79</v>
      </c>
    </row>
    <row r="2053" spans="1:9">
      <c r="A2053" s="246">
        <v>2049</v>
      </c>
      <c r="B2053" s="247" t="s">
        <v>223</v>
      </c>
      <c r="C2053" s="302" t="str">
        <f>"13942"</f>
        <v>13942</v>
      </c>
      <c r="D2053" s="247" t="s">
        <v>18</v>
      </c>
      <c r="E2053" s="248">
        <v>40</v>
      </c>
      <c r="F2053" s="249">
        <v>43146</v>
      </c>
      <c r="G2053" s="249">
        <v>44971</v>
      </c>
      <c r="H2053" s="247" t="s">
        <v>70</v>
      </c>
      <c r="I2053" s="250" t="s">
        <v>79</v>
      </c>
    </row>
    <row r="2054" spans="1:9">
      <c r="A2054" s="246">
        <v>2050</v>
      </c>
      <c r="B2054" s="247" t="s">
        <v>223</v>
      </c>
      <c r="C2054" s="302" t="str">
        <f>"13943"</f>
        <v>13943</v>
      </c>
      <c r="D2054" s="247" t="s">
        <v>18</v>
      </c>
      <c r="E2054" s="248">
        <v>30</v>
      </c>
      <c r="F2054" s="249">
        <v>43146</v>
      </c>
      <c r="G2054" s="249">
        <v>44971</v>
      </c>
      <c r="H2054" s="247" t="s">
        <v>59</v>
      </c>
      <c r="I2054" s="250" t="s">
        <v>79</v>
      </c>
    </row>
    <row r="2055" spans="1:9">
      <c r="A2055" s="246">
        <v>2051</v>
      </c>
      <c r="B2055" s="247" t="s">
        <v>225</v>
      </c>
      <c r="C2055" s="302" t="str">
        <f>"13944"</f>
        <v>13944</v>
      </c>
      <c r="D2055" s="247" t="s">
        <v>18</v>
      </c>
      <c r="E2055" s="248">
        <v>418</v>
      </c>
      <c r="F2055" s="249">
        <v>42992</v>
      </c>
      <c r="G2055" s="249">
        <v>44817</v>
      </c>
      <c r="H2055" s="247" t="s">
        <v>59</v>
      </c>
      <c r="I2055" s="250" t="s">
        <v>448</v>
      </c>
    </row>
    <row r="2056" spans="1:9">
      <c r="A2056" s="246">
        <v>2052</v>
      </c>
      <c r="B2056" s="247" t="s">
        <v>225</v>
      </c>
      <c r="C2056" s="302" t="str">
        <f>"13945"</f>
        <v>13945</v>
      </c>
      <c r="D2056" s="247" t="s">
        <v>23</v>
      </c>
      <c r="E2056" s="248">
        <v>5</v>
      </c>
      <c r="F2056" s="249">
        <v>42924</v>
      </c>
      <c r="G2056" s="249">
        <v>43288</v>
      </c>
      <c r="H2056" s="247" t="s">
        <v>22</v>
      </c>
      <c r="I2056" s="250" t="s">
        <v>3413</v>
      </c>
    </row>
    <row r="2057" spans="1:9">
      <c r="A2057" s="246">
        <v>2053</v>
      </c>
      <c r="B2057" s="247" t="s">
        <v>225</v>
      </c>
      <c r="C2057" s="302" t="str">
        <f>"13946"</f>
        <v>13946</v>
      </c>
      <c r="D2057" s="247" t="s">
        <v>23</v>
      </c>
      <c r="E2057" s="248">
        <v>5</v>
      </c>
      <c r="F2057" s="249">
        <v>42924</v>
      </c>
      <c r="G2057" s="249">
        <v>43288</v>
      </c>
      <c r="H2057" s="247" t="s">
        <v>22</v>
      </c>
      <c r="I2057" s="250" t="s">
        <v>3413</v>
      </c>
    </row>
    <row r="2058" spans="1:9">
      <c r="A2058" s="246">
        <v>2054</v>
      </c>
      <c r="B2058" s="247" t="s">
        <v>207</v>
      </c>
      <c r="C2058" s="302" t="str">
        <f>"13947"</f>
        <v>13947</v>
      </c>
      <c r="D2058" s="247" t="s">
        <v>18</v>
      </c>
      <c r="E2058" s="248">
        <v>54</v>
      </c>
      <c r="F2058" s="249">
        <v>43137</v>
      </c>
      <c r="G2058" s="249">
        <v>44597</v>
      </c>
      <c r="H2058" s="247" t="s">
        <v>73</v>
      </c>
      <c r="I2058" s="250" t="s">
        <v>448</v>
      </c>
    </row>
    <row r="2059" spans="1:9">
      <c r="A2059" s="246">
        <v>2055</v>
      </c>
      <c r="B2059" s="247" t="s">
        <v>207</v>
      </c>
      <c r="C2059" s="302" t="str">
        <f>"13950"</f>
        <v>13950</v>
      </c>
      <c r="D2059" s="247" t="s">
        <v>18</v>
      </c>
      <c r="E2059" s="248">
        <v>344</v>
      </c>
      <c r="F2059" s="249">
        <v>43137</v>
      </c>
      <c r="G2059" s="249">
        <v>44962</v>
      </c>
      <c r="H2059" s="247" t="s">
        <v>56</v>
      </c>
      <c r="I2059" s="250" t="s">
        <v>3369</v>
      </c>
    </row>
    <row r="2060" spans="1:9">
      <c r="A2060" s="246">
        <v>2056</v>
      </c>
      <c r="B2060" s="247" t="s">
        <v>207</v>
      </c>
      <c r="C2060" s="302" t="str">
        <f>"13952"</f>
        <v>13952</v>
      </c>
      <c r="D2060" s="247" t="s">
        <v>18</v>
      </c>
      <c r="E2060" s="248">
        <v>80</v>
      </c>
      <c r="F2060" s="249">
        <v>43137</v>
      </c>
      <c r="G2060" s="249">
        <v>44597</v>
      </c>
      <c r="H2060" s="247" t="s">
        <v>219</v>
      </c>
      <c r="I2060" s="250" t="s">
        <v>448</v>
      </c>
    </row>
    <row r="2061" spans="1:9">
      <c r="A2061" s="246">
        <v>2057</v>
      </c>
      <c r="B2061" s="247" t="s">
        <v>207</v>
      </c>
      <c r="C2061" s="302" t="str">
        <f>"13954"</f>
        <v>13954</v>
      </c>
      <c r="D2061" s="247" t="s">
        <v>18</v>
      </c>
      <c r="E2061" s="248">
        <v>248</v>
      </c>
      <c r="F2061" s="249">
        <v>43222</v>
      </c>
      <c r="G2061" s="249">
        <v>45047</v>
      </c>
      <c r="H2061" s="247" t="s">
        <v>56</v>
      </c>
      <c r="I2061" s="250" t="s">
        <v>3369</v>
      </c>
    </row>
    <row r="2062" spans="1:9">
      <c r="A2062" s="246">
        <v>2058</v>
      </c>
      <c r="B2062" s="247" t="s">
        <v>207</v>
      </c>
      <c r="C2062" s="302" t="str">
        <f>"13958"</f>
        <v>13958</v>
      </c>
      <c r="D2062" s="247" t="s">
        <v>18</v>
      </c>
      <c r="E2062" s="248">
        <v>14</v>
      </c>
      <c r="F2062" s="249">
        <v>43222</v>
      </c>
      <c r="G2062" s="249">
        <v>45047</v>
      </c>
      <c r="H2062" s="247" t="s">
        <v>16</v>
      </c>
      <c r="I2062" s="250" t="s">
        <v>79</v>
      </c>
    </row>
    <row r="2063" spans="1:9">
      <c r="A2063" s="246">
        <v>2059</v>
      </c>
      <c r="B2063" s="247" t="s">
        <v>224</v>
      </c>
      <c r="C2063" s="302" t="str">
        <f>"13961"</f>
        <v>13961</v>
      </c>
      <c r="D2063" s="247" t="s">
        <v>18</v>
      </c>
      <c r="E2063" s="248">
        <v>90</v>
      </c>
      <c r="F2063" s="249">
        <v>43374</v>
      </c>
      <c r="G2063" s="249">
        <v>45199</v>
      </c>
      <c r="H2063" s="247" t="s">
        <v>25</v>
      </c>
      <c r="I2063" s="250" t="s">
        <v>79</v>
      </c>
    </row>
    <row r="2064" spans="1:9">
      <c r="A2064" s="246">
        <v>2060</v>
      </c>
      <c r="B2064" s="247" t="s">
        <v>224</v>
      </c>
      <c r="C2064" s="302" t="str">
        <f>"13964"</f>
        <v>13964</v>
      </c>
      <c r="D2064" s="247" t="s">
        <v>18</v>
      </c>
      <c r="E2064" s="248">
        <v>6</v>
      </c>
      <c r="F2064" s="249">
        <v>43154</v>
      </c>
      <c r="G2064" s="249">
        <v>44614</v>
      </c>
      <c r="H2064" s="247" t="s">
        <v>32</v>
      </c>
      <c r="I2064" s="250" t="s">
        <v>433</v>
      </c>
    </row>
    <row r="2065" spans="1:9">
      <c r="A2065" s="246">
        <v>2061</v>
      </c>
      <c r="B2065" s="247" t="s">
        <v>3581</v>
      </c>
      <c r="C2065" s="302" t="str">
        <f>"13976"</f>
        <v>13976</v>
      </c>
      <c r="D2065" s="247" t="s">
        <v>18</v>
      </c>
      <c r="E2065" s="248">
        <v>122</v>
      </c>
      <c r="F2065" s="249">
        <v>43153</v>
      </c>
      <c r="G2065" s="249">
        <v>44613</v>
      </c>
      <c r="H2065" s="247" t="s">
        <v>26</v>
      </c>
      <c r="I2065" s="250" t="s">
        <v>438</v>
      </c>
    </row>
    <row r="2066" spans="1:9">
      <c r="A2066" s="246">
        <v>2062</v>
      </c>
      <c r="B2066" s="247" t="s">
        <v>2129</v>
      </c>
      <c r="C2066" s="302" t="str">
        <f>"13983"</f>
        <v>13983</v>
      </c>
      <c r="D2066" s="247" t="s">
        <v>18</v>
      </c>
      <c r="E2066" s="248">
        <v>9</v>
      </c>
      <c r="F2066" s="249">
        <v>43132</v>
      </c>
      <c r="G2066" s="249">
        <v>44957</v>
      </c>
      <c r="H2066" s="247" t="s">
        <v>59</v>
      </c>
      <c r="I2066" s="250" t="s">
        <v>437</v>
      </c>
    </row>
    <row r="2067" spans="1:9">
      <c r="A2067" s="246">
        <v>2063</v>
      </c>
      <c r="B2067" s="247" t="s">
        <v>3568</v>
      </c>
      <c r="C2067" s="302" t="str">
        <f>"13988"</f>
        <v>13988</v>
      </c>
      <c r="D2067" s="247" t="s">
        <v>18</v>
      </c>
      <c r="E2067" s="248">
        <v>20</v>
      </c>
      <c r="F2067" s="249">
        <v>43220</v>
      </c>
      <c r="G2067" s="249">
        <v>44680</v>
      </c>
      <c r="H2067" s="247" t="s">
        <v>24</v>
      </c>
      <c r="I2067" s="250" t="s">
        <v>433</v>
      </c>
    </row>
    <row r="2068" spans="1:9">
      <c r="A2068" s="246">
        <v>2064</v>
      </c>
      <c r="B2068" s="247" t="s">
        <v>418</v>
      </c>
      <c r="C2068" s="302" t="str">
        <f>"13989"</f>
        <v>13989</v>
      </c>
      <c r="D2068" s="247" t="s">
        <v>18</v>
      </c>
      <c r="E2068" s="248">
        <v>7</v>
      </c>
      <c r="F2068" s="249">
        <v>42979</v>
      </c>
      <c r="G2068" s="249">
        <v>44804</v>
      </c>
      <c r="H2068" s="247" t="s">
        <v>19</v>
      </c>
      <c r="I2068" s="250" t="s">
        <v>448</v>
      </c>
    </row>
    <row r="2069" spans="1:9">
      <c r="A2069" s="246">
        <v>2065</v>
      </c>
      <c r="B2069" s="247" t="s">
        <v>418</v>
      </c>
      <c r="C2069" s="302" t="str">
        <f>"13990"</f>
        <v>13990</v>
      </c>
      <c r="D2069" s="247" t="s">
        <v>18</v>
      </c>
      <c r="E2069" s="248">
        <v>42</v>
      </c>
      <c r="F2069" s="249">
        <v>42979</v>
      </c>
      <c r="G2069" s="249">
        <v>44804</v>
      </c>
      <c r="H2069" s="247" t="s">
        <v>19</v>
      </c>
      <c r="I2069" s="250" t="s">
        <v>448</v>
      </c>
    </row>
    <row r="2070" spans="1:9">
      <c r="A2070" s="246">
        <v>2066</v>
      </c>
      <c r="B2070" s="247" t="s">
        <v>418</v>
      </c>
      <c r="C2070" s="302" t="str">
        <f>"13991"</f>
        <v>13991</v>
      </c>
      <c r="D2070" s="247" t="s">
        <v>18</v>
      </c>
      <c r="E2070" s="248">
        <v>74</v>
      </c>
      <c r="F2070" s="249">
        <v>42979</v>
      </c>
      <c r="G2070" s="249">
        <v>44804</v>
      </c>
      <c r="H2070" s="247" t="s">
        <v>84</v>
      </c>
      <c r="I2070" s="250" t="s">
        <v>448</v>
      </c>
    </row>
    <row r="2071" spans="1:9">
      <c r="A2071" s="246">
        <v>2067</v>
      </c>
      <c r="B2071" s="247" t="s">
        <v>418</v>
      </c>
      <c r="C2071" s="302" t="str">
        <f>"13992"</f>
        <v>13992</v>
      </c>
      <c r="D2071" s="247" t="s">
        <v>18</v>
      </c>
      <c r="E2071" s="248">
        <v>181</v>
      </c>
      <c r="F2071" s="249">
        <v>42979</v>
      </c>
      <c r="G2071" s="249">
        <v>44804</v>
      </c>
      <c r="H2071" s="247" t="s">
        <v>19</v>
      </c>
      <c r="I2071" s="250" t="s">
        <v>448</v>
      </c>
    </row>
    <row r="2072" spans="1:9">
      <c r="A2072" s="246">
        <v>2068</v>
      </c>
      <c r="B2072" s="247" t="s">
        <v>225</v>
      </c>
      <c r="C2072" s="302" t="str">
        <f>"13993"</f>
        <v>13993</v>
      </c>
      <c r="D2072" s="247" t="s">
        <v>18</v>
      </c>
      <c r="E2072" s="248">
        <v>104</v>
      </c>
      <c r="F2072" s="249">
        <v>43000</v>
      </c>
      <c r="G2072" s="249">
        <v>44825</v>
      </c>
      <c r="H2072" s="247" t="s">
        <v>16</v>
      </c>
      <c r="I2072" s="250" t="s">
        <v>448</v>
      </c>
    </row>
    <row r="2073" spans="1:9">
      <c r="A2073" s="246">
        <v>2069</v>
      </c>
      <c r="B2073" s="247" t="s">
        <v>225</v>
      </c>
      <c r="C2073" s="302" t="str">
        <f>"13994"</f>
        <v>13994</v>
      </c>
      <c r="D2073" s="247" t="s">
        <v>18</v>
      </c>
      <c r="E2073" s="248">
        <v>50</v>
      </c>
      <c r="F2073" s="249">
        <v>42979</v>
      </c>
      <c r="G2073" s="249">
        <v>44804</v>
      </c>
      <c r="H2073" s="247" t="s">
        <v>84</v>
      </c>
      <c r="I2073" s="250" t="s">
        <v>79</v>
      </c>
    </row>
    <row r="2074" spans="1:9">
      <c r="A2074" s="246">
        <v>2070</v>
      </c>
      <c r="B2074" s="247" t="s">
        <v>225</v>
      </c>
      <c r="C2074" s="302" t="str">
        <f>"13998"</f>
        <v>13998</v>
      </c>
      <c r="D2074" s="247" t="s">
        <v>18</v>
      </c>
      <c r="E2074" s="248">
        <v>330</v>
      </c>
      <c r="F2074" s="249">
        <v>43169</v>
      </c>
      <c r="G2074" s="249">
        <v>44994</v>
      </c>
      <c r="H2074" s="247" t="s">
        <v>19</v>
      </c>
      <c r="I2074" s="250" t="s">
        <v>79</v>
      </c>
    </row>
    <row r="2075" spans="1:9">
      <c r="A2075" s="246">
        <v>2071</v>
      </c>
      <c r="B2075" s="247" t="s">
        <v>2813</v>
      </c>
      <c r="C2075" s="302" t="str">
        <f>"14003"</f>
        <v>14003</v>
      </c>
      <c r="D2075" s="247" t="s">
        <v>18</v>
      </c>
      <c r="E2075" s="248">
        <v>92</v>
      </c>
      <c r="F2075" s="249">
        <v>43220</v>
      </c>
      <c r="G2075" s="249">
        <v>45045</v>
      </c>
      <c r="H2075" s="247" t="s">
        <v>31</v>
      </c>
      <c r="I2075" s="250" t="s">
        <v>437</v>
      </c>
    </row>
    <row r="2076" spans="1:9">
      <c r="A2076" s="246">
        <v>2072</v>
      </c>
      <c r="B2076" s="247" t="s">
        <v>2813</v>
      </c>
      <c r="C2076" s="302" t="str">
        <f>"14004"</f>
        <v>14004</v>
      </c>
      <c r="D2076" s="247" t="s">
        <v>18</v>
      </c>
      <c r="E2076" s="248">
        <v>3</v>
      </c>
      <c r="F2076" s="249">
        <v>43220</v>
      </c>
      <c r="G2076" s="249">
        <v>45045</v>
      </c>
      <c r="H2076" s="247" t="s">
        <v>31</v>
      </c>
      <c r="I2076" s="250" t="s">
        <v>437</v>
      </c>
    </row>
    <row r="2077" spans="1:9">
      <c r="A2077" s="246">
        <v>2073</v>
      </c>
      <c r="B2077" s="247" t="s">
        <v>2813</v>
      </c>
      <c r="C2077" s="302" t="str">
        <f>"14005"</f>
        <v>14005</v>
      </c>
      <c r="D2077" s="247" t="s">
        <v>18</v>
      </c>
      <c r="E2077" s="248">
        <v>25</v>
      </c>
      <c r="F2077" s="249">
        <v>43220</v>
      </c>
      <c r="G2077" s="249">
        <v>45045</v>
      </c>
      <c r="H2077" s="247" t="s">
        <v>32</v>
      </c>
      <c r="I2077" s="250" t="s">
        <v>437</v>
      </c>
    </row>
    <row r="2078" spans="1:9">
      <c r="A2078" s="246">
        <v>2074</v>
      </c>
      <c r="B2078" s="247" t="s">
        <v>2813</v>
      </c>
      <c r="C2078" s="302" t="str">
        <f>"14006"</f>
        <v>14006</v>
      </c>
      <c r="D2078" s="247" t="s">
        <v>18</v>
      </c>
      <c r="E2078" s="248">
        <v>123</v>
      </c>
      <c r="F2078" s="249">
        <v>43220</v>
      </c>
      <c r="G2078" s="249">
        <v>45045</v>
      </c>
      <c r="H2078" s="247" t="s">
        <v>24</v>
      </c>
      <c r="I2078" s="250" t="s">
        <v>437</v>
      </c>
    </row>
    <row r="2079" spans="1:9">
      <c r="A2079" s="246">
        <v>2075</v>
      </c>
      <c r="B2079" s="247" t="s">
        <v>2813</v>
      </c>
      <c r="C2079" s="302" t="str">
        <f>"14008"</f>
        <v>14008</v>
      </c>
      <c r="D2079" s="247" t="s">
        <v>18</v>
      </c>
      <c r="E2079" s="248">
        <v>23</v>
      </c>
      <c r="F2079" s="249">
        <v>43220</v>
      </c>
      <c r="G2079" s="249">
        <v>45045</v>
      </c>
      <c r="H2079" s="247" t="s">
        <v>32</v>
      </c>
      <c r="I2079" s="250" t="s">
        <v>437</v>
      </c>
    </row>
    <row r="2080" spans="1:9">
      <c r="A2080" s="246">
        <v>2076</v>
      </c>
      <c r="B2080" s="247" t="s">
        <v>2813</v>
      </c>
      <c r="C2080" s="302" t="str">
        <f>"14009"</f>
        <v>14009</v>
      </c>
      <c r="D2080" s="247" t="s">
        <v>18</v>
      </c>
      <c r="E2080" s="248">
        <v>37</v>
      </c>
      <c r="F2080" s="249">
        <v>43220</v>
      </c>
      <c r="G2080" s="249">
        <v>45045</v>
      </c>
      <c r="H2080" s="247" t="s">
        <v>32</v>
      </c>
      <c r="I2080" s="250" t="s">
        <v>437</v>
      </c>
    </row>
    <row r="2081" spans="1:9">
      <c r="A2081" s="246">
        <v>2077</v>
      </c>
      <c r="B2081" s="247" t="s">
        <v>226</v>
      </c>
      <c r="C2081" s="302" t="str">
        <f>"14031"</f>
        <v>14031</v>
      </c>
      <c r="D2081" s="247" t="s">
        <v>18</v>
      </c>
      <c r="E2081" s="248">
        <v>38</v>
      </c>
      <c r="F2081" s="249">
        <v>43220</v>
      </c>
      <c r="G2081" s="249">
        <v>45045</v>
      </c>
      <c r="H2081" s="247" t="s">
        <v>59</v>
      </c>
      <c r="I2081" s="250" t="s">
        <v>438</v>
      </c>
    </row>
    <row r="2082" spans="1:9">
      <c r="A2082" s="246">
        <v>2078</v>
      </c>
      <c r="B2082" s="247" t="s">
        <v>226</v>
      </c>
      <c r="C2082" s="302" t="str">
        <f>"14032"</f>
        <v>14032</v>
      </c>
      <c r="D2082" s="247" t="s">
        <v>18</v>
      </c>
      <c r="E2082" s="248">
        <v>41</v>
      </c>
      <c r="F2082" s="249">
        <v>43220</v>
      </c>
      <c r="G2082" s="249">
        <v>45045</v>
      </c>
      <c r="H2082" s="247" t="s">
        <v>59</v>
      </c>
      <c r="I2082" s="250" t="s">
        <v>79</v>
      </c>
    </row>
    <row r="2083" spans="1:9">
      <c r="A2083" s="246">
        <v>2079</v>
      </c>
      <c r="B2083" s="247" t="s">
        <v>226</v>
      </c>
      <c r="C2083" s="302" t="str">
        <f>"14034"</f>
        <v>14034</v>
      </c>
      <c r="D2083" s="247" t="s">
        <v>18</v>
      </c>
      <c r="E2083" s="248">
        <v>104</v>
      </c>
      <c r="F2083" s="249">
        <v>43222</v>
      </c>
      <c r="G2083" s="249">
        <v>45047</v>
      </c>
      <c r="H2083" s="247" t="s">
        <v>14</v>
      </c>
      <c r="I2083" s="250" t="s">
        <v>79</v>
      </c>
    </row>
    <row r="2084" spans="1:9">
      <c r="A2084" s="246">
        <v>2080</v>
      </c>
      <c r="B2084" s="247" t="s">
        <v>226</v>
      </c>
      <c r="C2084" s="302" t="str">
        <f>"14035"</f>
        <v>14035</v>
      </c>
      <c r="D2084" s="247" t="s">
        <v>18</v>
      </c>
      <c r="E2084" s="248">
        <v>75</v>
      </c>
      <c r="F2084" s="249">
        <v>43222</v>
      </c>
      <c r="G2084" s="249">
        <v>45047</v>
      </c>
      <c r="H2084" s="247" t="s">
        <v>59</v>
      </c>
      <c r="I2084" s="250" t="s">
        <v>438</v>
      </c>
    </row>
    <row r="2085" spans="1:9">
      <c r="A2085" s="246">
        <v>2081</v>
      </c>
      <c r="B2085" s="247" t="s">
        <v>542</v>
      </c>
      <c r="C2085" s="302" t="str">
        <f>"14036"</f>
        <v>14036</v>
      </c>
      <c r="D2085" s="247" t="s">
        <v>23</v>
      </c>
      <c r="E2085" s="248">
        <v>1</v>
      </c>
      <c r="F2085" s="249">
        <v>43895</v>
      </c>
      <c r="G2085" s="249">
        <v>44259</v>
      </c>
      <c r="H2085" s="247" t="s">
        <v>16</v>
      </c>
      <c r="I2085" s="250" t="s">
        <v>3413</v>
      </c>
    </row>
    <row r="2086" spans="1:9">
      <c r="A2086" s="246">
        <v>2082</v>
      </c>
      <c r="B2086" s="247" t="s">
        <v>15</v>
      </c>
      <c r="C2086" s="302" t="str">
        <f>"14037"</f>
        <v>14037</v>
      </c>
      <c r="D2086" s="247" t="s">
        <v>21</v>
      </c>
      <c r="E2086" s="248">
        <v>5</v>
      </c>
      <c r="F2086" s="249">
        <v>43019</v>
      </c>
      <c r="G2086" s="249">
        <v>44844</v>
      </c>
      <c r="H2086" s="247" t="s">
        <v>16</v>
      </c>
      <c r="I2086" s="250" t="s">
        <v>3342</v>
      </c>
    </row>
    <row r="2087" spans="1:9">
      <c r="A2087" s="246">
        <v>2083</v>
      </c>
      <c r="B2087" s="247" t="s">
        <v>15</v>
      </c>
      <c r="C2087" s="302" t="str">
        <f>"14038"</f>
        <v>14038</v>
      </c>
      <c r="D2087" s="247" t="s">
        <v>21</v>
      </c>
      <c r="E2087" s="248">
        <v>4</v>
      </c>
      <c r="F2087" s="249">
        <v>43019</v>
      </c>
      <c r="G2087" s="249">
        <v>44844</v>
      </c>
      <c r="H2087" s="247" t="s">
        <v>16</v>
      </c>
      <c r="I2087" s="250" t="s">
        <v>3342</v>
      </c>
    </row>
    <row r="2088" spans="1:9">
      <c r="A2088" s="246">
        <v>2084</v>
      </c>
      <c r="B2088" s="247" t="s">
        <v>15</v>
      </c>
      <c r="C2088" s="302" t="str">
        <f>"14039"</f>
        <v>14039</v>
      </c>
      <c r="D2088" s="247" t="s">
        <v>21</v>
      </c>
      <c r="E2088" s="248">
        <v>4</v>
      </c>
      <c r="F2088" s="249">
        <v>43019</v>
      </c>
      <c r="G2088" s="249">
        <v>44844</v>
      </c>
      <c r="H2088" s="247" t="s">
        <v>16</v>
      </c>
      <c r="I2088" s="250" t="s">
        <v>3342</v>
      </c>
    </row>
    <row r="2089" spans="1:9">
      <c r="A2089" s="246">
        <v>2085</v>
      </c>
      <c r="B2089" s="247" t="s">
        <v>227</v>
      </c>
      <c r="C2089" s="302" t="str">
        <f>"14044"</f>
        <v>14044</v>
      </c>
      <c r="D2089" s="247" t="s">
        <v>13</v>
      </c>
      <c r="E2089" s="248">
        <v>74</v>
      </c>
      <c r="F2089" s="249">
        <v>43046</v>
      </c>
      <c r="G2089" s="249">
        <v>54002</v>
      </c>
      <c r="H2089" s="247" t="s">
        <v>16</v>
      </c>
      <c r="I2089" s="250" t="s">
        <v>79</v>
      </c>
    </row>
    <row r="2090" spans="1:9">
      <c r="A2090" s="246">
        <v>2086</v>
      </c>
      <c r="B2090" s="247" t="s">
        <v>3582</v>
      </c>
      <c r="C2090" s="302" t="str">
        <f>"14045"</f>
        <v>14045</v>
      </c>
      <c r="D2090" s="247" t="s">
        <v>18</v>
      </c>
      <c r="E2090" s="248">
        <v>1</v>
      </c>
      <c r="F2090" s="249">
        <v>43169</v>
      </c>
      <c r="G2090" s="249">
        <v>44994</v>
      </c>
      <c r="H2090" s="247" t="s">
        <v>31</v>
      </c>
      <c r="I2090" s="250" t="s">
        <v>438</v>
      </c>
    </row>
    <row r="2091" spans="1:9">
      <c r="A2091" s="246">
        <v>2087</v>
      </c>
      <c r="B2091" s="247" t="s">
        <v>228</v>
      </c>
      <c r="C2091" s="302" t="str">
        <f>"14048"</f>
        <v>14048</v>
      </c>
      <c r="D2091" s="247" t="s">
        <v>30</v>
      </c>
      <c r="E2091" s="248">
        <v>78</v>
      </c>
      <c r="F2091" s="249">
        <v>44074</v>
      </c>
      <c r="G2091" s="249">
        <v>45899</v>
      </c>
      <c r="H2091" s="247" t="s">
        <v>84</v>
      </c>
      <c r="I2091" s="250" t="s">
        <v>79</v>
      </c>
    </row>
    <row r="2092" spans="1:9">
      <c r="A2092" s="246">
        <v>2088</v>
      </c>
      <c r="B2092" s="247" t="s">
        <v>2064</v>
      </c>
      <c r="C2092" s="302" t="str">
        <f>"14049"</f>
        <v>14049</v>
      </c>
      <c r="D2092" s="247" t="s">
        <v>18</v>
      </c>
      <c r="E2092" s="248">
        <v>24</v>
      </c>
      <c r="F2092" s="249">
        <v>43169</v>
      </c>
      <c r="G2092" s="249">
        <v>44629</v>
      </c>
      <c r="H2092" s="247" t="s">
        <v>22</v>
      </c>
      <c r="I2092" s="250" t="s">
        <v>3369</v>
      </c>
    </row>
    <row r="2093" spans="1:9">
      <c r="A2093" s="246">
        <v>2089</v>
      </c>
      <c r="B2093" s="247" t="s">
        <v>229</v>
      </c>
      <c r="C2093" s="302" t="str">
        <f>"14050"</f>
        <v>14050</v>
      </c>
      <c r="D2093" s="247" t="s">
        <v>13</v>
      </c>
      <c r="E2093" s="248">
        <v>8</v>
      </c>
      <c r="F2093" s="249">
        <v>43711</v>
      </c>
      <c r="G2093" s="249">
        <v>52842</v>
      </c>
      <c r="H2093" s="247" t="s">
        <v>16</v>
      </c>
      <c r="I2093" s="250" t="s">
        <v>79</v>
      </c>
    </row>
    <row r="2094" spans="1:9">
      <c r="A2094" s="246">
        <v>2090</v>
      </c>
      <c r="B2094" s="247" t="s">
        <v>101</v>
      </c>
      <c r="C2094" s="302" t="str">
        <f>"14051"</f>
        <v>14051</v>
      </c>
      <c r="D2094" s="247" t="s">
        <v>13</v>
      </c>
      <c r="E2094" s="248">
        <v>16</v>
      </c>
      <c r="F2094" s="249">
        <v>42999</v>
      </c>
      <c r="G2094" s="249">
        <v>45385</v>
      </c>
      <c r="H2094" s="247" t="s">
        <v>16</v>
      </c>
      <c r="I2094" s="250" t="s">
        <v>79</v>
      </c>
    </row>
    <row r="2095" spans="1:9">
      <c r="A2095" s="246">
        <v>2091</v>
      </c>
      <c r="B2095" s="247" t="s">
        <v>43</v>
      </c>
      <c r="C2095" s="302" t="str">
        <f>"14052"</f>
        <v>14052</v>
      </c>
      <c r="D2095" s="247" t="s">
        <v>13</v>
      </c>
      <c r="E2095" s="248">
        <v>14</v>
      </c>
      <c r="F2095" s="249">
        <v>43000</v>
      </c>
      <c r="G2095" s="249">
        <v>51202</v>
      </c>
      <c r="H2095" s="247" t="s">
        <v>14</v>
      </c>
      <c r="I2095" s="250" t="s">
        <v>79</v>
      </c>
    </row>
    <row r="2096" spans="1:9">
      <c r="A2096" s="246">
        <v>2092</v>
      </c>
      <c r="B2096" s="247" t="s">
        <v>101</v>
      </c>
      <c r="C2096" s="302" t="str">
        <f>"14053"</f>
        <v>14053</v>
      </c>
      <c r="D2096" s="247" t="s">
        <v>13</v>
      </c>
      <c r="E2096" s="248">
        <v>18</v>
      </c>
      <c r="F2096" s="249">
        <v>43000</v>
      </c>
      <c r="G2096" s="249">
        <v>51202</v>
      </c>
      <c r="H2096" s="247" t="s">
        <v>14</v>
      </c>
      <c r="I2096" s="250" t="s">
        <v>79</v>
      </c>
    </row>
    <row r="2097" spans="1:9">
      <c r="A2097" s="246">
        <v>2093</v>
      </c>
      <c r="B2097" s="247" t="s">
        <v>3583</v>
      </c>
      <c r="C2097" s="302" t="str">
        <f>"14056"</f>
        <v>14056</v>
      </c>
      <c r="D2097" s="247" t="s">
        <v>18</v>
      </c>
      <c r="E2097" s="248">
        <v>60</v>
      </c>
      <c r="F2097" s="249">
        <v>43220</v>
      </c>
      <c r="G2097" s="249">
        <v>45045</v>
      </c>
      <c r="H2097" s="247" t="s">
        <v>219</v>
      </c>
      <c r="I2097" s="250" t="s">
        <v>438</v>
      </c>
    </row>
    <row r="2098" spans="1:9">
      <c r="A2098" s="246">
        <v>2094</v>
      </c>
      <c r="B2098" s="247" t="s">
        <v>418</v>
      </c>
      <c r="C2098" s="302" t="str">
        <f>"14057"</f>
        <v>14057</v>
      </c>
      <c r="D2098" s="247" t="s">
        <v>18</v>
      </c>
      <c r="E2098" s="248">
        <v>25</v>
      </c>
      <c r="F2098" s="249">
        <v>43169</v>
      </c>
      <c r="G2098" s="249">
        <v>44994</v>
      </c>
      <c r="H2098" s="247" t="s">
        <v>84</v>
      </c>
      <c r="I2098" s="250" t="s">
        <v>448</v>
      </c>
    </row>
    <row r="2099" spans="1:9">
      <c r="A2099" s="246">
        <v>2095</v>
      </c>
      <c r="B2099" s="247" t="s">
        <v>230</v>
      </c>
      <c r="C2099" s="302" t="str">
        <f>"14059"</f>
        <v>14059</v>
      </c>
      <c r="D2099" s="247" t="s">
        <v>18</v>
      </c>
      <c r="E2099" s="248">
        <v>25</v>
      </c>
      <c r="F2099" s="249">
        <v>43132</v>
      </c>
      <c r="G2099" s="249">
        <v>44592</v>
      </c>
      <c r="H2099" s="247" t="s">
        <v>59</v>
      </c>
      <c r="I2099" s="250" t="s">
        <v>79</v>
      </c>
    </row>
    <row r="2100" spans="1:9">
      <c r="A2100" s="246">
        <v>2096</v>
      </c>
      <c r="B2100" s="247" t="s">
        <v>15</v>
      </c>
      <c r="C2100" s="302" t="str">
        <f>"14062"</f>
        <v>14062</v>
      </c>
      <c r="D2100" s="247" t="s">
        <v>21</v>
      </c>
      <c r="E2100" s="248">
        <v>4</v>
      </c>
      <c r="F2100" s="249">
        <v>43300</v>
      </c>
      <c r="G2100" s="249">
        <v>45125</v>
      </c>
      <c r="H2100" s="247" t="s">
        <v>14</v>
      </c>
      <c r="I2100" s="250" t="s">
        <v>79</v>
      </c>
    </row>
    <row r="2101" spans="1:9">
      <c r="A2101" s="246">
        <v>2097</v>
      </c>
      <c r="B2101" s="247" t="s">
        <v>15</v>
      </c>
      <c r="C2101" s="302" t="str">
        <f>"14063"</f>
        <v>14063</v>
      </c>
      <c r="D2101" s="247" t="s">
        <v>21</v>
      </c>
      <c r="E2101" s="248">
        <v>4</v>
      </c>
      <c r="F2101" s="249">
        <v>43300</v>
      </c>
      <c r="G2101" s="249">
        <v>45125</v>
      </c>
      <c r="H2101" s="247" t="s">
        <v>16</v>
      </c>
      <c r="I2101" s="250" t="s">
        <v>79</v>
      </c>
    </row>
    <row r="2102" spans="1:9">
      <c r="A2102" s="246">
        <v>2098</v>
      </c>
      <c r="B2102" s="247" t="s">
        <v>15</v>
      </c>
      <c r="C2102" s="302" t="str">
        <f>"14064"</f>
        <v>14064</v>
      </c>
      <c r="D2102" s="247" t="s">
        <v>21</v>
      </c>
      <c r="E2102" s="248">
        <v>4</v>
      </c>
      <c r="F2102" s="249">
        <v>43300</v>
      </c>
      <c r="G2102" s="249">
        <v>45125</v>
      </c>
      <c r="H2102" s="247" t="s">
        <v>16</v>
      </c>
      <c r="I2102" s="250" t="s">
        <v>79</v>
      </c>
    </row>
    <row r="2103" spans="1:9">
      <c r="A2103" s="246">
        <v>2099</v>
      </c>
      <c r="B2103" s="247" t="s">
        <v>15</v>
      </c>
      <c r="C2103" s="302" t="str">
        <f>"14065"</f>
        <v>14065</v>
      </c>
      <c r="D2103" s="247" t="s">
        <v>21</v>
      </c>
      <c r="E2103" s="248">
        <v>4</v>
      </c>
      <c r="F2103" s="249">
        <v>43300</v>
      </c>
      <c r="G2103" s="249">
        <v>45125</v>
      </c>
      <c r="H2103" s="247" t="s">
        <v>16</v>
      </c>
      <c r="I2103" s="250" t="s">
        <v>79</v>
      </c>
    </row>
    <row r="2104" spans="1:9">
      <c r="A2104" s="246">
        <v>2100</v>
      </c>
      <c r="B2104" s="247" t="s">
        <v>15</v>
      </c>
      <c r="C2104" s="302" t="str">
        <f>"14066"</f>
        <v>14066</v>
      </c>
      <c r="D2104" s="247" t="s">
        <v>21</v>
      </c>
      <c r="E2104" s="248">
        <v>5</v>
      </c>
      <c r="F2104" s="249">
        <v>43300</v>
      </c>
      <c r="G2104" s="249">
        <v>45125</v>
      </c>
      <c r="H2104" s="247" t="s">
        <v>16</v>
      </c>
      <c r="I2104" s="250" t="s">
        <v>79</v>
      </c>
    </row>
    <row r="2105" spans="1:9">
      <c r="A2105" s="246">
        <v>2101</v>
      </c>
      <c r="B2105" s="247" t="s">
        <v>15</v>
      </c>
      <c r="C2105" s="302" t="str">
        <f>"14067"</f>
        <v>14067</v>
      </c>
      <c r="D2105" s="247" t="s">
        <v>21</v>
      </c>
      <c r="E2105" s="248">
        <v>4</v>
      </c>
      <c r="F2105" s="249">
        <v>43300</v>
      </c>
      <c r="G2105" s="249">
        <v>45125</v>
      </c>
      <c r="H2105" s="247" t="s">
        <v>16</v>
      </c>
      <c r="I2105" s="250" t="s">
        <v>79</v>
      </c>
    </row>
    <row r="2106" spans="1:9">
      <c r="A2106" s="246">
        <v>2102</v>
      </c>
      <c r="B2106" s="247" t="s">
        <v>231</v>
      </c>
      <c r="C2106" s="302" t="str">
        <f>"14070"</f>
        <v>14070</v>
      </c>
      <c r="D2106" s="247" t="s">
        <v>23</v>
      </c>
      <c r="E2106" s="248">
        <v>1</v>
      </c>
      <c r="F2106" s="249">
        <v>43119</v>
      </c>
      <c r="G2106" s="249">
        <v>43483</v>
      </c>
      <c r="H2106" s="247" t="s">
        <v>14</v>
      </c>
      <c r="I2106" s="250" t="s">
        <v>3413</v>
      </c>
    </row>
    <row r="2107" spans="1:9">
      <c r="A2107" s="246">
        <v>2103</v>
      </c>
      <c r="B2107" s="247" t="s">
        <v>231</v>
      </c>
      <c r="C2107" s="302" t="str">
        <f>"14071"</f>
        <v>14071</v>
      </c>
      <c r="D2107" s="247" t="s">
        <v>23</v>
      </c>
      <c r="E2107" s="248">
        <v>5</v>
      </c>
      <c r="F2107" s="249">
        <v>43119</v>
      </c>
      <c r="G2107" s="249">
        <v>43483</v>
      </c>
      <c r="H2107" s="247" t="s">
        <v>16</v>
      </c>
      <c r="I2107" s="250" t="s">
        <v>3413</v>
      </c>
    </row>
    <row r="2108" spans="1:9">
      <c r="A2108" s="246">
        <v>2104</v>
      </c>
      <c r="B2108" s="247" t="s">
        <v>231</v>
      </c>
      <c r="C2108" s="302" t="str">
        <f>"14072"</f>
        <v>14072</v>
      </c>
      <c r="D2108" s="247" t="s">
        <v>23</v>
      </c>
      <c r="E2108" s="248">
        <v>5</v>
      </c>
      <c r="F2108" s="249">
        <v>43119</v>
      </c>
      <c r="G2108" s="249">
        <v>43483</v>
      </c>
      <c r="H2108" s="247" t="s">
        <v>16</v>
      </c>
      <c r="I2108" s="250" t="s">
        <v>3413</v>
      </c>
    </row>
    <row r="2109" spans="1:9">
      <c r="A2109" s="246">
        <v>2105</v>
      </c>
      <c r="B2109" s="247" t="s">
        <v>231</v>
      </c>
      <c r="C2109" s="302" t="str">
        <f>"14073"</f>
        <v>14073</v>
      </c>
      <c r="D2109" s="247" t="s">
        <v>18</v>
      </c>
      <c r="E2109" s="248">
        <v>20</v>
      </c>
      <c r="F2109" s="249">
        <v>43531</v>
      </c>
      <c r="G2109" s="249">
        <v>45357</v>
      </c>
      <c r="H2109" s="247" t="s">
        <v>70</v>
      </c>
      <c r="I2109" s="250" t="s">
        <v>79</v>
      </c>
    </row>
    <row r="2110" spans="1:9">
      <c r="A2110" s="246">
        <v>2106</v>
      </c>
      <c r="B2110" s="247" t="s">
        <v>231</v>
      </c>
      <c r="C2110" s="302" t="str">
        <f>"14074"</f>
        <v>14074</v>
      </c>
      <c r="D2110" s="247" t="s">
        <v>18</v>
      </c>
      <c r="E2110" s="248">
        <v>14</v>
      </c>
      <c r="F2110" s="249">
        <v>43531</v>
      </c>
      <c r="G2110" s="249">
        <v>45357</v>
      </c>
      <c r="H2110" s="247" t="s">
        <v>16</v>
      </c>
      <c r="I2110" s="250" t="s">
        <v>79</v>
      </c>
    </row>
    <row r="2111" spans="1:9">
      <c r="A2111" s="246">
        <v>2107</v>
      </c>
      <c r="B2111" s="247" t="s">
        <v>3584</v>
      </c>
      <c r="C2111" s="302" t="str">
        <f>"14075"</f>
        <v>14075</v>
      </c>
      <c r="D2111" s="247" t="s">
        <v>23</v>
      </c>
      <c r="E2111" s="248">
        <v>4</v>
      </c>
      <c r="F2111" s="249">
        <v>43119</v>
      </c>
      <c r="G2111" s="249">
        <v>43483</v>
      </c>
      <c r="H2111" s="247" t="s">
        <v>16</v>
      </c>
      <c r="I2111" s="250" t="s">
        <v>433</v>
      </c>
    </row>
    <row r="2112" spans="1:9">
      <c r="A2112" s="246">
        <v>2108</v>
      </c>
      <c r="B2112" s="247" t="s">
        <v>232</v>
      </c>
      <c r="C2112" s="302" t="str">
        <f>"14076"</f>
        <v>14076</v>
      </c>
      <c r="D2112" s="247" t="s">
        <v>18</v>
      </c>
      <c r="E2112" s="248">
        <v>14</v>
      </c>
      <c r="F2112" s="249">
        <v>43169</v>
      </c>
      <c r="G2112" s="249">
        <v>44994</v>
      </c>
      <c r="H2112" s="247" t="s">
        <v>14</v>
      </c>
      <c r="I2112" s="250" t="s">
        <v>79</v>
      </c>
    </row>
    <row r="2113" spans="1:9">
      <c r="A2113" s="246">
        <v>2109</v>
      </c>
      <c r="B2113" s="247" t="s">
        <v>233</v>
      </c>
      <c r="C2113" s="302" t="str">
        <f>"14079"</f>
        <v>14079</v>
      </c>
      <c r="D2113" s="247" t="s">
        <v>18</v>
      </c>
      <c r="E2113" s="248">
        <v>13</v>
      </c>
      <c r="F2113" s="249">
        <v>43169</v>
      </c>
      <c r="G2113" s="249">
        <v>44994</v>
      </c>
      <c r="H2113" s="247" t="s">
        <v>70</v>
      </c>
      <c r="I2113" s="250" t="s">
        <v>79</v>
      </c>
    </row>
    <row r="2114" spans="1:9">
      <c r="A2114" s="246">
        <v>2110</v>
      </c>
      <c r="B2114" s="247" t="s">
        <v>233</v>
      </c>
      <c r="C2114" s="302" t="str">
        <f>"14081"</f>
        <v>14081</v>
      </c>
      <c r="D2114" s="247" t="s">
        <v>18</v>
      </c>
      <c r="E2114" s="248">
        <v>12</v>
      </c>
      <c r="F2114" s="249">
        <v>43169</v>
      </c>
      <c r="G2114" s="249">
        <v>44994</v>
      </c>
      <c r="H2114" s="247" t="s">
        <v>70</v>
      </c>
      <c r="I2114" s="250" t="s">
        <v>79</v>
      </c>
    </row>
    <row r="2115" spans="1:9">
      <c r="A2115" s="246">
        <v>2111</v>
      </c>
      <c r="B2115" s="247" t="s">
        <v>234</v>
      </c>
      <c r="C2115" s="302" t="str">
        <f>"14082"</f>
        <v>14082</v>
      </c>
      <c r="D2115" s="247" t="s">
        <v>21</v>
      </c>
      <c r="E2115" s="248">
        <v>2</v>
      </c>
      <c r="F2115" s="249">
        <v>44719</v>
      </c>
      <c r="G2115" s="249">
        <v>46544</v>
      </c>
      <c r="H2115" s="247" t="s">
        <v>19</v>
      </c>
      <c r="I2115" s="250" t="s">
        <v>79</v>
      </c>
    </row>
    <row r="2116" spans="1:9">
      <c r="A2116" s="246">
        <v>2112</v>
      </c>
      <c r="B2116" s="247" t="s">
        <v>3585</v>
      </c>
      <c r="C2116" s="302" t="str">
        <f>"14084"</f>
        <v>14084</v>
      </c>
      <c r="D2116" s="247" t="s">
        <v>18</v>
      </c>
      <c r="E2116" s="248">
        <v>10</v>
      </c>
      <c r="F2116" s="249">
        <v>43169</v>
      </c>
      <c r="G2116" s="249">
        <v>44629</v>
      </c>
      <c r="H2116" s="247" t="s">
        <v>25</v>
      </c>
      <c r="I2116" s="250" t="s">
        <v>448</v>
      </c>
    </row>
    <row r="2117" spans="1:9">
      <c r="A2117" s="246">
        <v>2113</v>
      </c>
      <c r="B2117" s="247" t="s">
        <v>3585</v>
      </c>
      <c r="C2117" s="302" t="str">
        <f>"14085"</f>
        <v>14085</v>
      </c>
      <c r="D2117" s="247" t="s">
        <v>18</v>
      </c>
      <c r="E2117" s="248">
        <v>10</v>
      </c>
      <c r="F2117" s="249">
        <v>43169</v>
      </c>
      <c r="G2117" s="249">
        <v>44629</v>
      </c>
      <c r="H2117" s="247" t="s">
        <v>25</v>
      </c>
      <c r="I2117" s="250" t="s">
        <v>448</v>
      </c>
    </row>
    <row r="2118" spans="1:9">
      <c r="A2118" s="246">
        <v>2114</v>
      </c>
      <c r="B2118" s="247" t="s">
        <v>2819</v>
      </c>
      <c r="C2118" s="302" t="str">
        <f>"14089"</f>
        <v>14089</v>
      </c>
      <c r="D2118" s="247" t="s">
        <v>18</v>
      </c>
      <c r="E2118" s="248">
        <v>16</v>
      </c>
      <c r="F2118" s="249">
        <v>43222</v>
      </c>
      <c r="G2118" s="249">
        <v>45047</v>
      </c>
      <c r="H2118" s="247" t="s">
        <v>14</v>
      </c>
      <c r="I2118" s="250" t="s">
        <v>3369</v>
      </c>
    </row>
    <row r="2119" spans="1:9">
      <c r="A2119" s="246">
        <v>2115</v>
      </c>
      <c r="B2119" s="247" t="s">
        <v>233</v>
      </c>
      <c r="C2119" s="302" t="str">
        <f>"14090"</f>
        <v>14090</v>
      </c>
      <c r="D2119" s="247" t="s">
        <v>18</v>
      </c>
      <c r="E2119" s="248">
        <v>10</v>
      </c>
      <c r="F2119" s="249">
        <v>43169</v>
      </c>
      <c r="G2119" s="249">
        <v>44994</v>
      </c>
      <c r="H2119" s="247" t="s">
        <v>31</v>
      </c>
      <c r="I2119" s="250" t="s">
        <v>79</v>
      </c>
    </row>
    <row r="2120" spans="1:9">
      <c r="A2120" s="246">
        <v>2116</v>
      </c>
      <c r="B2120" s="247" t="s">
        <v>233</v>
      </c>
      <c r="C2120" s="302" t="str">
        <f>"14091"</f>
        <v>14091</v>
      </c>
      <c r="D2120" s="247" t="s">
        <v>18</v>
      </c>
      <c r="E2120" s="248">
        <v>4</v>
      </c>
      <c r="F2120" s="249">
        <v>43169</v>
      </c>
      <c r="G2120" s="249">
        <v>44994</v>
      </c>
      <c r="H2120" s="247" t="s">
        <v>31</v>
      </c>
      <c r="I2120" s="250" t="s">
        <v>79</v>
      </c>
    </row>
    <row r="2121" spans="1:9">
      <c r="A2121" s="246">
        <v>2117</v>
      </c>
      <c r="B2121" s="247" t="s">
        <v>235</v>
      </c>
      <c r="C2121" s="302" t="str">
        <f>"14092"</f>
        <v>14092</v>
      </c>
      <c r="D2121" s="247" t="s">
        <v>13</v>
      </c>
      <c r="E2121" s="248">
        <v>15</v>
      </c>
      <c r="F2121" s="249">
        <v>43783</v>
      </c>
      <c r="G2121" s="249">
        <v>52914</v>
      </c>
      <c r="H2121" s="247" t="s">
        <v>19</v>
      </c>
      <c r="I2121" s="250" t="s">
        <v>79</v>
      </c>
    </row>
    <row r="2122" spans="1:9">
      <c r="A2122" s="246">
        <v>2118</v>
      </c>
      <c r="B2122" s="247" t="s">
        <v>235</v>
      </c>
      <c r="C2122" s="302" t="str">
        <f>"14093"</f>
        <v>14093</v>
      </c>
      <c r="D2122" s="247" t="s">
        <v>13</v>
      </c>
      <c r="E2122" s="248">
        <v>8</v>
      </c>
      <c r="F2122" s="249">
        <v>43783</v>
      </c>
      <c r="G2122" s="249">
        <v>52914</v>
      </c>
      <c r="H2122" s="247" t="s">
        <v>84</v>
      </c>
      <c r="I2122" s="250" t="s">
        <v>79</v>
      </c>
    </row>
    <row r="2123" spans="1:9">
      <c r="A2123" s="246">
        <v>2119</v>
      </c>
      <c r="B2123" s="247" t="s">
        <v>338</v>
      </c>
      <c r="C2123" s="302" t="str">
        <f>"14094"</f>
        <v>14094</v>
      </c>
      <c r="D2123" s="247" t="s">
        <v>18</v>
      </c>
      <c r="E2123" s="248">
        <v>6</v>
      </c>
      <c r="F2123" s="249">
        <v>43169</v>
      </c>
      <c r="G2123" s="249">
        <v>44994</v>
      </c>
      <c r="H2123" s="247" t="s">
        <v>19</v>
      </c>
      <c r="I2123" s="250" t="s">
        <v>438</v>
      </c>
    </row>
    <row r="2124" spans="1:9">
      <c r="A2124" s="246">
        <v>2120</v>
      </c>
      <c r="B2124" s="247" t="s">
        <v>236</v>
      </c>
      <c r="C2124" s="302" t="str">
        <f>"14095"</f>
        <v>14095</v>
      </c>
      <c r="D2124" s="247" t="s">
        <v>18</v>
      </c>
      <c r="E2124" s="248">
        <v>2</v>
      </c>
      <c r="F2124" s="249">
        <v>43169</v>
      </c>
      <c r="G2124" s="249">
        <v>44994</v>
      </c>
      <c r="H2124" s="247" t="s">
        <v>56</v>
      </c>
      <c r="I2124" s="250" t="s">
        <v>79</v>
      </c>
    </row>
    <row r="2125" spans="1:9">
      <c r="A2125" s="246">
        <v>2121</v>
      </c>
      <c r="B2125" s="247" t="s">
        <v>236</v>
      </c>
      <c r="C2125" s="302" t="str">
        <f>"14096"</f>
        <v>14096</v>
      </c>
      <c r="D2125" s="247" t="s">
        <v>13</v>
      </c>
      <c r="E2125" s="248">
        <v>20</v>
      </c>
      <c r="F2125" s="249">
        <v>43169</v>
      </c>
      <c r="G2125" s="249">
        <v>44994</v>
      </c>
      <c r="H2125" s="247" t="s">
        <v>56</v>
      </c>
      <c r="I2125" s="250" t="s">
        <v>3449</v>
      </c>
    </row>
    <row r="2126" spans="1:9">
      <c r="A2126" s="246">
        <v>2122</v>
      </c>
      <c r="B2126" s="247" t="s">
        <v>236</v>
      </c>
      <c r="C2126" s="302" t="str">
        <f>"14097"</f>
        <v>14097</v>
      </c>
      <c r="D2126" s="247" t="s">
        <v>18</v>
      </c>
      <c r="E2126" s="248">
        <v>4</v>
      </c>
      <c r="F2126" s="249">
        <v>43169</v>
      </c>
      <c r="G2126" s="249">
        <v>44994</v>
      </c>
      <c r="H2126" s="247" t="s">
        <v>56</v>
      </c>
      <c r="I2126" s="250" t="s">
        <v>79</v>
      </c>
    </row>
    <row r="2127" spans="1:9">
      <c r="A2127" s="246">
        <v>2123</v>
      </c>
      <c r="B2127" s="247" t="s">
        <v>237</v>
      </c>
      <c r="C2127" s="302" t="str">
        <f>"14098"</f>
        <v>14098</v>
      </c>
      <c r="D2127" s="247" t="s">
        <v>18</v>
      </c>
      <c r="E2127" s="248">
        <v>6</v>
      </c>
      <c r="F2127" s="249">
        <v>43169</v>
      </c>
      <c r="G2127" s="249">
        <v>44994</v>
      </c>
      <c r="H2127" s="247" t="s">
        <v>14</v>
      </c>
      <c r="I2127" s="250" t="s">
        <v>79</v>
      </c>
    </row>
    <row r="2128" spans="1:9">
      <c r="A2128" s="246">
        <v>2124</v>
      </c>
      <c r="B2128" s="247" t="s">
        <v>237</v>
      </c>
      <c r="C2128" s="302" t="str">
        <f>"14099"</f>
        <v>14099</v>
      </c>
      <c r="D2128" s="247" t="s">
        <v>18</v>
      </c>
      <c r="E2128" s="248">
        <v>8</v>
      </c>
      <c r="F2128" s="249">
        <v>43169</v>
      </c>
      <c r="G2128" s="249">
        <v>44994</v>
      </c>
      <c r="H2128" s="247" t="s">
        <v>14</v>
      </c>
      <c r="I2128" s="250" t="s">
        <v>79</v>
      </c>
    </row>
    <row r="2129" spans="1:9">
      <c r="A2129" s="246">
        <v>2125</v>
      </c>
      <c r="B2129" s="247" t="s">
        <v>237</v>
      </c>
      <c r="C2129" s="302" t="str">
        <f>"14100"</f>
        <v>14100</v>
      </c>
      <c r="D2129" s="247" t="s">
        <v>18</v>
      </c>
      <c r="E2129" s="248">
        <v>6</v>
      </c>
      <c r="F2129" s="249">
        <v>43169</v>
      </c>
      <c r="G2129" s="249">
        <v>44994</v>
      </c>
      <c r="H2129" s="247" t="s">
        <v>14</v>
      </c>
      <c r="I2129" s="250" t="s">
        <v>79</v>
      </c>
    </row>
    <row r="2130" spans="1:9">
      <c r="A2130" s="246">
        <v>2126</v>
      </c>
      <c r="B2130" s="247" t="s">
        <v>27</v>
      </c>
      <c r="C2130" s="302" t="str">
        <f>"14102"</f>
        <v>14102</v>
      </c>
      <c r="D2130" s="247" t="s">
        <v>18</v>
      </c>
      <c r="E2130" s="248">
        <v>39</v>
      </c>
      <c r="F2130" s="249">
        <v>43510</v>
      </c>
      <c r="G2130" s="249">
        <v>45335</v>
      </c>
      <c r="H2130" s="247" t="s">
        <v>14</v>
      </c>
      <c r="I2130" s="250" t="s">
        <v>79</v>
      </c>
    </row>
    <row r="2131" spans="1:9">
      <c r="A2131" s="246">
        <v>2127</v>
      </c>
      <c r="B2131" s="247" t="s">
        <v>2569</v>
      </c>
      <c r="C2131" s="302" t="str">
        <f>"14104"</f>
        <v>14104</v>
      </c>
      <c r="D2131" s="247" t="s">
        <v>18</v>
      </c>
      <c r="E2131" s="248">
        <v>8</v>
      </c>
      <c r="F2131" s="249">
        <v>43402</v>
      </c>
      <c r="G2131" s="249">
        <v>45227</v>
      </c>
      <c r="H2131" s="247" t="s">
        <v>84</v>
      </c>
      <c r="I2131" s="250" t="s">
        <v>438</v>
      </c>
    </row>
    <row r="2132" spans="1:9">
      <c r="A2132" s="246">
        <v>2128</v>
      </c>
      <c r="B2132" s="247" t="s">
        <v>238</v>
      </c>
      <c r="C2132" s="302" t="str">
        <f>"14105"</f>
        <v>14105</v>
      </c>
      <c r="D2132" s="247" t="s">
        <v>18</v>
      </c>
      <c r="E2132" s="248">
        <v>10</v>
      </c>
      <c r="F2132" s="249">
        <v>43160</v>
      </c>
      <c r="G2132" s="249">
        <v>44985</v>
      </c>
      <c r="H2132" s="247" t="s">
        <v>70</v>
      </c>
      <c r="I2132" s="250" t="s">
        <v>79</v>
      </c>
    </row>
    <row r="2133" spans="1:9">
      <c r="A2133" s="246">
        <v>2129</v>
      </c>
      <c r="B2133" s="247" t="s">
        <v>239</v>
      </c>
      <c r="C2133" s="302" t="str">
        <f>"14107"</f>
        <v>14107</v>
      </c>
      <c r="D2133" s="247" t="s">
        <v>18</v>
      </c>
      <c r="E2133" s="248">
        <v>15</v>
      </c>
      <c r="F2133" s="249">
        <v>43510</v>
      </c>
      <c r="G2133" s="249">
        <v>45335</v>
      </c>
      <c r="H2133" s="247" t="s">
        <v>16</v>
      </c>
      <c r="I2133" s="250" t="s">
        <v>79</v>
      </c>
    </row>
    <row r="2134" spans="1:9">
      <c r="A2134" s="246">
        <v>2130</v>
      </c>
      <c r="B2134" s="247" t="s">
        <v>240</v>
      </c>
      <c r="C2134" s="302" t="str">
        <f>"14110"</f>
        <v>14110</v>
      </c>
      <c r="D2134" s="247" t="s">
        <v>18</v>
      </c>
      <c r="E2134" s="248">
        <v>105</v>
      </c>
      <c r="F2134" s="249">
        <v>43222</v>
      </c>
      <c r="G2134" s="249">
        <v>45047</v>
      </c>
      <c r="H2134" s="247" t="s">
        <v>70</v>
      </c>
      <c r="I2134" s="250" t="s">
        <v>79</v>
      </c>
    </row>
    <row r="2135" spans="1:9">
      <c r="A2135" s="246">
        <v>2131</v>
      </c>
      <c r="B2135" s="247" t="s">
        <v>241</v>
      </c>
      <c r="C2135" s="302" t="str">
        <f>"14115"</f>
        <v>14115</v>
      </c>
      <c r="D2135" s="247" t="s">
        <v>18</v>
      </c>
      <c r="E2135" s="248">
        <v>5</v>
      </c>
      <c r="F2135" s="249">
        <v>43320</v>
      </c>
      <c r="G2135" s="249">
        <v>45145</v>
      </c>
      <c r="H2135" s="247" t="s">
        <v>14</v>
      </c>
      <c r="I2135" s="250" t="s">
        <v>79</v>
      </c>
    </row>
    <row r="2136" spans="1:9">
      <c r="A2136" s="246">
        <v>2132</v>
      </c>
      <c r="B2136" s="247" t="s">
        <v>242</v>
      </c>
      <c r="C2136" s="302" t="str">
        <f>"14128"</f>
        <v>14128</v>
      </c>
      <c r="D2136" s="247" t="s">
        <v>18</v>
      </c>
      <c r="E2136" s="248">
        <v>4</v>
      </c>
      <c r="F2136" s="249">
        <v>43377</v>
      </c>
      <c r="G2136" s="249">
        <v>45202</v>
      </c>
      <c r="H2136" s="247" t="s">
        <v>14</v>
      </c>
      <c r="I2136" s="250" t="s">
        <v>79</v>
      </c>
    </row>
    <row r="2137" spans="1:9">
      <c r="A2137" s="246">
        <v>2133</v>
      </c>
      <c r="B2137" s="247" t="s">
        <v>242</v>
      </c>
      <c r="C2137" s="302" t="str">
        <f>"14129"</f>
        <v>14129</v>
      </c>
      <c r="D2137" s="247" t="s">
        <v>18</v>
      </c>
      <c r="E2137" s="248">
        <v>4</v>
      </c>
      <c r="F2137" s="249">
        <v>43377</v>
      </c>
      <c r="G2137" s="249">
        <v>45202</v>
      </c>
      <c r="H2137" s="247" t="s">
        <v>14</v>
      </c>
      <c r="I2137" s="250" t="s">
        <v>79</v>
      </c>
    </row>
    <row r="2138" spans="1:9">
      <c r="A2138" s="246">
        <v>2134</v>
      </c>
      <c r="B2138" s="247" t="s">
        <v>242</v>
      </c>
      <c r="C2138" s="302" t="str">
        <f>"14130"</f>
        <v>14130</v>
      </c>
      <c r="D2138" s="247" t="s">
        <v>18</v>
      </c>
      <c r="E2138" s="248">
        <v>3</v>
      </c>
      <c r="F2138" s="249">
        <v>43377</v>
      </c>
      <c r="G2138" s="249">
        <v>45202</v>
      </c>
      <c r="H2138" s="247" t="s">
        <v>14</v>
      </c>
      <c r="I2138" s="250" t="s">
        <v>79</v>
      </c>
    </row>
    <row r="2139" spans="1:9">
      <c r="A2139" s="246">
        <v>2135</v>
      </c>
      <c r="B2139" s="247" t="s">
        <v>243</v>
      </c>
      <c r="C2139" s="302" t="str">
        <f>"14131"</f>
        <v>14131</v>
      </c>
      <c r="D2139" s="247" t="s">
        <v>13</v>
      </c>
      <c r="E2139" s="248">
        <v>67</v>
      </c>
      <c r="F2139" s="249">
        <v>43744</v>
      </c>
      <c r="G2139" s="249">
        <v>49222</v>
      </c>
      <c r="H2139" s="247" t="s">
        <v>14</v>
      </c>
      <c r="I2139" s="250" t="s">
        <v>79</v>
      </c>
    </row>
    <row r="2140" spans="1:9">
      <c r="A2140" s="246">
        <v>2136</v>
      </c>
      <c r="B2140" s="247" t="s">
        <v>244</v>
      </c>
      <c r="C2140" s="302" t="str">
        <f>"14132"</f>
        <v>14132</v>
      </c>
      <c r="D2140" s="247" t="s">
        <v>18</v>
      </c>
      <c r="E2140" s="248">
        <v>4</v>
      </c>
      <c r="F2140" s="249">
        <v>43377</v>
      </c>
      <c r="G2140" s="249">
        <v>45202</v>
      </c>
      <c r="H2140" s="247" t="s">
        <v>26</v>
      </c>
      <c r="I2140" s="250" t="s">
        <v>79</v>
      </c>
    </row>
    <row r="2141" spans="1:9">
      <c r="A2141" s="246">
        <v>2137</v>
      </c>
      <c r="B2141" s="247" t="s">
        <v>245</v>
      </c>
      <c r="C2141" s="302" t="str">
        <f>"14142"</f>
        <v>14142</v>
      </c>
      <c r="D2141" s="247" t="s">
        <v>18</v>
      </c>
      <c r="E2141" s="248">
        <v>16</v>
      </c>
      <c r="F2141" s="249">
        <v>43169</v>
      </c>
      <c r="G2141" s="249">
        <v>44994</v>
      </c>
      <c r="H2141" s="247" t="s">
        <v>14</v>
      </c>
      <c r="I2141" s="250" t="s">
        <v>79</v>
      </c>
    </row>
    <row r="2142" spans="1:9">
      <c r="A2142" s="246">
        <v>2138</v>
      </c>
      <c r="B2142" s="247" t="s">
        <v>245</v>
      </c>
      <c r="C2142" s="302" t="str">
        <f>"14143"</f>
        <v>14143</v>
      </c>
      <c r="D2142" s="247" t="s">
        <v>18</v>
      </c>
      <c r="E2142" s="248">
        <v>4</v>
      </c>
      <c r="F2142" s="249">
        <v>43169</v>
      </c>
      <c r="G2142" s="249">
        <v>44994</v>
      </c>
      <c r="H2142" s="247" t="s">
        <v>14</v>
      </c>
      <c r="I2142" s="250" t="s">
        <v>79</v>
      </c>
    </row>
    <row r="2143" spans="1:9">
      <c r="A2143" s="246">
        <v>2139</v>
      </c>
      <c r="B2143" s="247" t="s">
        <v>246</v>
      </c>
      <c r="C2143" s="302" t="str">
        <f>"14154"</f>
        <v>14154</v>
      </c>
      <c r="D2143" s="247" t="s">
        <v>18</v>
      </c>
      <c r="E2143" s="248">
        <v>4</v>
      </c>
      <c r="F2143" s="249">
        <v>43711</v>
      </c>
      <c r="G2143" s="249">
        <v>45537</v>
      </c>
      <c r="H2143" s="247" t="s">
        <v>70</v>
      </c>
      <c r="I2143" s="250" t="s">
        <v>79</v>
      </c>
    </row>
    <row r="2144" spans="1:9">
      <c r="A2144" s="246">
        <v>2140</v>
      </c>
      <c r="B2144" s="247" t="s">
        <v>247</v>
      </c>
      <c r="C2144" s="302" t="str">
        <f>"14159"</f>
        <v>14159</v>
      </c>
      <c r="D2144" s="247" t="s">
        <v>18</v>
      </c>
      <c r="E2144" s="248">
        <v>30</v>
      </c>
      <c r="F2144" s="249">
        <v>43615</v>
      </c>
      <c r="G2144" s="249">
        <v>45441</v>
      </c>
      <c r="H2144" s="247" t="s">
        <v>24</v>
      </c>
      <c r="I2144" s="250" t="s">
        <v>79</v>
      </c>
    </row>
    <row r="2145" spans="1:9">
      <c r="A2145" s="246">
        <v>2141</v>
      </c>
      <c r="B2145" s="247" t="s">
        <v>245</v>
      </c>
      <c r="C2145" s="302" t="str">
        <f>"14163"</f>
        <v>14163</v>
      </c>
      <c r="D2145" s="247" t="s">
        <v>18</v>
      </c>
      <c r="E2145" s="248">
        <v>13</v>
      </c>
      <c r="F2145" s="249">
        <v>43377</v>
      </c>
      <c r="G2145" s="249">
        <v>45202</v>
      </c>
      <c r="H2145" s="247" t="s">
        <v>14</v>
      </c>
      <c r="I2145" s="250" t="s">
        <v>79</v>
      </c>
    </row>
    <row r="2146" spans="1:9">
      <c r="A2146" s="246">
        <v>2142</v>
      </c>
      <c r="B2146" s="247" t="s">
        <v>245</v>
      </c>
      <c r="C2146" s="302" t="str">
        <f>"14164"</f>
        <v>14164</v>
      </c>
      <c r="D2146" s="247" t="s">
        <v>18</v>
      </c>
      <c r="E2146" s="248">
        <v>5</v>
      </c>
      <c r="F2146" s="249">
        <v>43377</v>
      </c>
      <c r="G2146" s="249">
        <v>45202</v>
      </c>
      <c r="H2146" s="247" t="s">
        <v>14</v>
      </c>
      <c r="I2146" s="250" t="s">
        <v>79</v>
      </c>
    </row>
    <row r="2147" spans="1:9">
      <c r="A2147" s="246">
        <v>2143</v>
      </c>
      <c r="B2147" s="247" t="s">
        <v>245</v>
      </c>
      <c r="C2147" s="302" t="str">
        <f>"14165"</f>
        <v>14165</v>
      </c>
      <c r="D2147" s="247" t="s">
        <v>18</v>
      </c>
      <c r="E2147" s="248">
        <v>1</v>
      </c>
      <c r="F2147" s="249">
        <v>43377</v>
      </c>
      <c r="G2147" s="249">
        <v>45202</v>
      </c>
      <c r="H2147" s="247" t="s">
        <v>14</v>
      </c>
      <c r="I2147" s="250" t="s">
        <v>79</v>
      </c>
    </row>
    <row r="2148" spans="1:9">
      <c r="A2148" s="246">
        <v>2144</v>
      </c>
      <c r="B2148" s="247" t="s">
        <v>245</v>
      </c>
      <c r="C2148" s="302" t="str">
        <f>"14166"</f>
        <v>14166</v>
      </c>
      <c r="D2148" s="247" t="s">
        <v>18</v>
      </c>
      <c r="E2148" s="248">
        <v>7</v>
      </c>
      <c r="F2148" s="249">
        <v>43377</v>
      </c>
      <c r="G2148" s="249">
        <v>45202</v>
      </c>
      <c r="H2148" s="247" t="s">
        <v>14</v>
      </c>
      <c r="I2148" s="250" t="s">
        <v>79</v>
      </c>
    </row>
    <row r="2149" spans="1:9">
      <c r="A2149" s="246">
        <v>2145</v>
      </c>
      <c r="B2149" s="247" t="s">
        <v>248</v>
      </c>
      <c r="C2149" s="302" t="str">
        <f>"14167"</f>
        <v>14167</v>
      </c>
      <c r="D2149" s="247" t="s">
        <v>18</v>
      </c>
      <c r="E2149" s="248">
        <v>5</v>
      </c>
      <c r="F2149" s="249">
        <v>43510</v>
      </c>
      <c r="G2149" s="249">
        <v>45335</v>
      </c>
      <c r="H2149" s="247" t="s">
        <v>16</v>
      </c>
      <c r="I2149" s="250" t="s">
        <v>79</v>
      </c>
    </row>
    <row r="2150" spans="1:9">
      <c r="A2150" s="246">
        <v>2146</v>
      </c>
      <c r="B2150" s="247" t="s">
        <v>248</v>
      </c>
      <c r="C2150" s="302" t="str">
        <f>"14168"</f>
        <v>14168</v>
      </c>
      <c r="D2150" s="247" t="s">
        <v>18</v>
      </c>
      <c r="E2150" s="248">
        <v>5</v>
      </c>
      <c r="F2150" s="249">
        <v>43546</v>
      </c>
      <c r="G2150" s="249">
        <v>45372</v>
      </c>
      <c r="H2150" s="247" t="s">
        <v>14</v>
      </c>
      <c r="I2150" s="250" t="s">
        <v>79</v>
      </c>
    </row>
    <row r="2151" spans="1:9">
      <c r="A2151" s="246">
        <v>2147</v>
      </c>
      <c r="B2151" s="247" t="s">
        <v>249</v>
      </c>
      <c r="C2151" s="302" t="str">
        <f>"14169"</f>
        <v>14169</v>
      </c>
      <c r="D2151" s="247" t="s">
        <v>13</v>
      </c>
      <c r="E2151" s="248">
        <v>30</v>
      </c>
      <c r="F2151" s="249">
        <v>44218</v>
      </c>
      <c r="G2151" s="249">
        <v>53348</v>
      </c>
      <c r="H2151" s="247" t="s">
        <v>59</v>
      </c>
      <c r="I2151" s="250" t="s">
        <v>79</v>
      </c>
    </row>
    <row r="2152" spans="1:9">
      <c r="A2152" s="246">
        <v>2148</v>
      </c>
      <c r="B2152" s="247" t="s">
        <v>246</v>
      </c>
      <c r="C2152" s="302" t="str">
        <f>"14170"</f>
        <v>14170</v>
      </c>
      <c r="D2152" s="247" t="s">
        <v>23</v>
      </c>
      <c r="E2152" s="248">
        <v>2</v>
      </c>
      <c r="F2152" s="249">
        <v>44277</v>
      </c>
      <c r="G2152" s="249">
        <v>44641</v>
      </c>
      <c r="H2152" s="247" t="s">
        <v>14</v>
      </c>
      <c r="I2152" s="250" t="s">
        <v>3413</v>
      </c>
    </row>
    <row r="2153" spans="1:9">
      <c r="A2153" s="246">
        <v>2149</v>
      </c>
      <c r="B2153" s="247" t="s">
        <v>3586</v>
      </c>
      <c r="C2153" s="302" t="str">
        <f>"14172"</f>
        <v>14172</v>
      </c>
      <c r="D2153" s="247" t="s">
        <v>18</v>
      </c>
      <c r="E2153" s="248">
        <v>8</v>
      </c>
      <c r="F2153" s="249">
        <v>43493</v>
      </c>
      <c r="G2153" s="249">
        <v>45318</v>
      </c>
      <c r="H2153" s="247" t="s">
        <v>73</v>
      </c>
      <c r="I2153" s="250" t="s">
        <v>438</v>
      </c>
    </row>
    <row r="2154" spans="1:9">
      <c r="A2154" s="246">
        <v>2150</v>
      </c>
      <c r="B2154" s="247" t="s">
        <v>3586</v>
      </c>
      <c r="C2154" s="302" t="str">
        <f>"14173"</f>
        <v>14173</v>
      </c>
      <c r="D2154" s="247" t="s">
        <v>18</v>
      </c>
      <c r="E2154" s="248">
        <v>13</v>
      </c>
      <c r="F2154" s="249">
        <v>43493</v>
      </c>
      <c r="G2154" s="249">
        <v>45318</v>
      </c>
      <c r="H2154" s="247" t="s">
        <v>73</v>
      </c>
      <c r="I2154" s="250" t="s">
        <v>438</v>
      </c>
    </row>
    <row r="2155" spans="1:9">
      <c r="A2155" s="246">
        <v>2151</v>
      </c>
      <c r="B2155" s="247" t="s">
        <v>250</v>
      </c>
      <c r="C2155" s="302" t="str">
        <f>"14177"</f>
        <v>14177</v>
      </c>
      <c r="D2155" s="247" t="s">
        <v>18</v>
      </c>
      <c r="E2155" s="248">
        <v>8</v>
      </c>
      <c r="F2155" s="249">
        <v>43374</v>
      </c>
      <c r="G2155" s="249">
        <v>45199</v>
      </c>
      <c r="H2155" s="247" t="s">
        <v>16</v>
      </c>
      <c r="I2155" s="250" t="s">
        <v>79</v>
      </c>
    </row>
    <row r="2156" spans="1:9">
      <c r="A2156" s="246">
        <v>2152</v>
      </c>
      <c r="B2156" s="247" t="s">
        <v>3587</v>
      </c>
      <c r="C2156" s="302" t="str">
        <f>"14180"</f>
        <v>14180</v>
      </c>
      <c r="D2156" s="247" t="s">
        <v>18</v>
      </c>
      <c r="E2156" s="248">
        <v>29</v>
      </c>
      <c r="F2156" s="249">
        <v>43153</v>
      </c>
      <c r="G2156" s="249">
        <v>44978</v>
      </c>
      <c r="H2156" s="247" t="s">
        <v>16</v>
      </c>
      <c r="I2156" s="250" t="s">
        <v>438</v>
      </c>
    </row>
    <row r="2157" spans="1:9">
      <c r="A2157" s="246">
        <v>2153</v>
      </c>
      <c r="B2157" s="247" t="s">
        <v>3587</v>
      </c>
      <c r="C2157" s="302" t="str">
        <f>"14181"</f>
        <v>14181</v>
      </c>
      <c r="D2157" s="247" t="s">
        <v>18</v>
      </c>
      <c r="E2157" s="248">
        <v>7</v>
      </c>
      <c r="F2157" s="249">
        <v>43153</v>
      </c>
      <c r="G2157" s="249">
        <v>44978</v>
      </c>
      <c r="H2157" s="247" t="s">
        <v>16</v>
      </c>
      <c r="I2157" s="250" t="s">
        <v>438</v>
      </c>
    </row>
    <row r="2158" spans="1:9">
      <c r="A2158" s="246">
        <v>2154</v>
      </c>
      <c r="B2158" s="247" t="s">
        <v>51</v>
      </c>
      <c r="C2158" s="302" t="str">
        <f>"14182"</f>
        <v>14182</v>
      </c>
      <c r="D2158" s="247" t="s">
        <v>18</v>
      </c>
      <c r="E2158" s="248">
        <v>28</v>
      </c>
      <c r="F2158" s="249">
        <v>43374</v>
      </c>
      <c r="G2158" s="249">
        <v>45199</v>
      </c>
      <c r="H2158" s="247" t="s">
        <v>22</v>
      </c>
      <c r="I2158" s="250" t="s">
        <v>79</v>
      </c>
    </row>
    <row r="2159" spans="1:9">
      <c r="A2159" s="246">
        <v>2155</v>
      </c>
      <c r="B2159" s="247" t="s">
        <v>51</v>
      </c>
      <c r="C2159" s="302" t="str">
        <f>"14183"</f>
        <v>14183</v>
      </c>
      <c r="D2159" s="247" t="s">
        <v>18</v>
      </c>
      <c r="E2159" s="248">
        <v>6</v>
      </c>
      <c r="F2159" s="249">
        <v>43374</v>
      </c>
      <c r="G2159" s="249">
        <v>45199</v>
      </c>
      <c r="H2159" s="247" t="s">
        <v>22</v>
      </c>
      <c r="I2159" s="250" t="s">
        <v>79</v>
      </c>
    </row>
    <row r="2160" spans="1:9">
      <c r="A2160" s="246">
        <v>2156</v>
      </c>
      <c r="B2160" s="247" t="s">
        <v>51</v>
      </c>
      <c r="C2160" s="302" t="str">
        <f>"14184"</f>
        <v>14184</v>
      </c>
      <c r="D2160" s="247" t="s">
        <v>18</v>
      </c>
      <c r="E2160" s="248">
        <v>26</v>
      </c>
      <c r="F2160" s="249">
        <v>43374</v>
      </c>
      <c r="G2160" s="249">
        <v>45229</v>
      </c>
      <c r="H2160" s="247" t="s">
        <v>22</v>
      </c>
      <c r="I2160" s="250" t="s">
        <v>79</v>
      </c>
    </row>
    <row r="2161" spans="1:9">
      <c r="A2161" s="246">
        <v>2157</v>
      </c>
      <c r="B2161" s="247" t="s">
        <v>51</v>
      </c>
      <c r="C2161" s="302" t="str">
        <f>"14185"</f>
        <v>14185</v>
      </c>
      <c r="D2161" s="247" t="s">
        <v>18</v>
      </c>
      <c r="E2161" s="248">
        <v>11</v>
      </c>
      <c r="F2161" s="249">
        <v>43374</v>
      </c>
      <c r="G2161" s="249">
        <v>45199</v>
      </c>
      <c r="H2161" s="247" t="s">
        <v>22</v>
      </c>
      <c r="I2161" s="250" t="s">
        <v>79</v>
      </c>
    </row>
    <row r="2162" spans="1:9">
      <c r="A2162" s="246">
        <v>2158</v>
      </c>
      <c r="B2162" s="247" t="s">
        <v>51</v>
      </c>
      <c r="C2162" s="302" t="str">
        <f>"14186"</f>
        <v>14186</v>
      </c>
      <c r="D2162" s="247" t="s">
        <v>18</v>
      </c>
      <c r="E2162" s="248">
        <v>38</v>
      </c>
      <c r="F2162" s="249">
        <v>43374</v>
      </c>
      <c r="G2162" s="249">
        <v>45199</v>
      </c>
      <c r="H2162" s="247" t="s">
        <v>22</v>
      </c>
      <c r="I2162" s="250" t="s">
        <v>79</v>
      </c>
    </row>
    <row r="2163" spans="1:9">
      <c r="A2163" s="246">
        <v>2159</v>
      </c>
      <c r="B2163" s="247" t="s">
        <v>51</v>
      </c>
      <c r="C2163" s="302" t="str">
        <f>"14187"</f>
        <v>14187</v>
      </c>
      <c r="D2163" s="247" t="s">
        <v>18</v>
      </c>
      <c r="E2163" s="248">
        <v>180</v>
      </c>
      <c r="F2163" s="249">
        <v>43374</v>
      </c>
      <c r="G2163" s="249">
        <v>45199</v>
      </c>
      <c r="H2163" s="247" t="s">
        <v>22</v>
      </c>
      <c r="I2163" s="250" t="s">
        <v>79</v>
      </c>
    </row>
    <row r="2164" spans="1:9">
      <c r="A2164" s="246">
        <v>2160</v>
      </c>
      <c r="B2164" s="247" t="s">
        <v>51</v>
      </c>
      <c r="C2164" s="302" t="str">
        <f>"14188"</f>
        <v>14188</v>
      </c>
      <c r="D2164" s="247" t="s">
        <v>18</v>
      </c>
      <c r="E2164" s="248">
        <v>16</v>
      </c>
      <c r="F2164" s="249">
        <v>43374</v>
      </c>
      <c r="G2164" s="249">
        <v>45199</v>
      </c>
      <c r="H2164" s="247" t="s">
        <v>22</v>
      </c>
      <c r="I2164" s="250" t="s">
        <v>79</v>
      </c>
    </row>
    <row r="2165" spans="1:9">
      <c r="A2165" s="246">
        <v>2161</v>
      </c>
      <c r="B2165" s="247" t="s">
        <v>238</v>
      </c>
      <c r="C2165" s="302" t="str">
        <f>"14189"</f>
        <v>14189</v>
      </c>
      <c r="D2165" s="247" t="s">
        <v>13</v>
      </c>
      <c r="E2165" s="248">
        <v>56</v>
      </c>
      <c r="F2165" s="249">
        <v>43444</v>
      </c>
      <c r="G2165" s="249">
        <v>52574</v>
      </c>
      <c r="H2165" s="247" t="s">
        <v>14</v>
      </c>
      <c r="I2165" s="250" t="s">
        <v>79</v>
      </c>
    </row>
    <row r="2166" spans="1:9">
      <c r="A2166" s="246">
        <v>2162</v>
      </c>
      <c r="B2166" s="247" t="s">
        <v>251</v>
      </c>
      <c r="C2166" s="302" t="str">
        <f>"14190"</f>
        <v>14190</v>
      </c>
      <c r="D2166" s="247" t="s">
        <v>18</v>
      </c>
      <c r="E2166" s="248">
        <v>6</v>
      </c>
      <c r="F2166" s="249">
        <v>43560</v>
      </c>
      <c r="G2166" s="249">
        <v>45386</v>
      </c>
      <c r="H2166" s="247" t="s">
        <v>56</v>
      </c>
      <c r="I2166" s="250" t="s">
        <v>79</v>
      </c>
    </row>
    <row r="2167" spans="1:9">
      <c r="A2167" s="246">
        <v>2163</v>
      </c>
      <c r="B2167" s="247" t="s">
        <v>251</v>
      </c>
      <c r="C2167" s="302" t="str">
        <f>"14191"</f>
        <v>14191</v>
      </c>
      <c r="D2167" s="247" t="s">
        <v>18</v>
      </c>
      <c r="E2167" s="248">
        <v>5</v>
      </c>
      <c r="F2167" s="249">
        <v>43560</v>
      </c>
      <c r="G2167" s="249">
        <v>45386</v>
      </c>
      <c r="H2167" s="247" t="s">
        <v>56</v>
      </c>
      <c r="I2167" s="250" t="s">
        <v>79</v>
      </c>
    </row>
    <row r="2168" spans="1:9">
      <c r="A2168" s="246">
        <v>2164</v>
      </c>
      <c r="B2168" s="247" t="s">
        <v>251</v>
      </c>
      <c r="C2168" s="302" t="str">
        <f>"14192"</f>
        <v>14192</v>
      </c>
      <c r="D2168" s="247" t="s">
        <v>18</v>
      </c>
      <c r="E2168" s="248">
        <v>4</v>
      </c>
      <c r="F2168" s="249">
        <v>43560</v>
      </c>
      <c r="G2168" s="249">
        <v>45386</v>
      </c>
      <c r="H2168" s="247" t="s">
        <v>56</v>
      </c>
      <c r="I2168" s="250" t="s">
        <v>79</v>
      </c>
    </row>
    <row r="2169" spans="1:9">
      <c r="A2169" s="246">
        <v>2165</v>
      </c>
      <c r="B2169" s="247" t="s">
        <v>252</v>
      </c>
      <c r="C2169" s="302" t="str">
        <f>"14195"</f>
        <v>14195</v>
      </c>
      <c r="D2169" s="247" t="s">
        <v>18</v>
      </c>
      <c r="E2169" s="248">
        <v>2</v>
      </c>
      <c r="F2169" s="249">
        <v>43153</v>
      </c>
      <c r="G2169" s="249">
        <v>44978</v>
      </c>
      <c r="H2169" s="247" t="s">
        <v>84</v>
      </c>
      <c r="I2169" s="250" t="s">
        <v>79</v>
      </c>
    </row>
    <row r="2170" spans="1:9">
      <c r="A2170" s="246">
        <v>2166</v>
      </c>
      <c r="B2170" s="247" t="s">
        <v>126</v>
      </c>
      <c r="C2170" s="302" t="str">
        <f>"14198"</f>
        <v>14198</v>
      </c>
      <c r="D2170" s="247" t="s">
        <v>18</v>
      </c>
      <c r="E2170" s="248">
        <v>19</v>
      </c>
      <c r="F2170" s="249">
        <v>43493</v>
      </c>
      <c r="G2170" s="249">
        <v>45318</v>
      </c>
      <c r="H2170" s="247" t="s">
        <v>16</v>
      </c>
      <c r="I2170" s="250" t="s">
        <v>79</v>
      </c>
    </row>
    <row r="2171" spans="1:9">
      <c r="A2171" s="246">
        <v>2167</v>
      </c>
      <c r="B2171" s="247" t="s">
        <v>253</v>
      </c>
      <c r="C2171" s="302" t="str">
        <f>"14199"</f>
        <v>14199</v>
      </c>
      <c r="D2171" s="247" t="s">
        <v>18</v>
      </c>
      <c r="E2171" s="248">
        <v>3</v>
      </c>
      <c r="F2171" s="249">
        <v>43493</v>
      </c>
      <c r="G2171" s="249">
        <v>45318</v>
      </c>
      <c r="H2171" s="247" t="s">
        <v>14</v>
      </c>
      <c r="I2171" s="250" t="s">
        <v>79</v>
      </c>
    </row>
    <row r="2172" spans="1:9">
      <c r="A2172" s="246">
        <v>2168</v>
      </c>
      <c r="B2172" s="247" t="s">
        <v>254</v>
      </c>
      <c r="C2172" s="302" t="str">
        <f>"14209"</f>
        <v>14209</v>
      </c>
      <c r="D2172" s="247" t="s">
        <v>18</v>
      </c>
      <c r="E2172" s="248">
        <v>1</v>
      </c>
      <c r="F2172" s="249">
        <v>43493</v>
      </c>
      <c r="G2172" s="249">
        <v>45318</v>
      </c>
      <c r="H2172" s="247" t="s">
        <v>24</v>
      </c>
      <c r="I2172" s="250" t="s">
        <v>79</v>
      </c>
    </row>
    <row r="2173" spans="1:9">
      <c r="A2173" s="246">
        <v>2169</v>
      </c>
      <c r="B2173" s="247" t="s">
        <v>254</v>
      </c>
      <c r="C2173" s="302" t="str">
        <f>"14210"</f>
        <v>14210</v>
      </c>
      <c r="D2173" s="247" t="s">
        <v>18</v>
      </c>
      <c r="E2173" s="248">
        <v>1</v>
      </c>
      <c r="F2173" s="249">
        <v>43493</v>
      </c>
      <c r="G2173" s="249">
        <v>45318</v>
      </c>
      <c r="H2173" s="247" t="s">
        <v>24</v>
      </c>
      <c r="I2173" s="250" t="s">
        <v>79</v>
      </c>
    </row>
    <row r="2174" spans="1:9">
      <c r="A2174" s="246">
        <v>2170</v>
      </c>
      <c r="B2174" s="247" t="s">
        <v>254</v>
      </c>
      <c r="C2174" s="302" t="str">
        <f>"14211"</f>
        <v>14211</v>
      </c>
      <c r="D2174" s="247" t="s">
        <v>18</v>
      </c>
      <c r="E2174" s="248">
        <v>1</v>
      </c>
      <c r="F2174" s="249">
        <v>43493</v>
      </c>
      <c r="G2174" s="249">
        <v>45318</v>
      </c>
      <c r="H2174" s="247" t="s">
        <v>25</v>
      </c>
      <c r="I2174" s="250" t="s">
        <v>79</v>
      </c>
    </row>
    <row r="2175" spans="1:9">
      <c r="A2175" s="246">
        <v>2171</v>
      </c>
      <c r="B2175" s="247" t="s">
        <v>254</v>
      </c>
      <c r="C2175" s="302" t="str">
        <f>"14212"</f>
        <v>14212</v>
      </c>
      <c r="D2175" s="247" t="s">
        <v>18</v>
      </c>
      <c r="E2175" s="248">
        <v>1</v>
      </c>
      <c r="F2175" s="249">
        <v>43493</v>
      </c>
      <c r="G2175" s="249">
        <v>45318</v>
      </c>
      <c r="H2175" s="247" t="s">
        <v>25</v>
      </c>
      <c r="I2175" s="250" t="s">
        <v>79</v>
      </c>
    </row>
    <row r="2176" spans="1:9">
      <c r="A2176" s="246">
        <v>2172</v>
      </c>
      <c r="B2176" s="247" t="s">
        <v>254</v>
      </c>
      <c r="C2176" s="302" t="str">
        <f>"14213"</f>
        <v>14213</v>
      </c>
      <c r="D2176" s="247" t="s">
        <v>18</v>
      </c>
      <c r="E2176" s="248">
        <v>2</v>
      </c>
      <c r="F2176" s="249">
        <v>43493</v>
      </c>
      <c r="G2176" s="249">
        <v>45318</v>
      </c>
      <c r="H2176" s="247" t="s">
        <v>24</v>
      </c>
      <c r="I2176" s="250" t="s">
        <v>79</v>
      </c>
    </row>
    <row r="2177" spans="1:9">
      <c r="A2177" s="246">
        <v>2173</v>
      </c>
      <c r="B2177" s="247" t="s">
        <v>3588</v>
      </c>
      <c r="C2177" s="302" t="str">
        <f>"14214"</f>
        <v>14214</v>
      </c>
      <c r="D2177" s="247" t="s">
        <v>18</v>
      </c>
      <c r="E2177" s="248">
        <v>3</v>
      </c>
      <c r="F2177" s="249">
        <v>43493</v>
      </c>
      <c r="G2177" s="249">
        <v>45318</v>
      </c>
      <c r="H2177" s="247" t="s">
        <v>14</v>
      </c>
      <c r="I2177" s="250" t="s">
        <v>437</v>
      </c>
    </row>
    <row r="2178" spans="1:9">
      <c r="A2178" s="246">
        <v>2174</v>
      </c>
      <c r="B2178" s="247" t="s">
        <v>3588</v>
      </c>
      <c r="C2178" s="302" t="str">
        <f>"14220"</f>
        <v>14220</v>
      </c>
      <c r="D2178" s="247" t="s">
        <v>18</v>
      </c>
      <c r="E2178" s="248">
        <v>1</v>
      </c>
      <c r="F2178" s="249">
        <v>43493</v>
      </c>
      <c r="G2178" s="249">
        <v>45318</v>
      </c>
      <c r="H2178" s="247" t="s">
        <v>14</v>
      </c>
      <c r="I2178" s="250" t="s">
        <v>437</v>
      </c>
    </row>
    <row r="2179" spans="1:9">
      <c r="A2179" s="246">
        <v>2175</v>
      </c>
      <c r="B2179" s="247" t="s">
        <v>2880</v>
      </c>
      <c r="C2179" s="302" t="str">
        <f>"14221"</f>
        <v>14221</v>
      </c>
      <c r="D2179" s="247" t="s">
        <v>18</v>
      </c>
      <c r="E2179" s="248">
        <v>5</v>
      </c>
      <c r="F2179" s="249">
        <v>43529</v>
      </c>
      <c r="G2179" s="249">
        <v>45355</v>
      </c>
      <c r="H2179" s="247" t="s">
        <v>14</v>
      </c>
      <c r="I2179" s="250" t="s">
        <v>438</v>
      </c>
    </row>
    <row r="2180" spans="1:9">
      <c r="A2180" s="246">
        <v>2176</v>
      </c>
      <c r="B2180" s="247" t="s">
        <v>255</v>
      </c>
      <c r="C2180" s="302" t="str">
        <f>"14222"</f>
        <v>14222</v>
      </c>
      <c r="D2180" s="247" t="s">
        <v>18</v>
      </c>
      <c r="E2180" s="248">
        <v>2</v>
      </c>
      <c r="F2180" s="249">
        <v>43550</v>
      </c>
      <c r="G2180" s="249">
        <v>45376</v>
      </c>
      <c r="H2180" s="247" t="s">
        <v>26</v>
      </c>
      <c r="I2180" s="250" t="s">
        <v>79</v>
      </c>
    </row>
    <row r="2181" spans="1:9">
      <c r="A2181" s="246">
        <v>2177</v>
      </c>
      <c r="B2181" s="247" t="s">
        <v>256</v>
      </c>
      <c r="C2181" s="302" t="str">
        <f>"14223"</f>
        <v>14223</v>
      </c>
      <c r="D2181" s="247" t="s">
        <v>18</v>
      </c>
      <c r="E2181" s="248">
        <v>2</v>
      </c>
      <c r="F2181" s="249">
        <v>43493</v>
      </c>
      <c r="G2181" s="249">
        <v>45318</v>
      </c>
      <c r="H2181" s="247" t="s">
        <v>31</v>
      </c>
      <c r="I2181" s="250" t="s">
        <v>79</v>
      </c>
    </row>
    <row r="2182" spans="1:9">
      <c r="A2182" s="246">
        <v>2178</v>
      </c>
      <c r="B2182" s="247" t="s">
        <v>245</v>
      </c>
      <c r="C2182" s="302" t="str">
        <f>"14224"</f>
        <v>14224</v>
      </c>
      <c r="D2182" s="247" t="s">
        <v>23</v>
      </c>
      <c r="E2182" s="248">
        <v>4</v>
      </c>
      <c r="F2182" s="249">
        <v>43543</v>
      </c>
      <c r="G2182" s="249">
        <v>43908</v>
      </c>
      <c r="H2182" s="247" t="s">
        <v>16</v>
      </c>
      <c r="I2182" s="250" t="s">
        <v>3413</v>
      </c>
    </row>
    <row r="2183" spans="1:9">
      <c r="A2183" s="246">
        <v>2179</v>
      </c>
      <c r="B2183" s="247" t="s">
        <v>257</v>
      </c>
      <c r="C2183" s="302" t="str">
        <f>"14229"</f>
        <v>14229</v>
      </c>
      <c r="D2183" s="247" t="s">
        <v>18</v>
      </c>
      <c r="E2183" s="248">
        <v>1</v>
      </c>
      <c r="F2183" s="249">
        <v>43419</v>
      </c>
      <c r="G2183" s="249">
        <v>45244</v>
      </c>
      <c r="H2183" s="247" t="s">
        <v>84</v>
      </c>
      <c r="I2183" s="250" t="s">
        <v>79</v>
      </c>
    </row>
    <row r="2184" spans="1:9">
      <c r="A2184" s="246">
        <v>2180</v>
      </c>
      <c r="B2184" s="247" t="s">
        <v>258</v>
      </c>
      <c r="C2184" s="302" t="str">
        <f>"14231"</f>
        <v>14231</v>
      </c>
      <c r="D2184" s="247" t="s">
        <v>18</v>
      </c>
      <c r="E2184" s="248">
        <v>12</v>
      </c>
      <c r="F2184" s="249">
        <v>43493</v>
      </c>
      <c r="G2184" s="249">
        <v>45318</v>
      </c>
      <c r="H2184" s="247" t="s">
        <v>14</v>
      </c>
      <c r="I2184" s="250" t="s">
        <v>79</v>
      </c>
    </row>
    <row r="2185" spans="1:9">
      <c r="A2185" s="246">
        <v>2181</v>
      </c>
      <c r="B2185" s="247" t="s">
        <v>259</v>
      </c>
      <c r="C2185" s="302" t="str">
        <f>"14232"</f>
        <v>14232</v>
      </c>
      <c r="D2185" s="247" t="s">
        <v>18</v>
      </c>
      <c r="E2185" s="248">
        <v>3</v>
      </c>
      <c r="F2185" s="249">
        <v>43493</v>
      </c>
      <c r="G2185" s="249">
        <v>45318</v>
      </c>
      <c r="H2185" s="247" t="s">
        <v>14</v>
      </c>
      <c r="I2185" s="250" t="s">
        <v>79</v>
      </c>
    </row>
    <row r="2186" spans="1:9">
      <c r="A2186" s="246">
        <v>2182</v>
      </c>
      <c r="B2186" s="247" t="s">
        <v>232</v>
      </c>
      <c r="C2186" s="302" t="str">
        <f>"14233"</f>
        <v>14233</v>
      </c>
      <c r="D2186" s="247" t="s">
        <v>23</v>
      </c>
      <c r="E2186" s="248">
        <v>4</v>
      </c>
      <c r="F2186" s="249">
        <v>43670</v>
      </c>
      <c r="G2186" s="249">
        <v>44035</v>
      </c>
      <c r="H2186" s="247" t="s">
        <v>16</v>
      </c>
      <c r="I2186" s="250" t="s">
        <v>3413</v>
      </c>
    </row>
    <row r="2187" spans="1:9">
      <c r="A2187" s="246">
        <v>2183</v>
      </c>
      <c r="B2187" s="247" t="s">
        <v>254</v>
      </c>
      <c r="C2187" s="302" t="str">
        <f>"14234"</f>
        <v>14234</v>
      </c>
      <c r="D2187" s="247" t="s">
        <v>18</v>
      </c>
      <c r="E2187" s="248">
        <v>4</v>
      </c>
      <c r="F2187" s="249">
        <v>43493</v>
      </c>
      <c r="G2187" s="249">
        <v>45318</v>
      </c>
      <c r="H2187" s="247" t="s">
        <v>31</v>
      </c>
      <c r="I2187" s="250" t="s">
        <v>79</v>
      </c>
    </row>
    <row r="2188" spans="1:9">
      <c r="A2188" s="246">
        <v>2184</v>
      </c>
      <c r="B2188" s="247" t="s">
        <v>3564</v>
      </c>
      <c r="C2188" s="302" t="str">
        <f>"14237"</f>
        <v>14237</v>
      </c>
      <c r="D2188" s="247" t="s">
        <v>18</v>
      </c>
      <c r="E2188" s="248">
        <v>4</v>
      </c>
      <c r="F2188" s="249">
        <v>43585</v>
      </c>
      <c r="G2188" s="249">
        <v>45411</v>
      </c>
      <c r="H2188" s="247" t="s">
        <v>14</v>
      </c>
      <c r="I2188" s="250" t="s">
        <v>437</v>
      </c>
    </row>
    <row r="2189" spans="1:9">
      <c r="A2189" s="246">
        <v>2185</v>
      </c>
      <c r="B2189" s="247" t="s">
        <v>259</v>
      </c>
      <c r="C2189" s="302" t="str">
        <f>"14238"</f>
        <v>14238</v>
      </c>
      <c r="D2189" s="247" t="s">
        <v>18</v>
      </c>
      <c r="E2189" s="248">
        <v>6</v>
      </c>
      <c r="F2189" s="249">
        <v>43493</v>
      </c>
      <c r="G2189" s="249">
        <v>45318</v>
      </c>
      <c r="H2189" s="247" t="s">
        <v>14</v>
      </c>
      <c r="I2189" s="250" t="s">
        <v>79</v>
      </c>
    </row>
    <row r="2190" spans="1:9">
      <c r="A2190" s="246">
        <v>2186</v>
      </c>
      <c r="B2190" s="247" t="s">
        <v>3589</v>
      </c>
      <c r="C2190" s="302" t="str">
        <f>"14240"</f>
        <v>14240</v>
      </c>
      <c r="D2190" s="247" t="s">
        <v>18</v>
      </c>
      <c r="E2190" s="248">
        <v>11</v>
      </c>
      <c r="F2190" s="249">
        <v>43493</v>
      </c>
      <c r="G2190" s="249">
        <v>45318</v>
      </c>
      <c r="H2190" s="247" t="s">
        <v>16</v>
      </c>
      <c r="I2190" s="250" t="s">
        <v>438</v>
      </c>
    </row>
    <row r="2191" spans="1:9">
      <c r="A2191" s="246">
        <v>2187</v>
      </c>
      <c r="B2191" s="247" t="s">
        <v>3589</v>
      </c>
      <c r="C2191" s="302" t="str">
        <f>"14242"</f>
        <v>14242</v>
      </c>
      <c r="D2191" s="247" t="s">
        <v>18</v>
      </c>
      <c r="E2191" s="248">
        <v>10</v>
      </c>
      <c r="F2191" s="249">
        <v>43493</v>
      </c>
      <c r="G2191" s="249">
        <v>45318</v>
      </c>
      <c r="H2191" s="247" t="s">
        <v>16</v>
      </c>
      <c r="I2191" s="250" t="s">
        <v>438</v>
      </c>
    </row>
    <row r="2192" spans="1:9">
      <c r="A2192" s="246">
        <v>2188</v>
      </c>
      <c r="B2192" s="247" t="s">
        <v>260</v>
      </c>
      <c r="C2192" s="302" t="str">
        <f>"14243"</f>
        <v>14243</v>
      </c>
      <c r="D2192" s="247" t="s">
        <v>18</v>
      </c>
      <c r="E2192" s="248">
        <v>7</v>
      </c>
      <c r="F2192" s="249">
        <v>43419</v>
      </c>
      <c r="G2192" s="249">
        <v>45244</v>
      </c>
      <c r="H2192" s="247" t="s">
        <v>19</v>
      </c>
      <c r="I2192" s="250" t="s">
        <v>3417</v>
      </c>
    </row>
    <row r="2193" spans="1:9">
      <c r="A2193" s="246">
        <v>2189</v>
      </c>
      <c r="B2193" s="247" t="s">
        <v>260</v>
      </c>
      <c r="C2193" s="302" t="str">
        <f>"14244"</f>
        <v>14244</v>
      </c>
      <c r="D2193" s="247" t="s">
        <v>18</v>
      </c>
      <c r="E2193" s="248">
        <v>1</v>
      </c>
      <c r="F2193" s="249">
        <v>43419</v>
      </c>
      <c r="G2193" s="249">
        <v>45244</v>
      </c>
      <c r="H2193" s="247" t="s">
        <v>19</v>
      </c>
      <c r="I2193" s="250" t="s">
        <v>79</v>
      </c>
    </row>
    <row r="2194" spans="1:9">
      <c r="A2194" s="246">
        <v>2190</v>
      </c>
      <c r="B2194" s="247" t="s">
        <v>116</v>
      </c>
      <c r="C2194" s="302" t="str">
        <f>"14247"</f>
        <v>14247</v>
      </c>
      <c r="D2194" s="247" t="s">
        <v>13</v>
      </c>
      <c r="E2194" s="248">
        <v>25</v>
      </c>
      <c r="F2194" s="249">
        <v>43496</v>
      </c>
      <c r="G2194" s="249">
        <v>52626</v>
      </c>
      <c r="H2194" s="247" t="s">
        <v>16</v>
      </c>
      <c r="I2194" s="250" t="s">
        <v>79</v>
      </c>
    </row>
    <row r="2195" spans="1:9">
      <c r="A2195" s="246">
        <v>2191</v>
      </c>
      <c r="B2195" s="247" t="s">
        <v>3590</v>
      </c>
      <c r="C2195" s="302" t="str">
        <f>"14248"</f>
        <v>14248</v>
      </c>
      <c r="D2195" s="247" t="s">
        <v>18</v>
      </c>
      <c r="E2195" s="248">
        <v>4</v>
      </c>
      <c r="F2195" s="249">
        <v>43493</v>
      </c>
      <c r="G2195" s="249">
        <v>45318</v>
      </c>
      <c r="H2195" s="247" t="s">
        <v>56</v>
      </c>
      <c r="I2195" s="250" t="s">
        <v>437</v>
      </c>
    </row>
    <row r="2196" spans="1:9">
      <c r="A2196" s="246">
        <v>2192</v>
      </c>
      <c r="B2196" s="247" t="s">
        <v>3557</v>
      </c>
      <c r="C2196" s="302" t="str">
        <f>"14249"</f>
        <v>14249</v>
      </c>
      <c r="D2196" s="247" t="s">
        <v>23</v>
      </c>
      <c r="E2196" s="248">
        <v>1</v>
      </c>
      <c r="F2196" s="249">
        <v>43665</v>
      </c>
      <c r="G2196" s="249">
        <v>44030</v>
      </c>
      <c r="H2196" s="247" t="s">
        <v>14</v>
      </c>
      <c r="I2196" s="250" t="s">
        <v>3413</v>
      </c>
    </row>
    <row r="2197" spans="1:9">
      <c r="A2197" s="246">
        <v>2193</v>
      </c>
      <c r="B2197" s="247" t="s">
        <v>126</v>
      </c>
      <c r="C2197" s="302" t="str">
        <f>"14251"</f>
        <v>14251</v>
      </c>
      <c r="D2197" s="247" t="s">
        <v>18</v>
      </c>
      <c r="E2197" s="248">
        <v>16</v>
      </c>
      <c r="F2197" s="249">
        <v>43493</v>
      </c>
      <c r="G2197" s="249">
        <v>45318</v>
      </c>
      <c r="H2197" s="247" t="s">
        <v>16</v>
      </c>
      <c r="I2197" s="250" t="s">
        <v>79</v>
      </c>
    </row>
    <row r="2198" spans="1:9">
      <c r="A2198" s="246">
        <v>2194</v>
      </c>
      <c r="B2198" s="247" t="s">
        <v>126</v>
      </c>
      <c r="C2198" s="302" t="str">
        <f>"14252"</f>
        <v>14252</v>
      </c>
      <c r="D2198" s="247" t="s">
        <v>18</v>
      </c>
      <c r="E2198" s="248">
        <v>20</v>
      </c>
      <c r="F2198" s="249">
        <v>43493</v>
      </c>
      <c r="G2198" s="249">
        <v>45318</v>
      </c>
      <c r="H2198" s="247" t="s">
        <v>14</v>
      </c>
      <c r="I2198" s="250" t="s">
        <v>79</v>
      </c>
    </row>
    <row r="2199" spans="1:9">
      <c r="A2199" s="246">
        <v>2195</v>
      </c>
      <c r="B2199" s="247" t="s">
        <v>126</v>
      </c>
      <c r="C2199" s="302" t="str">
        <f>"14253"</f>
        <v>14253</v>
      </c>
      <c r="D2199" s="247" t="s">
        <v>18</v>
      </c>
      <c r="E2199" s="248">
        <v>21</v>
      </c>
      <c r="F2199" s="249">
        <v>43493</v>
      </c>
      <c r="G2199" s="249">
        <v>45318</v>
      </c>
      <c r="H2199" s="247" t="s">
        <v>14</v>
      </c>
      <c r="I2199" s="250" t="s">
        <v>79</v>
      </c>
    </row>
    <row r="2200" spans="1:9">
      <c r="A2200" s="246">
        <v>2196</v>
      </c>
      <c r="B2200" s="247" t="s">
        <v>261</v>
      </c>
      <c r="C2200" s="302" t="str">
        <f>"14254"</f>
        <v>14254</v>
      </c>
      <c r="D2200" s="247" t="s">
        <v>18</v>
      </c>
      <c r="E2200" s="248">
        <v>5</v>
      </c>
      <c r="F2200" s="249">
        <v>43550</v>
      </c>
      <c r="G2200" s="249">
        <v>45376</v>
      </c>
      <c r="H2200" s="247" t="s">
        <v>16</v>
      </c>
      <c r="I2200" s="250" t="s">
        <v>79</v>
      </c>
    </row>
    <row r="2201" spans="1:9">
      <c r="A2201" s="246">
        <v>2197</v>
      </c>
      <c r="B2201" s="247" t="s">
        <v>262</v>
      </c>
      <c r="C2201" s="302" t="str">
        <f>"14256"</f>
        <v>14256</v>
      </c>
      <c r="D2201" s="247" t="s">
        <v>18</v>
      </c>
      <c r="E2201" s="248">
        <v>2</v>
      </c>
      <c r="F2201" s="249">
        <v>43419</v>
      </c>
      <c r="G2201" s="249">
        <v>45244</v>
      </c>
      <c r="H2201" s="247" t="s">
        <v>84</v>
      </c>
      <c r="I2201" s="250" t="s">
        <v>79</v>
      </c>
    </row>
    <row r="2202" spans="1:9">
      <c r="A2202" s="246">
        <v>2198</v>
      </c>
      <c r="B2202" s="247" t="s">
        <v>263</v>
      </c>
      <c r="C2202" s="302" t="str">
        <f>"14257"</f>
        <v>14257</v>
      </c>
      <c r="D2202" s="247" t="s">
        <v>18</v>
      </c>
      <c r="E2202" s="248">
        <v>10</v>
      </c>
      <c r="F2202" s="249">
        <v>43585</v>
      </c>
      <c r="G2202" s="249">
        <v>45411</v>
      </c>
      <c r="H2202" s="247" t="s">
        <v>14</v>
      </c>
      <c r="I2202" s="250" t="s">
        <v>79</v>
      </c>
    </row>
    <row r="2203" spans="1:9">
      <c r="A2203" s="246">
        <v>2199</v>
      </c>
      <c r="B2203" s="247" t="s">
        <v>263</v>
      </c>
      <c r="C2203" s="302" t="str">
        <f>"14258"</f>
        <v>14258</v>
      </c>
      <c r="D2203" s="247" t="s">
        <v>18</v>
      </c>
      <c r="E2203" s="248">
        <v>10</v>
      </c>
      <c r="F2203" s="249">
        <v>43585</v>
      </c>
      <c r="G2203" s="249">
        <v>45411</v>
      </c>
      <c r="H2203" s="247" t="s">
        <v>14</v>
      </c>
      <c r="I2203" s="250" t="s">
        <v>79</v>
      </c>
    </row>
    <row r="2204" spans="1:9">
      <c r="A2204" s="246">
        <v>2200</v>
      </c>
      <c r="B2204" s="247" t="s">
        <v>3590</v>
      </c>
      <c r="C2204" s="302" t="str">
        <f>"14259"</f>
        <v>14259</v>
      </c>
      <c r="D2204" s="247" t="s">
        <v>18</v>
      </c>
      <c r="E2204" s="248">
        <v>2</v>
      </c>
      <c r="F2204" s="249">
        <v>43493</v>
      </c>
      <c r="G2204" s="249">
        <v>45318</v>
      </c>
      <c r="H2204" s="247" t="s">
        <v>56</v>
      </c>
      <c r="I2204" s="250" t="s">
        <v>437</v>
      </c>
    </row>
    <row r="2205" spans="1:9">
      <c r="A2205" s="246">
        <v>2201</v>
      </c>
      <c r="B2205" s="247" t="s">
        <v>3591</v>
      </c>
      <c r="C2205" s="302" t="str">
        <f>"14263"</f>
        <v>14263</v>
      </c>
      <c r="D2205" s="247" t="s">
        <v>18</v>
      </c>
      <c r="E2205" s="248">
        <v>8</v>
      </c>
      <c r="F2205" s="249">
        <v>43451</v>
      </c>
      <c r="G2205" s="249">
        <v>45276</v>
      </c>
      <c r="H2205" s="247" t="s">
        <v>16</v>
      </c>
      <c r="I2205" s="250" t="s">
        <v>3417</v>
      </c>
    </row>
    <row r="2206" spans="1:9">
      <c r="A2206" s="246">
        <v>2202</v>
      </c>
      <c r="B2206" s="247" t="s">
        <v>264</v>
      </c>
      <c r="C2206" s="302" t="str">
        <f>"14264"</f>
        <v>14264</v>
      </c>
      <c r="D2206" s="247" t="s">
        <v>18</v>
      </c>
      <c r="E2206" s="248">
        <v>6</v>
      </c>
      <c r="F2206" s="249">
        <v>43510</v>
      </c>
      <c r="G2206" s="249">
        <v>45335</v>
      </c>
      <c r="H2206" s="247" t="s">
        <v>14</v>
      </c>
      <c r="I2206" s="250" t="s">
        <v>79</v>
      </c>
    </row>
    <row r="2207" spans="1:9">
      <c r="A2207" s="246">
        <v>2203</v>
      </c>
      <c r="B2207" s="247" t="s">
        <v>264</v>
      </c>
      <c r="C2207" s="302" t="str">
        <f>"14265"</f>
        <v>14265</v>
      </c>
      <c r="D2207" s="247" t="s">
        <v>18</v>
      </c>
      <c r="E2207" s="248">
        <v>10</v>
      </c>
      <c r="F2207" s="249">
        <v>43510</v>
      </c>
      <c r="G2207" s="249">
        <v>45335</v>
      </c>
      <c r="H2207" s="247" t="s">
        <v>16</v>
      </c>
      <c r="I2207" s="250" t="s">
        <v>79</v>
      </c>
    </row>
    <row r="2208" spans="1:9">
      <c r="A2208" s="246">
        <v>2204</v>
      </c>
      <c r="B2208" s="247" t="s">
        <v>264</v>
      </c>
      <c r="C2208" s="302" t="str">
        <f>"14266"</f>
        <v>14266</v>
      </c>
      <c r="D2208" s="247" t="s">
        <v>18</v>
      </c>
      <c r="E2208" s="248">
        <v>2</v>
      </c>
      <c r="F2208" s="249">
        <v>43510</v>
      </c>
      <c r="G2208" s="249">
        <v>45335</v>
      </c>
      <c r="H2208" s="247" t="s">
        <v>14</v>
      </c>
      <c r="I2208" s="250" t="s">
        <v>79</v>
      </c>
    </row>
    <row r="2209" spans="1:9">
      <c r="A2209" s="246">
        <v>2205</v>
      </c>
      <c r="B2209" s="247" t="s">
        <v>264</v>
      </c>
      <c r="C2209" s="302" t="str">
        <f>"14267"</f>
        <v>14267</v>
      </c>
      <c r="D2209" s="247" t="s">
        <v>18</v>
      </c>
      <c r="E2209" s="248">
        <v>19</v>
      </c>
      <c r="F2209" s="249">
        <v>43510</v>
      </c>
      <c r="G2209" s="249">
        <v>45335</v>
      </c>
      <c r="H2209" s="247" t="s">
        <v>16</v>
      </c>
      <c r="I2209" s="250" t="s">
        <v>79</v>
      </c>
    </row>
    <row r="2210" spans="1:9">
      <c r="A2210" s="246">
        <v>2206</v>
      </c>
      <c r="B2210" s="247" t="s">
        <v>264</v>
      </c>
      <c r="C2210" s="302" t="str">
        <f>"14268"</f>
        <v>14268</v>
      </c>
      <c r="D2210" s="247" t="s">
        <v>18</v>
      </c>
      <c r="E2210" s="248">
        <v>8</v>
      </c>
      <c r="F2210" s="249">
        <v>43510</v>
      </c>
      <c r="G2210" s="249">
        <v>45335</v>
      </c>
      <c r="H2210" s="247" t="s">
        <v>16</v>
      </c>
      <c r="I2210" s="250" t="s">
        <v>79</v>
      </c>
    </row>
    <row r="2211" spans="1:9">
      <c r="A2211" s="246">
        <v>2207</v>
      </c>
      <c r="B2211" s="247" t="s">
        <v>248</v>
      </c>
      <c r="C2211" s="302" t="str">
        <f>"14269"</f>
        <v>14269</v>
      </c>
      <c r="D2211" s="247" t="s">
        <v>18</v>
      </c>
      <c r="E2211" s="248">
        <v>8</v>
      </c>
      <c r="F2211" s="249">
        <v>43546</v>
      </c>
      <c r="G2211" s="249">
        <v>45372</v>
      </c>
      <c r="H2211" s="247" t="s">
        <v>14</v>
      </c>
      <c r="I2211" s="250" t="s">
        <v>79</v>
      </c>
    </row>
    <row r="2212" spans="1:9">
      <c r="A2212" s="246">
        <v>2208</v>
      </c>
      <c r="B2212" s="247" t="s">
        <v>265</v>
      </c>
      <c r="C2212" s="302" t="str">
        <f>"14272"</f>
        <v>14272</v>
      </c>
      <c r="D2212" s="247" t="s">
        <v>18</v>
      </c>
      <c r="E2212" s="248">
        <v>7</v>
      </c>
      <c r="F2212" s="249">
        <v>43543</v>
      </c>
      <c r="G2212" s="249">
        <v>45369</v>
      </c>
      <c r="H2212" s="247" t="s">
        <v>14</v>
      </c>
      <c r="I2212" s="250" t="s">
        <v>79</v>
      </c>
    </row>
    <row r="2213" spans="1:9">
      <c r="A2213" s="246">
        <v>2209</v>
      </c>
      <c r="B2213" s="247" t="s">
        <v>266</v>
      </c>
      <c r="C2213" s="302" t="str">
        <f>"14273"</f>
        <v>14273</v>
      </c>
      <c r="D2213" s="247" t="s">
        <v>18</v>
      </c>
      <c r="E2213" s="248">
        <v>10</v>
      </c>
      <c r="F2213" s="249">
        <v>43650</v>
      </c>
      <c r="G2213" s="249">
        <v>45476</v>
      </c>
      <c r="H2213" s="247" t="s">
        <v>34</v>
      </c>
      <c r="I2213" s="250" t="s">
        <v>79</v>
      </c>
    </row>
    <row r="2214" spans="1:9">
      <c r="A2214" s="246">
        <v>2210</v>
      </c>
      <c r="B2214" s="247" t="s">
        <v>238</v>
      </c>
      <c r="C2214" s="302" t="str">
        <f>"14274"</f>
        <v>14274</v>
      </c>
      <c r="D2214" s="247" t="s">
        <v>18</v>
      </c>
      <c r="E2214" s="248">
        <v>60</v>
      </c>
      <c r="F2214" s="249">
        <v>43585</v>
      </c>
      <c r="G2214" s="249">
        <v>45411</v>
      </c>
      <c r="H2214" s="247" t="s">
        <v>59</v>
      </c>
      <c r="I2214" s="250" t="s">
        <v>79</v>
      </c>
    </row>
    <row r="2215" spans="1:9">
      <c r="A2215" s="246">
        <v>2211</v>
      </c>
      <c r="B2215" s="247" t="s">
        <v>238</v>
      </c>
      <c r="C2215" s="302" t="str">
        <f>"14275"</f>
        <v>14275</v>
      </c>
      <c r="D2215" s="247" t="s">
        <v>18</v>
      </c>
      <c r="E2215" s="248">
        <v>6</v>
      </c>
      <c r="F2215" s="249">
        <v>43585</v>
      </c>
      <c r="G2215" s="249">
        <v>45411</v>
      </c>
      <c r="H2215" s="247" t="s">
        <v>16</v>
      </c>
      <c r="I2215" s="250" t="s">
        <v>79</v>
      </c>
    </row>
    <row r="2216" spans="1:9">
      <c r="A2216" s="246">
        <v>2212</v>
      </c>
      <c r="B2216" s="247" t="s">
        <v>2565</v>
      </c>
      <c r="C2216" s="302" t="str">
        <f>"14276"</f>
        <v>14276</v>
      </c>
      <c r="D2216" s="247" t="s">
        <v>13</v>
      </c>
      <c r="E2216" s="248">
        <v>27</v>
      </c>
      <c r="F2216" s="249">
        <v>43425</v>
      </c>
      <c r="G2216" s="249">
        <v>47260</v>
      </c>
      <c r="H2216" s="247" t="s">
        <v>59</v>
      </c>
      <c r="I2216" s="250" t="s">
        <v>3346</v>
      </c>
    </row>
    <row r="2217" spans="1:9">
      <c r="A2217" s="246">
        <v>2213</v>
      </c>
      <c r="B2217" s="247" t="s">
        <v>267</v>
      </c>
      <c r="C2217" s="302" t="str">
        <f>"14277"</f>
        <v>14277</v>
      </c>
      <c r="D2217" s="247" t="s">
        <v>18</v>
      </c>
      <c r="E2217" s="248">
        <v>6</v>
      </c>
      <c r="F2217" s="249">
        <v>43550</v>
      </c>
      <c r="G2217" s="249">
        <v>45376</v>
      </c>
      <c r="H2217" s="247" t="s">
        <v>14</v>
      </c>
      <c r="I2217" s="250" t="s">
        <v>3592</v>
      </c>
    </row>
    <row r="2218" spans="1:9">
      <c r="A2218" s="246">
        <v>2214</v>
      </c>
      <c r="B2218" s="247" t="s">
        <v>267</v>
      </c>
      <c r="C2218" s="302" t="str">
        <f>"14278"</f>
        <v>14278</v>
      </c>
      <c r="D2218" s="247" t="s">
        <v>18</v>
      </c>
      <c r="E2218" s="248">
        <v>6</v>
      </c>
      <c r="F2218" s="249">
        <v>44194</v>
      </c>
      <c r="G2218" s="249">
        <v>46019</v>
      </c>
      <c r="H2218" s="247" t="s">
        <v>14</v>
      </c>
      <c r="I2218" s="250" t="s">
        <v>79</v>
      </c>
    </row>
    <row r="2219" spans="1:9">
      <c r="A2219" s="246">
        <v>2215</v>
      </c>
      <c r="B2219" s="247" t="s">
        <v>266</v>
      </c>
      <c r="C2219" s="302" t="str">
        <f>"14279"</f>
        <v>14279</v>
      </c>
      <c r="D2219" s="247" t="s">
        <v>18</v>
      </c>
      <c r="E2219" s="248">
        <v>6</v>
      </c>
      <c r="F2219" s="249">
        <v>43550</v>
      </c>
      <c r="G2219" s="249">
        <v>45376</v>
      </c>
      <c r="H2219" s="247" t="s">
        <v>14</v>
      </c>
      <c r="I2219" s="250" t="s">
        <v>437</v>
      </c>
    </row>
    <row r="2220" spans="1:9">
      <c r="A2220" s="246">
        <v>2216</v>
      </c>
      <c r="B2220" s="247" t="s">
        <v>237</v>
      </c>
      <c r="C2220" s="302" t="str">
        <f>"14280"</f>
        <v>14280</v>
      </c>
      <c r="D2220" s="247" t="s">
        <v>18</v>
      </c>
      <c r="E2220" s="248">
        <v>4</v>
      </c>
      <c r="F2220" s="249">
        <v>43577</v>
      </c>
      <c r="G2220" s="249">
        <v>45403</v>
      </c>
      <c r="H2220" s="247" t="s">
        <v>16</v>
      </c>
      <c r="I2220" s="250" t="s">
        <v>79</v>
      </c>
    </row>
    <row r="2221" spans="1:9">
      <c r="A2221" s="246">
        <v>2217</v>
      </c>
      <c r="B2221" s="247" t="s">
        <v>41</v>
      </c>
      <c r="C2221" s="302" t="str">
        <f>"14286"</f>
        <v>14286</v>
      </c>
      <c r="D2221" s="247" t="s">
        <v>18</v>
      </c>
      <c r="E2221" s="248">
        <v>1</v>
      </c>
      <c r="F2221" s="249">
        <v>43543</v>
      </c>
      <c r="G2221" s="249">
        <v>45369</v>
      </c>
      <c r="H2221" s="247" t="s">
        <v>16</v>
      </c>
      <c r="I2221" s="250" t="s">
        <v>448</v>
      </c>
    </row>
    <row r="2222" spans="1:9">
      <c r="A2222" s="246">
        <v>2218</v>
      </c>
      <c r="B2222" s="247" t="s">
        <v>233</v>
      </c>
      <c r="C2222" s="302" t="str">
        <f>"14287"</f>
        <v>14287</v>
      </c>
      <c r="D2222" s="247" t="s">
        <v>18</v>
      </c>
      <c r="E2222" s="248">
        <v>9</v>
      </c>
      <c r="F2222" s="249">
        <v>43550</v>
      </c>
      <c r="G2222" s="249">
        <v>45376</v>
      </c>
      <c r="H2222" s="247" t="s">
        <v>31</v>
      </c>
      <c r="I2222" s="250" t="s">
        <v>79</v>
      </c>
    </row>
    <row r="2223" spans="1:9">
      <c r="A2223" s="246">
        <v>2219</v>
      </c>
      <c r="B2223" s="247" t="s">
        <v>268</v>
      </c>
      <c r="C2223" s="302" t="str">
        <f>"14291"</f>
        <v>14291</v>
      </c>
      <c r="D2223" s="247" t="s">
        <v>21</v>
      </c>
      <c r="E2223" s="248">
        <v>5</v>
      </c>
      <c r="F2223" s="249">
        <v>44915</v>
      </c>
      <c r="G2223" s="249">
        <v>46740</v>
      </c>
      <c r="H2223" s="247" t="s">
        <v>34</v>
      </c>
      <c r="I2223" s="250" t="s">
        <v>79</v>
      </c>
    </row>
    <row r="2224" spans="1:9">
      <c r="A2224" s="246">
        <v>2220</v>
      </c>
      <c r="B2224" s="247" t="s">
        <v>262</v>
      </c>
      <c r="C2224" s="302" t="str">
        <f>"14292"</f>
        <v>14292</v>
      </c>
      <c r="D2224" s="247" t="s">
        <v>18</v>
      </c>
      <c r="E2224" s="248">
        <v>2</v>
      </c>
      <c r="F2224" s="249">
        <v>43419</v>
      </c>
      <c r="G2224" s="249">
        <v>45244</v>
      </c>
      <c r="H2224" s="247" t="s">
        <v>19</v>
      </c>
      <c r="I2224" s="250" t="s">
        <v>79</v>
      </c>
    </row>
    <row r="2225" spans="1:9">
      <c r="A2225" s="246">
        <v>2221</v>
      </c>
      <c r="B2225" s="247" t="s">
        <v>262</v>
      </c>
      <c r="C2225" s="302" t="str">
        <f>"14293"</f>
        <v>14293</v>
      </c>
      <c r="D2225" s="247" t="s">
        <v>18</v>
      </c>
      <c r="E2225" s="248">
        <v>2</v>
      </c>
      <c r="F2225" s="249">
        <v>43419</v>
      </c>
      <c r="G2225" s="249">
        <v>45244</v>
      </c>
      <c r="H2225" s="247" t="s">
        <v>19</v>
      </c>
      <c r="I2225" s="250" t="s">
        <v>79</v>
      </c>
    </row>
    <row r="2226" spans="1:9">
      <c r="A2226" s="246">
        <v>2222</v>
      </c>
      <c r="B2226" s="247" t="s">
        <v>3585</v>
      </c>
      <c r="C2226" s="302" t="str">
        <f>"14294"</f>
        <v>14294</v>
      </c>
      <c r="D2226" s="247" t="s">
        <v>18</v>
      </c>
      <c r="E2226" s="248">
        <v>218</v>
      </c>
      <c r="F2226" s="249">
        <v>43516</v>
      </c>
      <c r="G2226" s="249">
        <v>45341</v>
      </c>
      <c r="H2226" s="247" t="s">
        <v>25</v>
      </c>
      <c r="I2226" s="250" t="s">
        <v>438</v>
      </c>
    </row>
    <row r="2227" spans="1:9">
      <c r="A2227" s="246">
        <v>2223</v>
      </c>
      <c r="B2227" s="247" t="s">
        <v>269</v>
      </c>
      <c r="C2227" s="302" t="str">
        <f>"14295"</f>
        <v>14295</v>
      </c>
      <c r="D2227" s="247" t="s">
        <v>18</v>
      </c>
      <c r="E2227" s="248">
        <v>4</v>
      </c>
      <c r="F2227" s="249">
        <v>43493</v>
      </c>
      <c r="G2227" s="249">
        <v>45318</v>
      </c>
      <c r="H2227" s="247" t="s">
        <v>14</v>
      </c>
      <c r="I2227" s="250" t="s">
        <v>79</v>
      </c>
    </row>
    <row r="2228" spans="1:9">
      <c r="A2228" s="246">
        <v>2224</v>
      </c>
      <c r="B2228" s="247" t="s">
        <v>269</v>
      </c>
      <c r="C2228" s="302" t="str">
        <f>"14296"</f>
        <v>14296</v>
      </c>
      <c r="D2228" s="247" t="s">
        <v>18</v>
      </c>
      <c r="E2228" s="248">
        <v>4</v>
      </c>
      <c r="F2228" s="249">
        <v>43493</v>
      </c>
      <c r="G2228" s="249">
        <v>45318</v>
      </c>
      <c r="H2228" s="247" t="s">
        <v>14</v>
      </c>
      <c r="I2228" s="250" t="s">
        <v>79</v>
      </c>
    </row>
    <row r="2229" spans="1:9">
      <c r="A2229" s="246">
        <v>2225</v>
      </c>
      <c r="B2229" s="247" t="s">
        <v>300</v>
      </c>
      <c r="C2229" s="302" t="str">
        <f>"14297"</f>
        <v>14297</v>
      </c>
      <c r="D2229" s="247" t="s">
        <v>18</v>
      </c>
      <c r="E2229" s="248">
        <v>7</v>
      </c>
      <c r="F2229" s="249">
        <v>43614</v>
      </c>
      <c r="G2229" s="249">
        <v>45440</v>
      </c>
      <c r="H2229" s="247" t="s">
        <v>14</v>
      </c>
      <c r="I2229" s="250" t="s">
        <v>438</v>
      </c>
    </row>
    <row r="2230" spans="1:9">
      <c r="A2230" s="246">
        <v>2226</v>
      </c>
      <c r="B2230" s="247" t="s">
        <v>270</v>
      </c>
      <c r="C2230" s="302" t="str">
        <f>"14298"</f>
        <v>14298</v>
      </c>
      <c r="D2230" s="247" t="s">
        <v>18</v>
      </c>
      <c r="E2230" s="248">
        <v>7</v>
      </c>
      <c r="F2230" s="249">
        <v>43496</v>
      </c>
      <c r="G2230" s="249">
        <v>45321</v>
      </c>
      <c r="H2230" s="247" t="s">
        <v>16</v>
      </c>
      <c r="I2230" s="250" t="s">
        <v>79</v>
      </c>
    </row>
    <row r="2231" spans="1:9">
      <c r="A2231" s="246">
        <v>2227</v>
      </c>
      <c r="B2231" s="247" t="s">
        <v>270</v>
      </c>
      <c r="C2231" s="302" t="str">
        <f>"14299"</f>
        <v>14299</v>
      </c>
      <c r="D2231" s="247" t="s">
        <v>18</v>
      </c>
      <c r="E2231" s="248">
        <v>9</v>
      </c>
      <c r="F2231" s="249">
        <v>43496</v>
      </c>
      <c r="G2231" s="249">
        <v>45321</v>
      </c>
      <c r="H2231" s="247" t="s">
        <v>14</v>
      </c>
      <c r="I2231" s="250" t="s">
        <v>79</v>
      </c>
    </row>
    <row r="2232" spans="1:9">
      <c r="A2232" s="246">
        <v>2228</v>
      </c>
      <c r="B2232" s="247" t="s">
        <v>271</v>
      </c>
      <c r="C2232" s="302" t="str">
        <f>"14300"</f>
        <v>14300</v>
      </c>
      <c r="D2232" s="247" t="s">
        <v>18</v>
      </c>
      <c r="E2232" s="248">
        <v>3</v>
      </c>
      <c r="F2232" s="249">
        <v>43670</v>
      </c>
      <c r="G2232" s="249">
        <v>45496</v>
      </c>
      <c r="H2232" s="247" t="s">
        <v>14</v>
      </c>
      <c r="I2232" s="250" t="s">
        <v>79</v>
      </c>
    </row>
    <row r="2233" spans="1:9">
      <c r="A2233" s="246">
        <v>2229</v>
      </c>
      <c r="B2233" s="247" t="s">
        <v>271</v>
      </c>
      <c r="C2233" s="302" t="str">
        <f>"14301"</f>
        <v>14301</v>
      </c>
      <c r="D2233" s="247" t="s">
        <v>18</v>
      </c>
      <c r="E2233" s="248">
        <v>6</v>
      </c>
      <c r="F2233" s="249">
        <v>43670</v>
      </c>
      <c r="G2233" s="249">
        <v>45496</v>
      </c>
      <c r="H2233" s="247" t="s">
        <v>16</v>
      </c>
      <c r="I2233" s="250" t="s">
        <v>79</v>
      </c>
    </row>
    <row r="2234" spans="1:9">
      <c r="A2234" s="246">
        <v>2230</v>
      </c>
      <c r="B2234" s="247" t="s">
        <v>272</v>
      </c>
      <c r="C2234" s="302" t="str">
        <f>"14302"</f>
        <v>14302</v>
      </c>
      <c r="D2234" s="247" t="s">
        <v>18</v>
      </c>
      <c r="E2234" s="248">
        <v>16</v>
      </c>
      <c r="F2234" s="249">
        <v>43510</v>
      </c>
      <c r="G2234" s="249">
        <v>45335</v>
      </c>
      <c r="H2234" s="247" t="s">
        <v>16</v>
      </c>
      <c r="I2234" s="250" t="s">
        <v>79</v>
      </c>
    </row>
    <row r="2235" spans="1:9">
      <c r="A2235" s="246">
        <v>2231</v>
      </c>
      <c r="B2235" s="247" t="s">
        <v>272</v>
      </c>
      <c r="C2235" s="302" t="str">
        <f>"14303"</f>
        <v>14303</v>
      </c>
      <c r="D2235" s="247" t="s">
        <v>18</v>
      </c>
      <c r="E2235" s="248">
        <v>1</v>
      </c>
      <c r="F2235" s="249">
        <v>43510</v>
      </c>
      <c r="G2235" s="249">
        <v>45335</v>
      </c>
      <c r="H2235" s="247" t="s">
        <v>14</v>
      </c>
      <c r="I2235" s="250" t="s">
        <v>79</v>
      </c>
    </row>
    <row r="2236" spans="1:9">
      <c r="A2236" s="246">
        <v>2232</v>
      </c>
      <c r="B2236" s="247" t="s">
        <v>272</v>
      </c>
      <c r="C2236" s="302" t="str">
        <f>"14304"</f>
        <v>14304</v>
      </c>
      <c r="D2236" s="247" t="s">
        <v>18</v>
      </c>
      <c r="E2236" s="248">
        <v>5</v>
      </c>
      <c r="F2236" s="249">
        <v>43510</v>
      </c>
      <c r="G2236" s="249">
        <v>45335</v>
      </c>
      <c r="H2236" s="247" t="s">
        <v>14</v>
      </c>
      <c r="I2236" s="250" t="s">
        <v>79</v>
      </c>
    </row>
    <row r="2237" spans="1:9">
      <c r="A2237" s="246">
        <v>2233</v>
      </c>
      <c r="B2237" s="247" t="s">
        <v>272</v>
      </c>
      <c r="C2237" s="302" t="str">
        <f>"14305"</f>
        <v>14305</v>
      </c>
      <c r="D2237" s="247" t="s">
        <v>18</v>
      </c>
      <c r="E2237" s="248">
        <v>7</v>
      </c>
      <c r="F2237" s="249">
        <v>43510</v>
      </c>
      <c r="G2237" s="249">
        <v>45335</v>
      </c>
      <c r="H2237" s="247" t="s">
        <v>16</v>
      </c>
      <c r="I2237" s="250" t="s">
        <v>448</v>
      </c>
    </row>
    <row r="2238" spans="1:9">
      <c r="A2238" s="246">
        <v>2234</v>
      </c>
      <c r="B2238" s="247" t="s">
        <v>273</v>
      </c>
      <c r="C2238" s="302" t="str">
        <f>"14306"</f>
        <v>14306</v>
      </c>
      <c r="D2238" s="247" t="s">
        <v>18</v>
      </c>
      <c r="E2238" s="248">
        <v>1</v>
      </c>
      <c r="F2238" s="249">
        <v>43585</v>
      </c>
      <c r="G2238" s="249">
        <v>45411</v>
      </c>
      <c r="H2238" s="247" t="s">
        <v>16</v>
      </c>
      <c r="I2238" s="250" t="s">
        <v>79</v>
      </c>
    </row>
    <row r="2239" spans="1:9">
      <c r="A2239" s="246">
        <v>2235</v>
      </c>
      <c r="B2239" s="247" t="s">
        <v>240</v>
      </c>
      <c r="C2239" s="302" t="str">
        <f>"14312"</f>
        <v>14312</v>
      </c>
      <c r="D2239" s="247" t="s">
        <v>18</v>
      </c>
      <c r="E2239" s="248">
        <v>68</v>
      </c>
      <c r="F2239" s="249">
        <v>43650</v>
      </c>
      <c r="G2239" s="249">
        <v>45476</v>
      </c>
      <c r="H2239" s="247" t="s">
        <v>19</v>
      </c>
      <c r="I2239" s="250" t="s">
        <v>79</v>
      </c>
    </row>
    <row r="2240" spans="1:9">
      <c r="A2240" s="246">
        <v>2236</v>
      </c>
      <c r="B2240" s="247" t="s">
        <v>265</v>
      </c>
      <c r="C2240" s="302" t="str">
        <f>"14313"</f>
        <v>14313</v>
      </c>
      <c r="D2240" s="247" t="s">
        <v>18</v>
      </c>
      <c r="E2240" s="248">
        <v>20</v>
      </c>
      <c r="F2240" s="249">
        <v>43543</v>
      </c>
      <c r="G2240" s="249">
        <v>45369</v>
      </c>
      <c r="H2240" s="247" t="s">
        <v>16</v>
      </c>
      <c r="I2240" s="250" t="s">
        <v>79</v>
      </c>
    </row>
    <row r="2241" spans="1:9">
      <c r="A2241" s="246">
        <v>2237</v>
      </c>
      <c r="B2241" s="247" t="s">
        <v>265</v>
      </c>
      <c r="C2241" s="302" t="str">
        <f>"14314"</f>
        <v>14314</v>
      </c>
      <c r="D2241" s="247" t="s">
        <v>18</v>
      </c>
      <c r="E2241" s="248">
        <v>18</v>
      </c>
      <c r="F2241" s="249">
        <v>43543</v>
      </c>
      <c r="G2241" s="249">
        <v>45369</v>
      </c>
      <c r="H2241" s="247" t="s">
        <v>16</v>
      </c>
      <c r="I2241" s="250" t="s">
        <v>79</v>
      </c>
    </row>
    <row r="2242" spans="1:9">
      <c r="A2242" s="246">
        <v>2238</v>
      </c>
      <c r="B2242" s="247" t="s">
        <v>274</v>
      </c>
      <c r="C2242" s="302" t="str">
        <f>"14315"</f>
        <v>14315</v>
      </c>
      <c r="D2242" s="247" t="s">
        <v>18</v>
      </c>
      <c r="E2242" s="248">
        <v>10</v>
      </c>
      <c r="F2242" s="249">
        <v>43493</v>
      </c>
      <c r="G2242" s="249">
        <v>45318</v>
      </c>
      <c r="H2242" s="247" t="s">
        <v>14</v>
      </c>
      <c r="I2242" s="250" t="s">
        <v>79</v>
      </c>
    </row>
    <row r="2243" spans="1:9">
      <c r="A2243" s="246">
        <v>2239</v>
      </c>
      <c r="B2243" s="247" t="s">
        <v>2007</v>
      </c>
      <c r="C2243" s="302" t="str">
        <f>"14318"</f>
        <v>14318</v>
      </c>
      <c r="D2243" s="247" t="s">
        <v>18</v>
      </c>
      <c r="E2243" s="248">
        <v>1</v>
      </c>
      <c r="F2243" s="249">
        <v>43508</v>
      </c>
      <c r="G2243" s="249">
        <v>45333</v>
      </c>
      <c r="H2243" s="247" t="s">
        <v>16</v>
      </c>
      <c r="I2243" s="250" t="s">
        <v>438</v>
      </c>
    </row>
    <row r="2244" spans="1:9">
      <c r="A2244" s="246">
        <v>2240</v>
      </c>
      <c r="B2244" s="247" t="s">
        <v>2007</v>
      </c>
      <c r="C2244" s="302" t="str">
        <f>"14319"</f>
        <v>14319</v>
      </c>
      <c r="D2244" s="247" t="s">
        <v>18</v>
      </c>
      <c r="E2244" s="248">
        <v>4</v>
      </c>
      <c r="F2244" s="249">
        <v>43493</v>
      </c>
      <c r="G2244" s="249">
        <v>45318</v>
      </c>
      <c r="H2244" s="247" t="s">
        <v>16</v>
      </c>
      <c r="I2244" s="250" t="s">
        <v>438</v>
      </c>
    </row>
    <row r="2245" spans="1:9">
      <c r="A2245" s="246">
        <v>2241</v>
      </c>
      <c r="B2245" s="247" t="s">
        <v>238</v>
      </c>
      <c r="C2245" s="302" t="str">
        <f>"14322"</f>
        <v>14322</v>
      </c>
      <c r="D2245" s="247" t="s">
        <v>18</v>
      </c>
      <c r="E2245" s="248">
        <v>15</v>
      </c>
      <c r="F2245" s="249">
        <v>43542</v>
      </c>
      <c r="G2245" s="249">
        <v>45368</v>
      </c>
      <c r="H2245" s="247" t="s">
        <v>31</v>
      </c>
      <c r="I2245" s="250" t="s">
        <v>79</v>
      </c>
    </row>
    <row r="2246" spans="1:9">
      <c r="A2246" s="246">
        <v>2242</v>
      </c>
      <c r="B2246" s="247" t="s">
        <v>272</v>
      </c>
      <c r="C2246" s="302" t="str">
        <f>"14323"</f>
        <v>14323</v>
      </c>
      <c r="D2246" s="247" t="s">
        <v>18</v>
      </c>
      <c r="E2246" s="248">
        <v>4</v>
      </c>
      <c r="F2246" s="249">
        <v>43510</v>
      </c>
      <c r="G2246" s="249">
        <v>45335</v>
      </c>
      <c r="H2246" s="247" t="s">
        <v>14</v>
      </c>
      <c r="I2246" s="250" t="s">
        <v>79</v>
      </c>
    </row>
    <row r="2247" spans="1:9">
      <c r="A2247" s="246">
        <v>2243</v>
      </c>
      <c r="B2247" s="247" t="s">
        <v>273</v>
      </c>
      <c r="C2247" s="302" t="str">
        <f>"14324"</f>
        <v>14324</v>
      </c>
      <c r="D2247" s="247" t="s">
        <v>18</v>
      </c>
      <c r="E2247" s="248">
        <v>3</v>
      </c>
      <c r="F2247" s="249">
        <v>43585</v>
      </c>
      <c r="G2247" s="249">
        <v>45411</v>
      </c>
      <c r="H2247" s="247" t="s">
        <v>14</v>
      </c>
      <c r="I2247" s="250" t="s">
        <v>79</v>
      </c>
    </row>
    <row r="2248" spans="1:9">
      <c r="A2248" s="246">
        <v>2244</v>
      </c>
      <c r="B2248" s="247" t="s">
        <v>275</v>
      </c>
      <c r="C2248" s="302" t="str">
        <f>"14325"</f>
        <v>14325</v>
      </c>
      <c r="D2248" s="247" t="s">
        <v>18</v>
      </c>
      <c r="E2248" s="248">
        <v>100</v>
      </c>
      <c r="F2248" s="249">
        <v>43577</v>
      </c>
      <c r="G2248" s="249">
        <v>45403</v>
      </c>
      <c r="H2248" s="247" t="s">
        <v>32</v>
      </c>
      <c r="I2248" s="250" t="s">
        <v>79</v>
      </c>
    </row>
    <row r="2249" spans="1:9">
      <c r="A2249" s="246">
        <v>2245</v>
      </c>
      <c r="B2249" s="247" t="s">
        <v>275</v>
      </c>
      <c r="C2249" s="302" t="str">
        <f>"14326"</f>
        <v>14326</v>
      </c>
      <c r="D2249" s="247" t="s">
        <v>18</v>
      </c>
      <c r="E2249" s="248">
        <v>92</v>
      </c>
      <c r="F2249" s="249">
        <v>43493</v>
      </c>
      <c r="G2249" s="249">
        <v>45318</v>
      </c>
      <c r="H2249" s="247" t="s">
        <v>32</v>
      </c>
      <c r="I2249" s="250" t="s">
        <v>79</v>
      </c>
    </row>
    <row r="2250" spans="1:9">
      <c r="A2250" s="246">
        <v>2246</v>
      </c>
      <c r="B2250" s="247" t="s">
        <v>275</v>
      </c>
      <c r="C2250" s="302" t="str">
        <f>"14327"</f>
        <v>14327</v>
      </c>
      <c r="D2250" s="247" t="s">
        <v>18</v>
      </c>
      <c r="E2250" s="248">
        <v>9</v>
      </c>
      <c r="F2250" s="249">
        <v>43550</v>
      </c>
      <c r="G2250" s="249">
        <v>45376</v>
      </c>
      <c r="H2250" s="247" t="s">
        <v>32</v>
      </c>
      <c r="I2250" s="250" t="s">
        <v>79</v>
      </c>
    </row>
    <row r="2251" spans="1:9">
      <c r="A2251" s="246">
        <v>2247</v>
      </c>
      <c r="B2251" s="247" t="s">
        <v>276</v>
      </c>
      <c r="C2251" s="302" t="str">
        <f>"14328"</f>
        <v>14328</v>
      </c>
      <c r="D2251" s="247" t="s">
        <v>18</v>
      </c>
      <c r="E2251" s="248">
        <v>21</v>
      </c>
      <c r="F2251" s="249">
        <v>43563</v>
      </c>
      <c r="G2251" s="249">
        <v>45389</v>
      </c>
      <c r="H2251" s="247" t="s">
        <v>277</v>
      </c>
      <c r="I2251" s="250" t="s">
        <v>79</v>
      </c>
    </row>
    <row r="2252" spans="1:9">
      <c r="A2252" s="246">
        <v>2248</v>
      </c>
      <c r="B2252" s="247" t="s">
        <v>265</v>
      </c>
      <c r="C2252" s="302" t="str">
        <f>"14331"</f>
        <v>14331</v>
      </c>
      <c r="D2252" s="247" t="s">
        <v>18</v>
      </c>
      <c r="E2252" s="248">
        <v>9</v>
      </c>
      <c r="F2252" s="249">
        <v>43508</v>
      </c>
      <c r="G2252" s="249">
        <v>45333</v>
      </c>
      <c r="H2252" s="247" t="s">
        <v>14</v>
      </c>
      <c r="I2252" s="250" t="s">
        <v>79</v>
      </c>
    </row>
    <row r="2253" spans="1:9">
      <c r="A2253" s="246">
        <v>2249</v>
      </c>
      <c r="B2253" s="247" t="s">
        <v>265</v>
      </c>
      <c r="C2253" s="302" t="str">
        <f>"14332"</f>
        <v>14332</v>
      </c>
      <c r="D2253" s="247" t="s">
        <v>18</v>
      </c>
      <c r="E2253" s="248">
        <v>25</v>
      </c>
      <c r="F2253" s="249">
        <v>43543</v>
      </c>
      <c r="G2253" s="249">
        <v>45369</v>
      </c>
      <c r="H2253" s="247" t="s">
        <v>14</v>
      </c>
      <c r="I2253" s="250" t="s">
        <v>79</v>
      </c>
    </row>
    <row r="2254" spans="1:9">
      <c r="A2254" s="246">
        <v>2250</v>
      </c>
      <c r="B2254" s="247" t="s">
        <v>265</v>
      </c>
      <c r="C2254" s="302" t="str">
        <f>"14333"</f>
        <v>14333</v>
      </c>
      <c r="D2254" s="247" t="s">
        <v>18</v>
      </c>
      <c r="E2254" s="248">
        <v>12</v>
      </c>
      <c r="F2254" s="249">
        <v>43535</v>
      </c>
      <c r="G2254" s="249">
        <v>45361</v>
      </c>
      <c r="H2254" s="247" t="s">
        <v>14</v>
      </c>
      <c r="I2254" s="250" t="s">
        <v>79</v>
      </c>
    </row>
    <row r="2255" spans="1:9">
      <c r="A2255" s="246">
        <v>2251</v>
      </c>
      <c r="B2255" s="247" t="s">
        <v>265</v>
      </c>
      <c r="C2255" s="302" t="str">
        <f>"14334"</f>
        <v>14334</v>
      </c>
      <c r="D2255" s="247" t="s">
        <v>18</v>
      </c>
      <c r="E2255" s="248">
        <v>8</v>
      </c>
      <c r="F2255" s="249">
        <v>43543</v>
      </c>
      <c r="G2255" s="249">
        <v>45369</v>
      </c>
      <c r="H2255" s="247" t="s">
        <v>14</v>
      </c>
      <c r="I2255" s="250" t="s">
        <v>79</v>
      </c>
    </row>
    <row r="2256" spans="1:9">
      <c r="A2256" s="246">
        <v>2252</v>
      </c>
      <c r="B2256" s="247" t="s">
        <v>265</v>
      </c>
      <c r="C2256" s="302" t="str">
        <f>"14335"</f>
        <v>14335</v>
      </c>
      <c r="D2256" s="247" t="s">
        <v>18</v>
      </c>
      <c r="E2256" s="248">
        <v>10</v>
      </c>
      <c r="F2256" s="249">
        <v>43557</v>
      </c>
      <c r="G2256" s="249">
        <v>45383</v>
      </c>
      <c r="H2256" s="247" t="s">
        <v>14</v>
      </c>
      <c r="I2256" s="250" t="s">
        <v>79</v>
      </c>
    </row>
    <row r="2257" spans="1:9">
      <c r="A2257" s="246">
        <v>2253</v>
      </c>
      <c r="B2257" s="247" t="s">
        <v>265</v>
      </c>
      <c r="C2257" s="302" t="str">
        <f>"14336"</f>
        <v>14336</v>
      </c>
      <c r="D2257" s="247" t="s">
        <v>18</v>
      </c>
      <c r="E2257" s="248">
        <v>10</v>
      </c>
      <c r="F2257" s="249">
        <v>43543</v>
      </c>
      <c r="G2257" s="249">
        <v>45369</v>
      </c>
      <c r="H2257" s="247" t="s">
        <v>16</v>
      </c>
      <c r="I2257" s="250" t="s">
        <v>79</v>
      </c>
    </row>
    <row r="2258" spans="1:9">
      <c r="A2258" s="246">
        <v>2254</v>
      </c>
      <c r="B2258" s="247" t="s">
        <v>265</v>
      </c>
      <c r="C2258" s="302" t="str">
        <f>"14337"</f>
        <v>14337</v>
      </c>
      <c r="D2258" s="247" t="s">
        <v>18</v>
      </c>
      <c r="E2258" s="248">
        <v>8</v>
      </c>
      <c r="F2258" s="249">
        <v>43535</v>
      </c>
      <c r="G2258" s="249">
        <v>45361</v>
      </c>
      <c r="H2258" s="247" t="s">
        <v>14</v>
      </c>
      <c r="I2258" s="250" t="s">
        <v>79</v>
      </c>
    </row>
    <row r="2259" spans="1:9">
      <c r="A2259" s="246">
        <v>2255</v>
      </c>
      <c r="B2259" s="247" t="s">
        <v>265</v>
      </c>
      <c r="C2259" s="302" t="str">
        <f>"14338"</f>
        <v>14338</v>
      </c>
      <c r="D2259" s="247" t="s">
        <v>18</v>
      </c>
      <c r="E2259" s="248">
        <v>12</v>
      </c>
      <c r="F2259" s="249">
        <v>43543</v>
      </c>
      <c r="G2259" s="249">
        <v>45369</v>
      </c>
      <c r="H2259" s="247" t="s">
        <v>16</v>
      </c>
      <c r="I2259" s="250" t="s">
        <v>79</v>
      </c>
    </row>
    <row r="2260" spans="1:9">
      <c r="A2260" s="246">
        <v>2256</v>
      </c>
      <c r="B2260" s="247" t="s">
        <v>265</v>
      </c>
      <c r="C2260" s="302" t="str">
        <f>"14339"</f>
        <v>14339</v>
      </c>
      <c r="D2260" s="247" t="s">
        <v>18</v>
      </c>
      <c r="E2260" s="248">
        <v>18</v>
      </c>
      <c r="F2260" s="249">
        <v>43535</v>
      </c>
      <c r="G2260" s="249">
        <v>45361</v>
      </c>
      <c r="H2260" s="247" t="s">
        <v>16</v>
      </c>
      <c r="I2260" s="250" t="s">
        <v>79</v>
      </c>
    </row>
    <row r="2261" spans="1:9">
      <c r="A2261" s="246">
        <v>2257</v>
      </c>
      <c r="B2261" s="247" t="s">
        <v>265</v>
      </c>
      <c r="C2261" s="302" t="str">
        <f>"14340"</f>
        <v>14340</v>
      </c>
      <c r="D2261" s="247" t="s">
        <v>18</v>
      </c>
      <c r="E2261" s="248">
        <v>18</v>
      </c>
      <c r="F2261" s="249">
        <v>43543</v>
      </c>
      <c r="G2261" s="249">
        <v>45369</v>
      </c>
      <c r="H2261" s="247" t="s">
        <v>14</v>
      </c>
      <c r="I2261" s="250" t="s">
        <v>79</v>
      </c>
    </row>
    <row r="2262" spans="1:9">
      <c r="A2262" s="246">
        <v>2258</v>
      </c>
      <c r="B2262" s="247" t="s">
        <v>265</v>
      </c>
      <c r="C2262" s="302" t="str">
        <f>"14341"</f>
        <v>14341</v>
      </c>
      <c r="D2262" s="247" t="s">
        <v>18</v>
      </c>
      <c r="E2262" s="248">
        <v>14</v>
      </c>
      <c r="F2262" s="249">
        <v>43535</v>
      </c>
      <c r="G2262" s="249">
        <v>45361</v>
      </c>
      <c r="H2262" s="247" t="s">
        <v>14</v>
      </c>
      <c r="I2262" s="250" t="s">
        <v>79</v>
      </c>
    </row>
    <row r="2263" spans="1:9">
      <c r="A2263" s="246">
        <v>2259</v>
      </c>
      <c r="B2263" s="247" t="s">
        <v>274</v>
      </c>
      <c r="C2263" s="302" t="str">
        <f>"14343"</f>
        <v>14343</v>
      </c>
      <c r="D2263" s="247" t="s">
        <v>18</v>
      </c>
      <c r="E2263" s="248">
        <v>10</v>
      </c>
      <c r="F2263" s="249">
        <v>43493</v>
      </c>
      <c r="G2263" s="249">
        <v>45318</v>
      </c>
      <c r="H2263" s="247" t="s">
        <v>14</v>
      </c>
      <c r="I2263" s="250" t="s">
        <v>79</v>
      </c>
    </row>
    <row r="2264" spans="1:9">
      <c r="A2264" s="246">
        <v>2260</v>
      </c>
      <c r="B2264" s="247" t="s">
        <v>3593</v>
      </c>
      <c r="C2264" s="302" t="str">
        <f>"14344"</f>
        <v>14344</v>
      </c>
      <c r="D2264" s="247" t="s">
        <v>18</v>
      </c>
      <c r="E2264" s="248">
        <v>14</v>
      </c>
      <c r="F2264" s="249">
        <v>43560</v>
      </c>
      <c r="G2264" s="249">
        <v>45386</v>
      </c>
      <c r="H2264" s="247" t="s">
        <v>16</v>
      </c>
      <c r="I2264" s="250" t="s">
        <v>438</v>
      </c>
    </row>
    <row r="2265" spans="1:9">
      <c r="A2265" s="246">
        <v>2261</v>
      </c>
      <c r="B2265" s="247" t="s">
        <v>3593</v>
      </c>
      <c r="C2265" s="302" t="str">
        <f>"14345"</f>
        <v>14345</v>
      </c>
      <c r="D2265" s="247" t="s">
        <v>18</v>
      </c>
      <c r="E2265" s="248">
        <v>40</v>
      </c>
      <c r="F2265" s="249">
        <v>43550</v>
      </c>
      <c r="G2265" s="249">
        <v>45376</v>
      </c>
      <c r="H2265" s="247" t="s">
        <v>59</v>
      </c>
      <c r="I2265" s="250" t="s">
        <v>438</v>
      </c>
    </row>
    <row r="2266" spans="1:9">
      <c r="A2266" s="246">
        <v>2262</v>
      </c>
      <c r="B2266" s="247" t="s">
        <v>3593</v>
      </c>
      <c r="C2266" s="302" t="str">
        <f>"14347"</f>
        <v>14347</v>
      </c>
      <c r="D2266" s="247" t="s">
        <v>18</v>
      </c>
      <c r="E2266" s="248">
        <v>14</v>
      </c>
      <c r="F2266" s="249">
        <v>43560</v>
      </c>
      <c r="G2266" s="249">
        <v>45386</v>
      </c>
      <c r="H2266" s="247" t="s">
        <v>16</v>
      </c>
      <c r="I2266" s="250" t="s">
        <v>438</v>
      </c>
    </row>
    <row r="2267" spans="1:9">
      <c r="A2267" s="246">
        <v>2263</v>
      </c>
      <c r="B2267" s="247" t="s">
        <v>278</v>
      </c>
      <c r="C2267" s="302" t="str">
        <f>"14354"</f>
        <v>14354</v>
      </c>
      <c r="D2267" s="247" t="s">
        <v>18</v>
      </c>
      <c r="E2267" s="248">
        <v>12</v>
      </c>
      <c r="F2267" s="249">
        <v>43441</v>
      </c>
      <c r="G2267" s="249">
        <v>45266</v>
      </c>
      <c r="H2267" s="247" t="s">
        <v>14</v>
      </c>
      <c r="I2267" s="250" t="s">
        <v>79</v>
      </c>
    </row>
    <row r="2268" spans="1:9">
      <c r="A2268" s="246">
        <v>2264</v>
      </c>
      <c r="B2268" s="247" t="s">
        <v>270</v>
      </c>
      <c r="C2268" s="302" t="str">
        <f>"14355"</f>
        <v>14355</v>
      </c>
      <c r="D2268" s="247" t="s">
        <v>18</v>
      </c>
      <c r="E2268" s="248">
        <v>10</v>
      </c>
      <c r="F2268" s="249">
        <v>43577</v>
      </c>
      <c r="G2268" s="249">
        <v>45403</v>
      </c>
      <c r="H2268" s="247" t="s">
        <v>16</v>
      </c>
      <c r="I2268" s="250" t="s">
        <v>79</v>
      </c>
    </row>
    <row r="2269" spans="1:9">
      <c r="A2269" s="246">
        <v>2265</v>
      </c>
      <c r="B2269" s="247" t="s">
        <v>270</v>
      </c>
      <c r="C2269" s="302" t="str">
        <f>"14356"</f>
        <v>14356</v>
      </c>
      <c r="D2269" s="247" t="s">
        <v>18</v>
      </c>
      <c r="E2269" s="248">
        <v>6</v>
      </c>
      <c r="F2269" s="249">
        <v>43577</v>
      </c>
      <c r="G2269" s="249">
        <v>45403</v>
      </c>
      <c r="H2269" s="247" t="s">
        <v>16</v>
      </c>
      <c r="I2269" s="250" t="s">
        <v>79</v>
      </c>
    </row>
    <row r="2270" spans="1:9">
      <c r="A2270" s="246">
        <v>2266</v>
      </c>
      <c r="B2270" s="247" t="s">
        <v>279</v>
      </c>
      <c r="C2270" s="302" t="str">
        <f>"14357"</f>
        <v>14357</v>
      </c>
      <c r="D2270" s="247" t="s">
        <v>18</v>
      </c>
      <c r="E2270" s="248">
        <v>2</v>
      </c>
      <c r="F2270" s="249">
        <v>43529</v>
      </c>
      <c r="G2270" s="249">
        <v>45355</v>
      </c>
      <c r="H2270" s="247" t="s">
        <v>219</v>
      </c>
      <c r="I2270" s="250" t="s">
        <v>79</v>
      </c>
    </row>
    <row r="2271" spans="1:9">
      <c r="A2271" s="246">
        <v>2267</v>
      </c>
      <c r="B2271" s="247" t="s">
        <v>43</v>
      </c>
      <c r="C2271" s="302" t="str">
        <f>"14366"</f>
        <v>14366</v>
      </c>
      <c r="D2271" s="247" t="s">
        <v>13</v>
      </c>
      <c r="E2271" s="248">
        <v>3</v>
      </c>
      <c r="F2271" s="249">
        <v>43486</v>
      </c>
      <c r="G2271" s="249">
        <v>45384</v>
      </c>
      <c r="H2271" s="247" t="s">
        <v>14</v>
      </c>
      <c r="I2271" s="250" t="s">
        <v>79</v>
      </c>
    </row>
    <row r="2272" spans="1:9">
      <c r="A2272" s="246">
        <v>2268</v>
      </c>
      <c r="B2272" s="247" t="s">
        <v>43</v>
      </c>
      <c r="C2272" s="302" t="str">
        <f>"14367"</f>
        <v>14367</v>
      </c>
      <c r="D2272" s="247" t="s">
        <v>44</v>
      </c>
      <c r="E2272" s="248">
        <v>3</v>
      </c>
      <c r="F2272" s="249">
        <v>44673</v>
      </c>
      <c r="G2272" s="249">
        <v>46498</v>
      </c>
      <c r="H2272" s="247" t="s">
        <v>16</v>
      </c>
      <c r="I2272" s="250" t="s">
        <v>79</v>
      </c>
    </row>
    <row r="2273" spans="1:9">
      <c r="A2273" s="246">
        <v>2269</v>
      </c>
      <c r="B2273" s="247" t="s">
        <v>280</v>
      </c>
      <c r="C2273" s="302" t="str">
        <f>"14368"</f>
        <v>14368</v>
      </c>
      <c r="D2273" s="247" t="s">
        <v>18</v>
      </c>
      <c r="E2273" s="248">
        <v>24</v>
      </c>
      <c r="F2273" s="249">
        <v>43508</v>
      </c>
      <c r="G2273" s="249">
        <v>45333</v>
      </c>
      <c r="H2273" s="247" t="s">
        <v>16</v>
      </c>
      <c r="I2273" s="250" t="s">
        <v>79</v>
      </c>
    </row>
    <row r="2274" spans="1:9">
      <c r="A2274" s="246">
        <v>2270</v>
      </c>
      <c r="B2274" s="247" t="s">
        <v>280</v>
      </c>
      <c r="C2274" s="302" t="str">
        <f>"14369"</f>
        <v>14369</v>
      </c>
      <c r="D2274" s="247" t="s">
        <v>18</v>
      </c>
      <c r="E2274" s="248">
        <v>88</v>
      </c>
      <c r="F2274" s="249">
        <v>43508</v>
      </c>
      <c r="G2274" s="249">
        <v>45333</v>
      </c>
      <c r="H2274" s="247" t="s">
        <v>16</v>
      </c>
      <c r="I2274" s="250" t="s">
        <v>79</v>
      </c>
    </row>
    <row r="2275" spans="1:9">
      <c r="A2275" s="246">
        <v>2271</v>
      </c>
      <c r="B2275" s="247" t="s">
        <v>280</v>
      </c>
      <c r="C2275" s="302" t="str">
        <f>"14370"</f>
        <v>14370</v>
      </c>
      <c r="D2275" s="247" t="s">
        <v>18</v>
      </c>
      <c r="E2275" s="248">
        <v>24</v>
      </c>
      <c r="F2275" s="249">
        <v>43508</v>
      </c>
      <c r="G2275" s="249">
        <v>45333</v>
      </c>
      <c r="H2275" s="247" t="s">
        <v>16</v>
      </c>
      <c r="I2275" s="250" t="s">
        <v>79</v>
      </c>
    </row>
    <row r="2276" spans="1:9">
      <c r="A2276" s="246">
        <v>2272</v>
      </c>
      <c r="B2276" s="247" t="s">
        <v>280</v>
      </c>
      <c r="C2276" s="302" t="str">
        <f>"14371"</f>
        <v>14371</v>
      </c>
      <c r="D2276" s="247" t="s">
        <v>18</v>
      </c>
      <c r="E2276" s="248">
        <v>82</v>
      </c>
      <c r="F2276" s="249">
        <v>43508</v>
      </c>
      <c r="G2276" s="249">
        <v>45333</v>
      </c>
      <c r="H2276" s="247" t="s">
        <v>16</v>
      </c>
      <c r="I2276" s="250" t="s">
        <v>79</v>
      </c>
    </row>
    <row r="2277" spans="1:9">
      <c r="A2277" s="246">
        <v>2273</v>
      </c>
      <c r="B2277" s="247" t="s">
        <v>280</v>
      </c>
      <c r="C2277" s="302" t="str">
        <f>"14372"</f>
        <v>14372</v>
      </c>
      <c r="D2277" s="247" t="s">
        <v>18</v>
      </c>
      <c r="E2277" s="248">
        <v>42</v>
      </c>
      <c r="F2277" s="249">
        <v>43508</v>
      </c>
      <c r="G2277" s="249">
        <v>45333</v>
      </c>
      <c r="H2277" s="247" t="s">
        <v>14</v>
      </c>
      <c r="I2277" s="250" t="s">
        <v>79</v>
      </c>
    </row>
    <row r="2278" spans="1:9">
      <c r="A2278" s="246">
        <v>2274</v>
      </c>
      <c r="B2278" s="247" t="s">
        <v>280</v>
      </c>
      <c r="C2278" s="302" t="str">
        <f>"14373"</f>
        <v>14373</v>
      </c>
      <c r="D2278" s="247" t="s">
        <v>18</v>
      </c>
      <c r="E2278" s="248">
        <v>35</v>
      </c>
      <c r="F2278" s="249">
        <v>43508</v>
      </c>
      <c r="G2278" s="249">
        <v>45333</v>
      </c>
      <c r="H2278" s="247" t="s">
        <v>14</v>
      </c>
      <c r="I2278" s="250" t="s">
        <v>79</v>
      </c>
    </row>
    <row r="2279" spans="1:9">
      <c r="A2279" s="246">
        <v>2275</v>
      </c>
      <c r="B2279" s="247" t="s">
        <v>281</v>
      </c>
      <c r="C2279" s="302" t="str">
        <f>"14374"</f>
        <v>14374</v>
      </c>
      <c r="D2279" s="247" t="s">
        <v>18</v>
      </c>
      <c r="E2279" s="248">
        <v>22</v>
      </c>
      <c r="F2279" s="249">
        <v>43508</v>
      </c>
      <c r="G2279" s="249">
        <v>45333</v>
      </c>
      <c r="H2279" s="247" t="s">
        <v>16</v>
      </c>
      <c r="I2279" s="250" t="s">
        <v>79</v>
      </c>
    </row>
    <row r="2280" spans="1:9">
      <c r="A2280" s="246">
        <v>2276</v>
      </c>
      <c r="B2280" s="247" t="s">
        <v>281</v>
      </c>
      <c r="C2280" s="302" t="str">
        <f>"14375"</f>
        <v>14375</v>
      </c>
      <c r="D2280" s="247" t="s">
        <v>18</v>
      </c>
      <c r="E2280" s="248">
        <v>28</v>
      </c>
      <c r="F2280" s="249">
        <v>43508</v>
      </c>
      <c r="G2280" s="249">
        <v>45333</v>
      </c>
      <c r="H2280" s="247" t="s">
        <v>16</v>
      </c>
      <c r="I2280" s="250" t="s">
        <v>79</v>
      </c>
    </row>
    <row r="2281" spans="1:9">
      <c r="A2281" s="246">
        <v>2277</v>
      </c>
      <c r="B2281" s="247" t="s">
        <v>282</v>
      </c>
      <c r="C2281" s="302" t="str">
        <f>"14376"</f>
        <v>14376</v>
      </c>
      <c r="D2281" s="247" t="s">
        <v>18</v>
      </c>
      <c r="E2281" s="248">
        <v>106</v>
      </c>
      <c r="F2281" s="249">
        <v>43516</v>
      </c>
      <c r="G2281" s="249">
        <v>45341</v>
      </c>
      <c r="H2281" s="247" t="s">
        <v>16</v>
      </c>
      <c r="I2281" s="250" t="s">
        <v>79</v>
      </c>
    </row>
    <row r="2282" spans="1:9">
      <c r="A2282" s="246">
        <v>2278</v>
      </c>
      <c r="B2282" s="247" t="s">
        <v>282</v>
      </c>
      <c r="C2282" s="302" t="str">
        <f>"14377"</f>
        <v>14377</v>
      </c>
      <c r="D2282" s="247" t="s">
        <v>18</v>
      </c>
      <c r="E2282" s="248">
        <v>113</v>
      </c>
      <c r="F2282" s="249">
        <v>43516</v>
      </c>
      <c r="G2282" s="249">
        <v>45341</v>
      </c>
      <c r="H2282" s="247" t="s">
        <v>16</v>
      </c>
      <c r="I2282" s="250" t="s">
        <v>79</v>
      </c>
    </row>
    <row r="2283" spans="1:9">
      <c r="A2283" s="246">
        <v>2279</v>
      </c>
      <c r="B2283" s="247" t="s">
        <v>282</v>
      </c>
      <c r="C2283" s="302" t="str">
        <f>"14378"</f>
        <v>14378</v>
      </c>
      <c r="D2283" s="247" t="s">
        <v>18</v>
      </c>
      <c r="E2283" s="248">
        <v>73</v>
      </c>
      <c r="F2283" s="249">
        <v>43508</v>
      </c>
      <c r="G2283" s="249">
        <v>45333</v>
      </c>
      <c r="H2283" s="247" t="s">
        <v>16</v>
      </c>
      <c r="I2283" s="250" t="s">
        <v>3346</v>
      </c>
    </row>
    <row r="2284" spans="1:9">
      <c r="A2284" s="246">
        <v>2280</v>
      </c>
      <c r="B2284" s="247" t="s">
        <v>282</v>
      </c>
      <c r="C2284" s="302" t="str">
        <f>"14379"</f>
        <v>14379</v>
      </c>
      <c r="D2284" s="247" t="s">
        <v>18</v>
      </c>
      <c r="E2284" s="248">
        <v>30</v>
      </c>
      <c r="F2284" s="249">
        <v>43546</v>
      </c>
      <c r="G2284" s="249">
        <v>45372</v>
      </c>
      <c r="H2284" s="247" t="s">
        <v>16</v>
      </c>
      <c r="I2284" s="250" t="s">
        <v>79</v>
      </c>
    </row>
    <row r="2285" spans="1:9">
      <c r="A2285" s="246">
        <v>2281</v>
      </c>
      <c r="B2285" s="247" t="s">
        <v>282</v>
      </c>
      <c r="C2285" s="302" t="str">
        <f>"14380"</f>
        <v>14380</v>
      </c>
      <c r="D2285" s="247" t="s">
        <v>18</v>
      </c>
      <c r="E2285" s="248">
        <v>6</v>
      </c>
      <c r="F2285" s="249">
        <v>43546</v>
      </c>
      <c r="G2285" s="249">
        <v>45372</v>
      </c>
      <c r="H2285" s="247" t="s">
        <v>16</v>
      </c>
      <c r="I2285" s="250" t="s">
        <v>3346</v>
      </c>
    </row>
    <row r="2286" spans="1:9">
      <c r="A2286" s="246">
        <v>2282</v>
      </c>
      <c r="B2286" s="247" t="s">
        <v>282</v>
      </c>
      <c r="C2286" s="302" t="str">
        <f>"14381"</f>
        <v>14381</v>
      </c>
      <c r="D2286" s="247" t="s">
        <v>18</v>
      </c>
      <c r="E2286" s="248">
        <v>20</v>
      </c>
      <c r="F2286" s="249">
        <v>43546</v>
      </c>
      <c r="G2286" s="249">
        <v>45372</v>
      </c>
      <c r="H2286" s="247" t="s">
        <v>16</v>
      </c>
      <c r="I2286" s="250" t="s">
        <v>79</v>
      </c>
    </row>
    <row r="2287" spans="1:9">
      <c r="A2287" s="246">
        <v>2283</v>
      </c>
      <c r="B2287" s="247" t="s">
        <v>283</v>
      </c>
      <c r="C2287" s="302" t="str">
        <f>"14382"</f>
        <v>14382</v>
      </c>
      <c r="D2287" s="247" t="s">
        <v>18</v>
      </c>
      <c r="E2287" s="248">
        <v>10</v>
      </c>
      <c r="F2287" s="249">
        <v>43508</v>
      </c>
      <c r="G2287" s="249">
        <v>45333</v>
      </c>
      <c r="H2287" s="247" t="s">
        <v>16</v>
      </c>
      <c r="I2287" s="250" t="s">
        <v>79</v>
      </c>
    </row>
    <row r="2288" spans="1:9">
      <c r="A2288" s="246">
        <v>2284</v>
      </c>
      <c r="B2288" s="247" t="s">
        <v>283</v>
      </c>
      <c r="C2288" s="302" t="str">
        <f>"14383"</f>
        <v>14383</v>
      </c>
      <c r="D2288" s="247" t="s">
        <v>18</v>
      </c>
      <c r="E2288" s="248">
        <v>5</v>
      </c>
      <c r="F2288" s="249">
        <v>43508</v>
      </c>
      <c r="G2288" s="249">
        <v>45333</v>
      </c>
      <c r="H2288" s="247" t="s">
        <v>16</v>
      </c>
      <c r="I2288" s="250" t="s">
        <v>79</v>
      </c>
    </row>
    <row r="2289" spans="1:9">
      <c r="A2289" s="246">
        <v>2285</v>
      </c>
      <c r="B2289" s="247" t="s">
        <v>314</v>
      </c>
      <c r="C2289" s="302" t="str">
        <f>"14384"</f>
        <v>14384</v>
      </c>
      <c r="D2289" s="247" t="s">
        <v>18</v>
      </c>
      <c r="E2289" s="248">
        <v>18</v>
      </c>
      <c r="F2289" s="249">
        <v>43529</v>
      </c>
      <c r="G2289" s="249">
        <v>45355</v>
      </c>
      <c r="H2289" s="247" t="s">
        <v>14</v>
      </c>
      <c r="I2289" s="250" t="s">
        <v>438</v>
      </c>
    </row>
    <row r="2290" spans="1:9">
      <c r="A2290" s="246">
        <v>2286</v>
      </c>
      <c r="B2290" s="247" t="s">
        <v>405</v>
      </c>
      <c r="C2290" s="302" t="str">
        <f>"14386"</f>
        <v>14386</v>
      </c>
      <c r="D2290" s="247" t="s">
        <v>18</v>
      </c>
      <c r="E2290" s="248">
        <v>5</v>
      </c>
      <c r="F2290" s="249">
        <v>43529</v>
      </c>
      <c r="G2290" s="249">
        <v>45355</v>
      </c>
      <c r="H2290" s="247" t="s">
        <v>14</v>
      </c>
      <c r="I2290" s="250" t="s">
        <v>448</v>
      </c>
    </row>
    <row r="2291" spans="1:9">
      <c r="A2291" s="246">
        <v>2287</v>
      </c>
      <c r="B2291" s="247" t="s">
        <v>284</v>
      </c>
      <c r="C2291" s="302" t="str">
        <f>"14387"</f>
        <v>14387</v>
      </c>
      <c r="D2291" s="247" t="s">
        <v>18</v>
      </c>
      <c r="E2291" s="248">
        <v>10</v>
      </c>
      <c r="F2291" s="249">
        <v>43529</v>
      </c>
      <c r="G2291" s="249">
        <v>45355</v>
      </c>
      <c r="H2291" s="247" t="s">
        <v>16</v>
      </c>
      <c r="I2291" s="250" t="s">
        <v>79</v>
      </c>
    </row>
    <row r="2292" spans="1:9">
      <c r="A2292" s="246">
        <v>2288</v>
      </c>
      <c r="B2292" s="247" t="s">
        <v>284</v>
      </c>
      <c r="C2292" s="302" t="str">
        <f>"14388"</f>
        <v>14388</v>
      </c>
      <c r="D2292" s="247" t="s">
        <v>18</v>
      </c>
      <c r="E2292" s="248">
        <v>9</v>
      </c>
      <c r="F2292" s="249">
        <v>43529</v>
      </c>
      <c r="G2292" s="249">
        <v>45355</v>
      </c>
      <c r="H2292" s="247" t="s">
        <v>14</v>
      </c>
      <c r="I2292" s="250" t="s">
        <v>79</v>
      </c>
    </row>
    <row r="2293" spans="1:9">
      <c r="A2293" s="246">
        <v>2289</v>
      </c>
      <c r="B2293" s="247" t="s">
        <v>284</v>
      </c>
      <c r="C2293" s="302" t="str">
        <f>"14389"</f>
        <v>14389</v>
      </c>
      <c r="D2293" s="247" t="s">
        <v>18</v>
      </c>
      <c r="E2293" s="248">
        <v>8</v>
      </c>
      <c r="F2293" s="249">
        <v>43529</v>
      </c>
      <c r="G2293" s="249">
        <v>45355</v>
      </c>
      <c r="H2293" s="247" t="s">
        <v>14</v>
      </c>
      <c r="I2293" s="250" t="s">
        <v>79</v>
      </c>
    </row>
    <row r="2294" spans="1:9">
      <c r="A2294" s="246">
        <v>2290</v>
      </c>
      <c r="B2294" s="247" t="s">
        <v>284</v>
      </c>
      <c r="C2294" s="302" t="str">
        <f>"14390"</f>
        <v>14390</v>
      </c>
      <c r="D2294" s="247" t="s">
        <v>18</v>
      </c>
      <c r="E2294" s="248">
        <v>9</v>
      </c>
      <c r="F2294" s="249">
        <v>43529</v>
      </c>
      <c r="G2294" s="249">
        <v>45355</v>
      </c>
      <c r="H2294" s="247" t="s">
        <v>14</v>
      </c>
      <c r="I2294" s="250" t="s">
        <v>79</v>
      </c>
    </row>
    <row r="2295" spans="1:9">
      <c r="A2295" s="246">
        <v>2291</v>
      </c>
      <c r="B2295" s="247" t="s">
        <v>293</v>
      </c>
      <c r="C2295" s="302" t="str">
        <f>"14391"</f>
        <v>14391</v>
      </c>
      <c r="D2295" s="247" t="s">
        <v>18</v>
      </c>
      <c r="E2295" s="248">
        <v>5</v>
      </c>
      <c r="F2295" s="249">
        <v>43538</v>
      </c>
      <c r="G2295" s="249">
        <v>45364</v>
      </c>
      <c r="H2295" s="247" t="s">
        <v>16</v>
      </c>
      <c r="I2295" s="250" t="s">
        <v>3346</v>
      </c>
    </row>
    <row r="2296" spans="1:9">
      <c r="A2296" s="246">
        <v>2292</v>
      </c>
      <c r="B2296" s="247" t="s">
        <v>247</v>
      </c>
      <c r="C2296" s="302" t="str">
        <f>"14392"</f>
        <v>14392</v>
      </c>
      <c r="D2296" s="247" t="s">
        <v>18</v>
      </c>
      <c r="E2296" s="248">
        <v>48</v>
      </c>
      <c r="F2296" s="249">
        <v>43529</v>
      </c>
      <c r="G2296" s="249">
        <v>45355</v>
      </c>
      <c r="H2296" s="247" t="s">
        <v>24</v>
      </c>
      <c r="I2296" s="250" t="s">
        <v>79</v>
      </c>
    </row>
    <row r="2297" spans="1:9">
      <c r="A2297" s="246">
        <v>2293</v>
      </c>
      <c r="B2297" s="247" t="s">
        <v>285</v>
      </c>
      <c r="C2297" s="302" t="str">
        <f>"14394"</f>
        <v>14394</v>
      </c>
      <c r="D2297" s="247" t="s">
        <v>30</v>
      </c>
      <c r="E2297" s="248">
        <v>13</v>
      </c>
      <c r="F2297" s="249">
        <v>43529</v>
      </c>
      <c r="G2297" s="249">
        <v>45355</v>
      </c>
      <c r="H2297" s="247" t="s">
        <v>16</v>
      </c>
      <c r="I2297" s="250" t="s">
        <v>79</v>
      </c>
    </row>
    <row r="2298" spans="1:9">
      <c r="A2298" s="246">
        <v>2294</v>
      </c>
      <c r="B2298" s="247" t="s">
        <v>3594</v>
      </c>
      <c r="C2298" s="302" t="str">
        <f>"14396"</f>
        <v>14396</v>
      </c>
      <c r="D2298" s="247" t="s">
        <v>18</v>
      </c>
      <c r="E2298" s="248">
        <v>5</v>
      </c>
      <c r="F2298" s="249">
        <v>43543</v>
      </c>
      <c r="G2298" s="249">
        <v>45369</v>
      </c>
      <c r="H2298" s="247" t="s">
        <v>14</v>
      </c>
      <c r="I2298" s="250" t="s">
        <v>438</v>
      </c>
    </row>
    <row r="2299" spans="1:9">
      <c r="A2299" s="246">
        <v>2295</v>
      </c>
      <c r="B2299" s="247" t="s">
        <v>3594</v>
      </c>
      <c r="C2299" s="302" t="str">
        <f>"14397"</f>
        <v>14397</v>
      </c>
      <c r="D2299" s="247" t="s">
        <v>18</v>
      </c>
      <c r="E2299" s="248">
        <v>6</v>
      </c>
      <c r="F2299" s="249">
        <v>43550</v>
      </c>
      <c r="G2299" s="249">
        <v>45376</v>
      </c>
      <c r="H2299" s="247" t="s">
        <v>16</v>
      </c>
      <c r="I2299" s="250" t="s">
        <v>438</v>
      </c>
    </row>
    <row r="2300" spans="1:9">
      <c r="A2300" s="246">
        <v>2296</v>
      </c>
      <c r="B2300" s="247" t="s">
        <v>279</v>
      </c>
      <c r="C2300" s="302" t="str">
        <f>"14399"</f>
        <v>14399</v>
      </c>
      <c r="D2300" s="247" t="s">
        <v>18</v>
      </c>
      <c r="E2300" s="248">
        <v>4</v>
      </c>
      <c r="F2300" s="249">
        <v>43529</v>
      </c>
      <c r="G2300" s="249">
        <v>45355</v>
      </c>
      <c r="H2300" s="247" t="s">
        <v>219</v>
      </c>
      <c r="I2300" s="250" t="s">
        <v>79</v>
      </c>
    </row>
    <row r="2301" spans="1:9">
      <c r="A2301" s="246">
        <v>2297</v>
      </c>
      <c r="B2301" s="247" t="s">
        <v>286</v>
      </c>
      <c r="C2301" s="302" t="str">
        <f>"14400"</f>
        <v>14400</v>
      </c>
      <c r="D2301" s="247" t="s">
        <v>18</v>
      </c>
      <c r="E2301" s="248">
        <v>50</v>
      </c>
      <c r="F2301" s="249">
        <v>43560</v>
      </c>
      <c r="G2301" s="249">
        <v>45386</v>
      </c>
      <c r="H2301" s="247" t="s">
        <v>16</v>
      </c>
      <c r="I2301" s="250" t="s">
        <v>79</v>
      </c>
    </row>
    <row r="2302" spans="1:9">
      <c r="A2302" s="246">
        <v>2298</v>
      </c>
      <c r="B2302" s="247" t="s">
        <v>287</v>
      </c>
      <c r="C2302" s="302" t="str">
        <f>"14401"</f>
        <v>14401</v>
      </c>
      <c r="D2302" s="247" t="s">
        <v>18</v>
      </c>
      <c r="E2302" s="248">
        <v>32</v>
      </c>
      <c r="F2302" s="249">
        <v>43535</v>
      </c>
      <c r="G2302" s="249">
        <v>45361</v>
      </c>
      <c r="H2302" s="247" t="s">
        <v>14</v>
      </c>
      <c r="I2302" s="250" t="s">
        <v>79</v>
      </c>
    </row>
    <row r="2303" spans="1:9">
      <c r="A2303" s="246">
        <v>2299</v>
      </c>
      <c r="B2303" s="247" t="s">
        <v>287</v>
      </c>
      <c r="C2303" s="302" t="str">
        <f>"14402"</f>
        <v>14402</v>
      </c>
      <c r="D2303" s="247" t="s">
        <v>18</v>
      </c>
      <c r="E2303" s="248">
        <v>21</v>
      </c>
      <c r="F2303" s="249">
        <v>43535</v>
      </c>
      <c r="G2303" s="249">
        <v>45361</v>
      </c>
      <c r="H2303" s="247" t="s">
        <v>84</v>
      </c>
      <c r="I2303" s="250" t="s">
        <v>79</v>
      </c>
    </row>
    <row r="2304" spans="1:9">
      <c r="A2304" s="246">
        <v>2300</v>
      </c>
      <c r="B2304" s="247" t="s">
        <v>287</v>
      </c>
      <c r="C2304" s="302" t="str">
        <f>"14403"</f>
        <v>14403</v>
      </c>
      <c r="D2304" s="247" t="s">
        <v>18</v>
      </c>
      <c r="E2304" s="248">
        <v>52</v>
      </c>
      <c r="F2304" s="249">
        <v>43535</v>
      </c>
      <c r="G2304" s="249">
        <v>45361</v>
      </c>
      <c r="H2304" s="247" t="s">
        <v>32</v>
      </c>
      <c r="I2304" s="250" t="s">
        <v>79</v>
      </c>
    </row>
    <row r="2305" spans="1:9">
      <c r="A2305" s="246">
        <v>2301</v>
      </c>
      <c r="B2305" s="247" t="s">
        <v>282</v>
      </c>
      <c r="C2305" s="302" t="str">
        <f>"14404"</f>
        <v>14404</v>
      </c>
      <c r="D2305" s="247" t="s">
        <v>18</v>
      </c>
      <c r="E2305" s="248">
        <v>24</v>
      </c>
      <c r="F2305" s="249">
        <v>43585</v>
      </c>
      <c r="G2305" s="249">
        <v>45411</v>
      </c>
      <c r="H2305" s="247" t="s">
        <v>14</v>
      </c>
      <c r="I2305" s="250" t="s">
        <v>79</v>
      </c>
    </row>
    <row r="2306" spans="1:9">
      <c r="A2306" s="246">
        <v>2302</v>
      </c>
      <c r="B2306" s="247" t="s">
        <v>282</v>
      </c>
      <c r="C2306" s="302" t="str">
        <f>"14405"</f>
        <v>14405</v>
      </c>
      <c r="D2306" s="247" t="s">
        <v>18</v>
      </c>
      <c r="E2306" s="248">
        <v>7</v>
      </c>
      <c r="F2306" s="249">
        <v>43585</v>
      </c>
      <c r="G2306" s="249">
        <v>45411</v>
      </c>
      <c r="H2306" s="247" t="s">
        <v>14</v>
      </c>
      <c r="I2306" s="250" t="s">
        <v>79</v>
      </c>
    </row>
    <row r="2307" spans="1:9">
      <c r="A2307" s="246">
        <v>2303</v>
      </c>
      <c r="B2307" s="247" t="s">
        <v>288</v>
      </c>
      <c r="C2307" s="302" t="str">
        <f>"14408"</f>
        <v>14408</v>
      </c>
      <c r="D2307" s="247" t="s">
        <v>18</v>
      </c>
      <c r="E2307" s="248">
        <v>30</v>
      </c>
      <c r="F2307" s="249">
        <v>43539</v>
      </c>
      <c r="G2307" s="249">
        <v>45365</v>
      </c>
      <c r="H2307" s="247" t="s">
        <v>16</v>
      </c>
      <c r="I2307" s="250" t="s">
        <v>79</v>
      </c>
    </row>
    <row r="2308" spans="1:9">
      <c r="A2308" s="246">
        <v>2304</v>
      </c>
      <c r="B2308" s="247" t="s">
        <v>3595</v>
      </c>
      <c r="C2308" s="302" t="str">
        <f>"14412"</f>
        <v>14412</v>
      </c>
      <c r="D2308" s="247" t="s">
        <v>18</v>
      </c>
      <c r="E2308" s="248">
        <v>26</v>
      </c>
      <c r="F2308" s="249">
        <v>43535</v>
      </c>
      <c r="G2308" s="249">
        <v>45361</v>
      </c>
      <c r="H2308" s="247" t="s">
        <v>24</v>
      </c>
      <c r="I2308" s="250" t="s">
        <v>438</v>
      </c>
    </row>
    <row r="2309" spans="1:9">
      <c r="A2309" s="246">
        <v>2305</v>
      </c>
      <c r="B2309" s="247" t="s">
        <v>276</v>
      </c>
      <c r="C2309" s="302" t="str">
        <f>"14414"</f>
        <v>14414</v>
      </c>
      <c r="D2309" s="247" t="s">
        <v>18</v>
      </c>
      <c r="E2309" s="248">
        <v>22</v>
      </c>
      <c r="F2309" s="249">
        <v>43550</v>
      </c>
      <c r="G2309" s="249">
        <v>45376</v>
      </c>
      <c r="H2309" s="247" t="s">
        <v>277</v>
      </c>
      <c r="I2309" s="250" t="s">
        <v>79</v>
      </c>
    </row>
    <row r="2310" spans="1:9">
      <c r="A2310" s="246">
        <v>2306</v>
      </c>
      <c r="B2310" s="247" t="s">
        <v>3596</v>
      </c>
      <c r="C2310" s="302" t="str">
        <f>"14415"</f>
        <v>14415</v>
      </c>
      <c r="D2310" s="247" t="s">
        <v>21</v>
      </c>
      <c r="E2310" s="248">
        <v>4</v>
      </c>
      <c r="F2310" s="249">
        <v>43641</v>
      </c>
      <c r="G2310" s="249">
        <v>44006</v>
      </c>
      <c r="H2310" s="247" t="s">
        <v>84</v>
      </c>
      <c r="I2310" s="250" t="s">
        <v>433</v>
      </c>
    </row>
    <row r="2311" spans="1:9">
      <c r="A2311" s="246">
        <v>2307</v>
      </c>
      <c r="B2311" s="247" t="s">
        <v>543</v>
      </c>
      <c r="C2311" s="302" t="str">
        <f>"14416"</f>
        <v>14416</v>
      </c>
      <c r="D2311" s="247" t="s">
        <v>23</v>
      </c>
      <c r="E2311" s="248">
        <v>1</v>
      </c>
      <c r="F2311" s="249">
        <v>43728</v>
      </c>
      <c r="G2311" s="249">
        <v>44093</v>
      </c>
      <c r="H2311" s="247" t="s">
        <v>84</v>
      </c>
      <c r="I2311" s="250" t="s">
        <v>3413</v>
      </c>
    </row>
    <row r="2312" spans="1:9">
      <c r="A2312" s="246">
        <v>2308</v>
      </c>
      <c r="B2312" s="247" t="s">
        <v>2880</v>
      </c>
      <c r="C2312" s="302" t="str">
        <f>"14417"</f>
        <v>14417</v>
      </c>
      <c r="D2312" s="247" t="s">
        <v>18</v>
      </c>
      <c r="E2312" s="248">
        <v>31</v>
      </c>
      <c r="F2312" s="249">
        <v>43560</v>
      </c>
      <c r="G2312" s="249">
        <v>45386</v>
      </c>
      <c r="H2312" s="247" t="s">
        <v>16</v>
      </c>
      <c r="I2312" s="250" t="s">
        <v>438</v>
      </c>
    </row>
    <row r="2313" spans="1:9">
      <c r="A2313" s="246">
        <v>2309</v>
      </c>
      <c r="B2313" s="247" t="s">
        <v>289</v>
      </c>
      <c r="C2313" s="302" t="str">
        <f>"14418"</f>
        <v>14418</v>
      </c>
      <c r="D2313" s="247" t="s">
        <v>18</v>
      </c>
      <c r="E2313" s="248">
        <v>4</v>
      </c>
      <c r="F2313" s="249">
        <v>43543</v>
      </c>
      <c r="G2313" s="249">
        <v>45369</v>
      </c>
      <c r="H2313" s="247" t="s">
        <v>16</v>
      </c>
      <c r="I2313" s="250" t="s">
        <v>79</v>
      </c>
    </row>
    <row r="2314" spans="1:9">
      <c r="A2314" s="246">
        <v>2310</v>
      </c>
      <c r="B2314" s="247" t="s">
        <v>289</v>
      </c>
      <c r="C2314" s="302" t="str">
        <f>"14419"</f>
        <v>14419</v>
      </c>
      <c r="D2314" s="247" t="s">
        <v>18</v>
      </c>
      <c r="E2314" s="248">
        <v>6</v>
      </c>
      <c r="F2314" s="249">
        <v>43543</v>
      </c>
      <c r="G2314" s="249">
        <v>45369</v>
      </c>
      <c r="H2314" s="247" t="s">
        <v>16</v>
      </c>
      <c r="I2314" s="250" t="s">
        <v>79</v>
      </c>
    </row>
    <row r="2315" spans="1:9">
      <c r="A2315" s="246">
        <v>2311</v>
      </c>
      <c r="B2315" s="247" t="s">
        <v>289</v>
      </c>
      <c r="C2315" s="302" t="str">
        <f>"14420"</f>
        <v>14420</v>
      </c>
      <c r="D2315" s="247" t="s">
        <v>18</v>
      </c>
      <c r="E2315" s="248">
        <v>8</v>
      </c>
      <c r="F2315" s="249">
        <v>43543</v>
      </c>
      <c r="G2315" s="249">
        <v>45369</v>
      </c>
      <c r="H2315" s="247" t="s">
        <v>14</v>
      </c>
      <c r="I2315" s="250" t="s">
        <v>79</v>
      </c>
    </row>
    <row r="2316" spans="1:9">
      <c r="A2316" s="246">
        <v>2312</v>
      </c>
      <c r="B2316" s="247" t="s">
        <v>3597</v>
      </c>
      <c r="C2316" s="302" t="str">
        <f>"14424"</f>
        <v>14424</v>
      </c>
      <c r="D2316" s="247" t="s">
        <v>23</v>
      </c>
      <c r="E2316" s="248">
        <v>4</v>
      </c>
      <c r="F2316" s="249">
        <v>43634</v>
      </c>
      <c r="G2316" s="249">
        <v>43999</v>
      </c>
      <c r="H2316" s="247" t="s">
        <v>84</v>
      </c>
      <c r="I2316" s="250" t="s">
        <v>3413</v>
      </c>
    </row>
    <row r="2317" spans="1:9">
      <c r="A2317" s="246">
        <v>2313</v>
      </c>
      <c r="B2317" s="247" t="s">
        <v>544</v>
      </c>
      <c r="C2317" s="302" t="str">
        <f>"14427"</f>
        <v>14427</v>
      </c>
      <c r="D2317" s="247" t="s">
        <v>23</v>
      </c>
      <c r="E2317" s="248">
        <v>4</v>
      </c>
      <c r="F2317" s="249">
        <v>43634</v>
      </c>
      <c r="G2317" s="249">
        <v>43999</v>
      </c>
      <c r="H2317" s="247" t="s">
        <v>16</v>
      </c>
      <c r="I2317" s="250" t="s">
        <v>3413</v>
      </c>
    </row>
    <row r="2318" spans="1:9">
      <c r="A2318" s="246">
        <v>2314</v>
      </c>
      <c r="B2318" s="247" t="s">
        <v>544</v>
      </c>
      <c r="C2318" s="302" t="str">
        <f>"14428"</f>
        <v>14428</v>
      </c>
      <c r="D2318" s="247" t="s">
        <v>23</v>
      </c>
      <c r="E2318" s="248">
        <v>4</v>
      </c>
      <c r="F2318" s="249">
        <v>43634</v>
      </c>
      <c r="G2318" s="249">
        <v>43999</v>
      </c>
      <c r="H2318" s="247" t="s">
        <v>16</v>
      </c>
      <c r="I2318" s="250" t="s">
        <v>3413</v>
      </c>
    </row>
    <row r="2319" spans="1:9">
      <c r="A2319" s="246">
        <v>2315</v>
      </c>
      <c r="B2319" s="247" t="s">
        <v>544</v>
      </c>
      <c r="C2319" s="302" t="str">
        <f>"14429"</f>
        <v>14429</v>
      </c>
      <c r="D2319" s="247" t="s">
        <v>23</v>
      </c>
      <c r="E2319" s="248">
        <v>4</v>
      </c>
      <c r="F2319" s="249">
        <v>43634</v>
      </c>
      <c r="G2319" s="249">
        <v>43999</v>
      </c>
      <c r="H2319" s="247" t="s">
        <v>16</v>
      </c>
      <c r="I2319" s="250" t="s">
        <v>3413</v>
      </c>
    </row>
    <row r="2320" spans="1:9">
      <c r="A2320" s="246">
        <v>2316</v>
      </c>
      <c r="B2320" s="247" t="s">
        <v>544</v>
      </c>
      <c r="C2320" s="302" t="str">
        <f>"14431"</f>
        <v>14431</v>
      </c>
      <c r="D2320" s="247" t="s">
        <v>23</v>
      </c>
      <c r="E2320" s="248">
        <v>4</v>
      </c>
      <c r="F2320" s="249">
        <v>43634</v>
      </c>
      <c r="G2320" s="249">
        <v>43999</v>
      </c>
      <c r="H2320" s="247" t="s">
        <v>16</v>
      </c>
      <c r="I2320" s="250" t="s">
        <v>3413</v>
      </c>
    </row>
    <row r="2321" spans="1:9">
      <c r="A2321" s="246">
        <v>2317</v>
      </c>
      <c r="B2321" s="247" t="s">
        <v>544</v>
      </c>
      <c r="C2321" s="302" t="str">
        <f>"14433"</f>
        <v>14433</v>
      </c>
      <c r="D2321" s="247" t="s">
        <v>23</v>
      </c>
      <c r="E2321" s="248">
        <v>4</v>
      </c>
      <c r="F2321" s="249">
        <v>43634</v>
      </c>
      <c r="G2321" s="249">
        <v>43999</v>
      </c>
      <c r="H2321" s="247" t="s">
        <v>16</v>
      </c>
      <c r="I2321" s="250" t="s">
        <v>3413</v>
      </c>
    </row>
    <row r="2322" spans="1:9">
      <c r="A2322" s="246">
        <v>2318</v>
      </c>
      <c r="B2322" s="247" t="s">
        <v>544</v>
      </c>
      <c r="C2322" s="302" t="str">
        <f>"14434"</f>
        <v>14434</v>
      </c>
      <c r="D2322" s="247" t="s">
        <v>23</v>
      </c>
      <c r="E2322" s="248">
        <v>4</v>
      </c>
      <c r="F2322" s="249">
        <v>43634</v>
      </c>
      <c r="G2322" s="249">
        <v>43999</v>
      </c>
      <c r="H2322" s="247" t="s">
        <v>70</v>
      </c>
      <c r="I2322" s="250" t="s">
        <v>3413</v>
      </c>
    </row>
    <row r="2323" spans="1:9">
      <c r="A2323" s="246">
        <v>2319</v>
      </c>
      <c r="B2323" s="247" t="s">
        <v>3598</v>
      </c>
      <c r="C2323" s="302" t="str">
        <f>"14437"</f>
        <v>14437</v>
      </c>
      <c r="D2323" s="247" t="s">
        <v>18</v>
      </c>
      <c r="E2323" s="248">
        <v>18</v>
      </c>
      <c r="F2323" s="249">
        <v>43543</v>
      </c>
      <c r="G2323" s="249">
        <v>45369</v>
      </c>
      <c r="H2323" s="247" t="s">
        <v>16</v>
      </c>
      <c r="I2323" s="250" t="s">
        <v>3369</v>
      </c>
    </row>
    <row r="2324" spans="1:9">
      <c r="A2324" s="246">
        <v>2320</v>
      </c>
      <c r="B2324" s="247" t="s">
        <v>289</v>
      </c>
      <c r="C2324" s="302" t="str">
        <f>"14439"</f>
        <v>14439</v>
      </c>
      <c r="D2324" s="247" t="s">
        <v>18</v>
      </c>
      <c r="E2324" s="248">
        <v>5</v>
      </c>
      <c r="F2324" s="249">
        <v>43585</v>
      </c>
      <c r="G2324" s="249">
        <v>45411</v>
      </c>
      <c r="H2324" s="247" t="s">
        <v>14</v>
      </c>
      <c r="I2324" s="250" t="s">
        <v>79</v>
      </c>
    </row>
    <row r="2325" spans="1:9">
      <c r="A2325" s="246">
        <v>2321</v>
      </c>
      <c r="B2325" s="247" t="s">
        <v>289</v>
      </c>
      <c r="C2325" s="302" t="str">
        <f>"14440"</f>
        <v>14440</v>
      </c>
      <c r="D2325" s="247" t="s">
        <v>18</v>
      </c>
      <c r="E2325" s="248">
        <v>8</v>
      </c>
      <c r="F2325" s="249">
        <v>43585</v>
      </c>
      <c r="G2325" s="249">
        <v>45411</v>
      </c>
      <c r="H2325" s="247" t="s">
        <v>14</v>
      </c>
      <c r="I2325" s="250" t="s">
        <v>79</v>
      </c>
    </row>
    <row r="2326" spans="1:9">
      <c r="A2326" s="246">
        <v>2322</v>
      </c>
      <c r="B2326" s="247" t="s">
        <v>485</v>
      </c>
      <c r="C2326" s="302" t="str">
        <f>"14441"</f>
        <v>14441</v>
      </c>
      <c r="D2326" s="247" t="s">
        <v>18</v>
      </c>
      <c r="E2326" s="248">
        <v>2</v>
      </c>
      <c r="F2326" s="249">
        <v>43543</v>
      </c>
      <c r="G2326" s="249">
        <v>45369</v>
      </c>
      <c r="H2326" s="247" t="s">
        <v>84</v>
      </c>
      <c r="I2326" s="250" t="s">
        <v>438</v>
      </c>
    </row>
    <row r="2327" spans="1:9">
      <c r="A2327" s="246">
        <v>2323</v>
      </c>
      <c r="B2327" s="247" t="s">
        <v>485</v>
      </c>
      <c r="C2327" s="302" t="str">
        <f>"14442"</f>
        <v>14442</v>
      </c>
      <c r="D2327" s="247" t="s">
        <v>18</v>
      </c>
      <c r="E2327" s="248">
        <v>2</v>
      </c>
      <c r="F2327" s="249">
        <v>43543</v>
      </c>
      <c r="G2327" s="249">
        <v>45369</v>
      </c>
      <c r="H2327" s="247" t="s">
        <v>84</v>
      </c>
      <c r="I2327" s="250" t="s">
        <v>438</v>
      </c>
    </row>
    <row r="2328" spans="1:9">
      <c r="A2328" s="246">
        <v>2324</v>
      </c>
      <c r="B2328" s="247" t="s">
        <v>290</v>
      </c>
      <c r="C2328" s="302" t="str">
        <f>"14443"</f>
        <v>14443</v>
      </c>
      <c r="D2328" s="247" t="s">
        <v>18</v>
      </c>
      <c r="E2328" s="248">
        <v>7</v>
      </c>
      <c r="F2328" s="249">
        <v>43585</v>
      </c>
      <c r="G2328" s="249">
        <v>45411</v>
      </c>
      <c r="H2328" s="247" t="s">
        <v>32</v>
      </c>
      <c r="I2328" s="250" t="s">
        <v>438</v>
      </c>
    </row>
    <row r="2329" spans="1:9">
      <c r="A2329" s="246">
        <v>2325</v>
      </c>
      <c r="B2329" s="247" t="s">
        <v>290</v>
      </c>
      <c r="C2329" s="302" t="str">
        <f>"14444"</f>
        <v>14444</v>
      </c>
      <c r="D2329" s="247" t="s">
        <v>18</v>
      </c>
      <c r="E2329" s="248">
        <v>3</v>
      </c>
      <c r="F2329" s="249">
        <v>43585</v>
      </c>
      <c r="G2329" s="249">
        <v>45411</v>
      </c>
      <c r="H2329" s="247" t="s">
        <v>32</v>
      </c>
      <c r="I2329" s="250" t="s">
        <v>79</v>
      </c>
    </row>
    <row r="2330" spans="1:9">
      <c r="A2330" s="246">
        <v>2326</v>
      </c>
      <c r="B2330" s="247" t="s">
        <v>242</v>
      </c>
      <c r="C2330" s="302" t="str">
        <f>"14445"</f>
        <v>14445</v>
      </c>
      <c r="D2330" s="247" t="s">
        <v>18</v>
      </c>
      <c r="E2330" s="248">
        <v>4</v>
      </c>
      <c r="F2330" s="249">
        <v>43543</v>
      </c>
      <c r="G2330" s="249">
        <v>45369</v>
      </c>
      <c r="H2330" s="247" t="s">
        <v>14</v>
      </c>
      <c r="I2330" s="250" t="s">
        <v>79</v>
      </c>
    </row>
    <row r="2331" spans="1:9">
      <c r="A2331" s="246">
        <v>2327</v>
      </c>
      <c r="B2331" s="247" t="s">
        <v>291</v>
      </c>
      <c r="C2331" s="302" t="str">
        <f>"14446"</f>
        <v>14446</v>
      </c>
      <c r="D2331" s="247" t="s">
        <v>18</v>
      </c>
      <c r="E2331" s="248">
        <v>6</v>
      </c>
      <c r="F2331" s="249">
        <v>43684</v>
      </c>
      <c r="G2331" s="249">
        <v>45510</v>
      </c>
      <c r="H2331" s="247" t="s">
        <v>19</v>
      </c>
      <c r="I2331" s="250" t="s">
        <v>79</v>
      </c>
    </row>
    <row r="2332" spans="1:9">
      <c r="A2332" s="246">
        <v>2328</v>
      </c>
      <c r="B2332" s="247" t="s">
        <v>291</v>
      </c>
      <c r="C2332" s="302" t="str">
        <f>"14447"</f>
        <v>14447</v>
      </c>
      <c r="D2332" s="247" t="s">
        <v>18</v>
      </c>
      <c r="E2332" s="248">
        <v>4</v>
      </c>
      <c r="F2332" s="249">
        <v>43711</v>
      </c>
      <c r="G2332" s="249">
        <v>45537</v>
      </c>
      <c r="H2332" s="247" t="s">
        <v>19</v>
      </c>
      <c r="I2332" s="250" t="s">
        <v>79</v>
      </c>
    </row>
    <row r="2333" spans="1:9">
      <c r="A2333" s="246">
        <v>2329</v>
      </c>
      <c r="B2333" s="247" t="s">
        <v>3599</v>
      </c>
      <c r="C2333" s="302" t="str">
        <f>"14449"</f>
        <v>14449</v>
      </c>
      <c r="D2333" s="247" t="s">
        <v>18</v>
      </c>
      <c r="E2333" s="248">
        <v>2</v>
      </c>
      <c r="F2333" s="249">
        <v>43740</v>
      </c>
      <c r="G2333" s="249">
        <v>45566</v>
      </c>
      <c r="H2333" s="247" t="s">
        <v>14</v>
      </c>
      <c r="I2333" s="250" t="s">
        <v>437</v>
      </c>
    </row>
    <row r="2334" spans="1:9">
      <c r="A2334" s="246">
        <v>2330</v>
      </c>
      <c r="B2334" s="247" t="s">
        <v>3599</v>
      </c>
      <c r="C2334" s="302" t="str">
        <f>"14451"</f>
        <v>14451</v>
      </c>
      <c r="D2334" s="247" t="s">
        <v>18</v>
      </c>
      <c r="E2334" s="248">
        <v>2</v>
      </c>
      <c r="F2334" s="249">
        <v>43543</v>
      </c>
      <c r="G2334" s="249">
        <v>45369</v>
      </c>
      <c r="H2334" s="247" t="s">
        <v>14</v>
      </c>
      <c r="I2334" s="250" t="s">
        <v>437</v>
      </c>
    </row>
    <row r="2335" spans="1:9">
      <c r="A2335" s="246">
        <v>2331</v>
      </c>
      <c r="B2335" s="247" t="s">
        <v>282</v>
      </c>
      <c r="C2335" s="302" t="str">
        <f>"14452"</f>
        <v>14452</v>
      </c>
      <c r="D2335" s="247" t="s">
        <v>18</v>
      </c>
      <c r="E2335" s="248">
        <v>9</v>
      </c>
      <c r="F2335" s="249">
        <v>43546</v>
      </c>
      <c r="G2335" s="249">
        <v>45372</v>
      </c>
      <c r="H2335" s="247" t="s">
        <v>14</v>
      </c>
      <c r="I2335" s="250" t="s">
        <v>79</v>
      </c>
    </row>
    <row r="2336" spans="1:9">
      <c r="A2336" s="246">
        <v>2332</v>
      </c>
      <c r="B2336" s="247" t="s">
        <v>282</v>
      </c>
      <c r="C2336" s="302" t="str">
        <f>"14453"</f>
        <v>14453</v>
      </c>
      <c r="D2336" s="247" t="s">
        <v>18</v>
      </c>
      <c r="E2336" s="248">
        <v>13</v>
      </c>
      <c r="F2336" s="249">
        <v>43550</v>
      </c>
      <c r="G2336" s="249">
        <v>45376</v>
      </c>
      <c r="H2336" s="247" t="s">
        <v>59</v>
      </c>
      <c r="I2336" s="250" t="s">
        <v>79</v>
      </c>
    </row>
    <row r="2337" spans="1:9">
      <c r="A2337" s="246">
        <v>2333</v>
      </c>
      <c r="B2337" s="247" t="s">
        <v>282</v>
      </c>
      <c r="C2337" s="302" t="str">
        <f>"14454"</f>
        <v>14454</v>
      </c>
      <c r="D2337" s="247" t="s">
        <v>18</v>
      </c>
      <c r="E2337" s="248">
        <v>17</v>
      </c>
      <c r="F2337" s="249">
        <v>43553</v>
      </c>
      <c r="G2337" s="249">
        <v>45379</v>
      </c>
      <c r="H2337" s="247" t="s">
        <v>70</v>
      </c>
      <c r="I2337" s="250" t="s">
        <v>79</v>
      </c>
    </row>
    <row r="2338" spans="1:9">
      <c r="A2338" s="246">
        <v>2334</v>
      </c>
      <c r="B2338" s="247" t="s">
        <v>29</v>
      </c>
      <c r="C2338" s="302" t="str">
        <f>"14455"</f>
        <v>14455</v>
      </c>
      <c r="D2338" s="247" t="s">
        <v>18</v>
      </c>
      <c r="E2338" s="248">
        <v>28</v>
      </c>
      <c r="F2338" s="249">
        <v>43535</v>
      </c>
      <c r="G2338" s="249">
        <v>45361</v>
      </c>
      <c r="H2338" s="247" t="s">
        <v>16</v>
      </c>
      <c r="I2338" s="250" t="s">
        <v>3386</v>
      </c>
    </row>
    <row r="2339" spans="1:9">
      <c r="A2339" s="246">
        <v>2335</v>
      </c>
      <c r="B2339" s="247" t="s">
        <v>29</v>
      </c>
      <c r="C2339" s="302" t="str">
        <f>"14456"</f>
        <v>14456</v>
      </c>
      <c r="D2339" s="247" t="s">
        <v>18</v>
      </c>
      <c r="E2339" s="248">
        <v>23</v>
      </c>
      <c r="F2339" s="249">
        <v>43535</v>
      </c>
      <c r="G2339" s="249">
        <v>45361</v>
      </c>
      <c r="H2339" s="247" t="s">
        <v>14</v>
      </c>
      <c r="I2339" s="250" t="s">
        <v>79</v>
      </c>
    </row>
    <row r="2340" spans="1:9">
      <c r="A2340" s="246">
        <v>2336</v>
      </c>
      <c r="B2340" s="247" t="s">
        <v>3600</v>
      </c>
      <c r="C2340" s="302" t="str">
        <f>"14459"</f>
        <v>14459</v>
      </c>
      <c r="D2340" s="247" t="s">
        <v>18</v>
      </c>
      <c r="E2340" s="248">
        <v>3</v>
      </c>
      <c r="F2340" s="249">
        <v>43560</v>
      </c>
      <c r="G2340" s="249">
        <v>45386</v>
      </c>
      <c r="H2340" s="247" t="s">
        <v>16</v>
      </c>
      <c r="I2340" s="250" t="s">
        <v>438</v>
      </c>
    </row>
    <row r="2341" spans="1:9">
      <c r="A2341" s="246">
        <v>2337</v>
      </c>
      <c r="B2341" s="247" t="s">
        <v>282</v>
      </c>
      <c r="C2341" s="302" t="str">
        <f>"14468"</f>
        <v>14468</v>
      </c>
      <c r="D2341" s="247" t="s">
        <v>18</v>
      </c>
      <c r="E2341" s="248">
        <v>21</v>
      </c>
      <c r="F2341" s="249">
        <v>43546</v>
      </c>
      <c r="G2341" s="249">
        <v>45372</v>
      </c>
      <c r="H2341" s="247" t="s">
        <v>14</v>
      </c>
      <c r="I2341" s="250" t="s">
        <v>79</v>
      </c>
    </row>
    <row r="2342" spans="1:9">
      <c r="A2342" s="246">
        <v>2338</v>
      </c>
      <c r="B2342" s="247" t="s">
        <v>282</v>
      </c>
      <c r="C2342" s="302" t="str">
        <f>"14469"</f>
        <v>14469</v>
      </c>
      <c r="D2342" s="247" t="s">
        <v>18</v>
      </c>
      <c r="E2342" s="248">
        <v>41</v>
      </c>
      <c r="F2342" s="249">
        <v>43550</v>
      </c>
      <c r="G2342" s="249">
        <v>45376</v>
      </c>
      <c r="H2342" s="247" t="s">
        <v>14</v>
      </c>
      <c r="I2342" s="250" t="s">
        <v>79</v>
      </c>
    </row>
    <row r="2343" spans="1:9">
      <c r="A2343" s="246">
        <v>2339</v>
      </c>
      <c r="B2343" s="247" t="s">
        <v>242</v>
      </c>
      <c r="C2343" s="302" t="str">
        <f>"14470"</f>
        <v>14470</v>
      </c>
      <c r="D2343" s="247" t="s">
        <v>18</v>
      </c>
      <c r="E2343" s="248">
        <v>5</v>
      </c>
      <c r="F2343" s="249">
        <v>43570</v>
      </c>
      <c r="G2343" s="249">
        <v>45396</v>
      </c>
      <c r="H2343" s="247" t="s">
        <v>14</v>
      </c>
      <c r="I2343" s="250" t="s">
        <v>79</v>
      </c>
    </row>
    <row r="2344" spans="1:9">
      <c r="A2344" s="246">
        <v>2340</v>
      </c>
      <c r="B2344" s="247" t="s">
        <v>242</v>
      </c>
      <c r="C2344" s="302" t="str">
        <f>"14471"</f>
        <v>14471</v>
      </c>
      <c r="D2344" s="247" t="s">
        <v>18</v>
      </c>
      <c r="E2344" s="248">
        <v>5</v>
      </c>
      <c r="F2344" s="249">
        <v>43570</v>
      </c>
      <c r="G2344" s="249">
        <v>45396</v>
      </c>
      <c r="H2344" s="247" t="s">
        <v>14</v>
      </c>
      <c r="I2344" s="250" t="s">
        <v>79</v>
      </c>
    </row>
    <row r="2345" spans="1:9">
      <c r="A2345" s="246">
        <v>2341</v>
      </c>
      <c r="B2345" s="247" t="s">
        <v>242</v>
      </c>
      <c r="C2345" s="302" t="str">
        <f>"14472"</f>
        <v>14472</v>
      </c>
      <c r="D2345" s="247" t="s">
        <v>18</v>
      </c>
      <c r="E2345" s="248">
        <v>4</v>
      </c>
      <c r="F2345" s="249">
        <v>43560</v>
      </c>
      <c r="G2345" s="249">
        <v>45386</v>
      </c>
      <c r="H2345" s="247" t="s">
        <v>14</v>
      </c>
      <c r="I2345" s="250" t="s">
        <v>79</v>
      </c>
    </row>
    <row r="2346" spans="1:9">
      <c r="A2346" s="246">
        <v>2342</v>
      </c>
      <c r="B2346" s="247" t="s">
        <v>242</v>
      </c>
      <c r="C2346" s="302" t="str">
        <f>"14473"</f>
        <v>14473</v>
      </c>
      <c r="D2346" s="247" t="s">
        <v>18</v>
      </c>
      <c r="E2346" s="248">
        <v>6</v>
      </c>
      <c r="F2346" s="249">
        <v>43613</v>
      </c>
      <c r="G2346" s="249">
        <v>45439</v>
      </c>
      <c r="H2346" s="247" t="s">
        <v>14</v>
      </c>
      <c r="I2346" s="250" t="s">
        <v>79</v>
      </c>
    </row>
    <row r="2347" spans="1:9">
      <c r="A2347" s="246">
        <v>2343</v>
      </c>
      <c r="B2347" s="247" t="s">
        <v>242</v>
      </c>
      <c r="C2347" s="302" t="str">
        <f>"14474"</f>
        <v>14474</v>
      </c>
      <c r="D2347" s="247" t="s">
        <v>18</v>
      </c>
      <c r="E2347" s="248">
        <v>4</v>
      </c>
      <c r="F2347" s="249">
        <v>43557</v>
      </c>
      <c r="G2347" s="249">
        <v>45383</v>
      </c>
      <c r="H2347" s="247" t="s">
        <v>14</v>
      </c>
      <c r="I2347" s="250" t="s">
        <v>79</v>
      </c>
    </row>
    <row r="2348" spans="1:9">
      <c r="A2348" s="246">
        <v>2344</v>
      </c>
      <c r="B2348" s="247" t="s">
        <v>292</v>
      </c>
      <c r="C2348" s="302" t="str">
        <f>"14475"</f>
        <v>14475</v>
      </c>
      <c r="D2348" s="247" t="s">
        <v>18</v>
      </c>
      <c r="E2348" s="248">
        <v>275</v>
      </c>
      <c r="F2348" s="249">
        <v>43529</v>
      </c>
      <c r="G2348" s="249">
        <v>45355</v>
      </c>
      <c r="H2348" s="247" t="s">
        <v>16</v>
      </c>
      <c r="I2348" s="250" t="s">
        <v>79</v>
      </c>
    </row>
    <row r="2349" spans="1:9">
      <c r="A2349" s="246">
        <v>2345</v>
      </c>
      <c r="B2349" s="247" t="s">
        <v>293</v>
      </c>
      <c r="C2349" s="302" t="str">
        <f>"14476"</f>
        <v>14476</v>
      </c>
      <c r="D2349" s="247" t="s">
        <v>18</v>
      </c>
      <c r="E2349" s="248">
        <v>8</v>
      </c>
      <c r="F2349" s="249">
        <v>43546</v>
      </c>
      <c r="G2349" s="249">
        <v>45372</v>
      </c>
      <c r="H2349" s="247" t="s">
        <v>59</v>
      </c>
      <c r="I2349" s="250" t="s">
        <v>79</v>
      </c>
    </row>
    <row r="2350" spans="1:9">
      <c r="A2350" s="246">
        <v>2346</v>
      </c>
      <c r="B2350" s="247" t="s">
        <v>390</v>
      </c>
      <c r="C2350" s="302" t="str">
        <f>"14477"</f>
        <v>14477</v>
      </c>
      <c r="D2350" s="247" t="s">
        <v>23</v>
      </c>
      <c r="E2350" s="248">
        <v>4</v>
      </c>
      <c r="F2350" s="249">
        <v>43719</v>
      </c>
      <c r="G2350" s="249">
        <v>44084</v>
      </c>
      <c r="H2350" s="247" t="s">
        <v>16</v>
      </c>
      <c r="I2350" s="250" t="s">
        <v>3413</v>
      </c>
    </row>
    <row r="2351" spans="1:9">
      <c r="A2351" s="246">
        <v>2347</v>
      </c>
      <c r="B2351" s="247" t="s">
        <v>390</v>
      </c>
      <c r="C2351" s="302" t="str">
        <f>"14478"</f>
        <v>14478</v>
      </c>
      <c r="D2351" s="247" t="s">
        <v>23</v>
      </c>
      <c r="E2351" s="248">
        <v>4</v>
      </c>
      <c r="F2351" s="249">
        <v>43711</v>
      </c>
      <c r="G2351" s="249">
        <v>44076</v>
      </c>
      <c r="H2351" s="247" t="s">
        <v>16</v>
      </c>
      <c r="I2351" s="250" t="s">
        <v>3413</v>
      </c>
    </row>
    <row r="2352" spans="1:9">
      <c r="A2352" s="246">
        <v>2348</v>
      </c>
      <c r="B2352" s="247" t="s">
        <v>390</v>
      </c>
      <c r="C2352" s="302" t="str">
        <f>"14479"</f>
        <v>14479</v>
      </c>
      <c r="D2352" s="247" t="s">
        <v>23</v>
      </c>
      <c r="E2352" s="248">
        <v>3</v>
      </c>
      <c r="F2352" s="249">
        <v>43719</v>
      </c>
      <c r="G2352" s="249">
        <v>44084</v>
      </c>
      <c r="H2352" s="247" t="s">
        <v>16</v>
      </c>
      <c r="I2352" s="250" t="s">
        <v>3413</v>
      </c>
    </row>
    <row r="2353" spans="1:9">
      <c r="A2353" s="246">
        <v>2349</v>
      </c>
      <c r="B2353" s="247" t="s">
        <v>390</v>
      </c>
      <c r="C2353" s="302" t="str">
        <f>"14481"</f>
        <v>14481</v>
      </c>
      <c r="D2353" s="247" t="s">
        <v>23</v>
      </c>
      <c r="E2353" s="248">
        <v>1</v>
      </c>
      <c r="F2353" s="249">
        <v>43719</v>
      </c>
      <c r="G2353" s="249">
        <v>44084</v>
      </c>
      <c r="H2353" s="247" t="s">
        <v>16</v>
      </c>
      <c r="I2353" s="250" t="s">
        <v>3413</v>
      </c>
    </row>
    <row r="2354" spans="1:9">
      <c r="A2354" s="246">
        <v>2350</v>
      </c>
      <c r="B2354" s="247" t="s">
        <v>294</v>
      </c>
      <c r="C2354" s="302" t="str">
        <f>"14482"</f>
        <v>14482</v>
      </c>
      <c r="D2354" s="247" t="s">
        <v>18</v>
      </c>
      <c r="E2354" s="248">
        <v>3</v>
      </c>
      <c r="F2354" s="249">
        <v>43557</v>
      </c>
      <c r="G2354" s="249">
        <v>45383</v>
      </c>
      <c r="H2354" s="247" t="s">
        <v>16</v>
      </c>
      <c r="I2354" s="250" t="s">
        <v>79</v>
      </c>
    </row>
    <row r="2355" spans="1:9">
      <c r="A2355" s="246">
        <v>2351</v>
      </c>
      <c r="B2355" s="247" t="s">
        <v>295</v>
      </c>
      <c r="C2355" s="302" t="str">
        <f>"14483"</f>
        <v>14483</v>
      </c>
      <c r="D2355" s="247" t="s">
        <v>18</v>
      </c>
      <c r="E2355" s="248">
        <v>13</v>
      </c>
      <c r="F2355" s="249">
        <v>43557</v>
      </c>
      <c r="G2355" s="249">
        <v>45383</v>
      </c>
      <c r="H2355" s="247" t="s">
        <v>16</v>
      </c>
      <c r="I2355" s="250" t="s">
        <v>79</v>
      </c>
    </row>
    <row r="2356" spans="1:9">
      <c r="A2356" s="246">
        <v>2352</v>
      </c>
      <c r="B2356" s="247" t="s">
        <v>296</v>
      </c>
      <c r="C2356" s="302" t="str">
        <f>"14484"</f>
        <v>14484</v>
      </c>
      <c r="D2356" s="247" t="s">
        <v>18</v>
      </c>
      <c r="E2356" s="248">
        <v>1</v>
      </c>
      <c r="F2356" s="249">
        <v>43560</v>
      </c>
      <c r="G2356" s="249">
        <v>45386</v>
      </c>
      <c r="H2356" s="247" t="s">
        <v>14</v>
      </c>
      <c r="I2356" s="250" t="s">
        <v>79</v>
      </c>
    </row>
    <row r="2357" spans="1:9">
      <c r="A2357" s="246">
        <v>2353</v>
      </c>
      <c r="B2357" s="247" t="s">
        <v>296</v>
      </c>
      <c r="C2357" s="302" t="str">
        <f>"14485"</f>
        <v>14485</v>
      </c>
      <c r="D2357" s="247" t="s">
        <v>18</v>
      </c>
      <c r="E2357" s="248">
        <v>1</v>
      </c>
      <c r="F2357" s="249">
        <v>43560</v>
      </c>
      <c r="G2357" s="249">
        <v>45386</v>
      </c>
      <c r="H2357" s="247" t="s">
        <v>56</v>
      </c>
      <c r="I2357" s="250" t="s">
        <v>79</v>
      </c>
    </row>
    <row r="2358" spans="1:9">
      <c r="A2358" s="246">
        <v>2354</v>
      </c>
      <c r="B2358" s="247" t="s">
        <v>297</v>
      </c>
      <c r="C2358" s="302" t="str">
        <f>"14486"</f>
        <v>14486</v>
      </c>
      <c r="D2358" s="247" t="s">
        <v>18</v>
      </c>
      <c r="E2358" s="248">
        <v>10</v>
      </c>
      <c r="F2358" s="249">
        <v>43585</v>
      </c>
      <c r="G2358" s="249">
        <v>45411</v>
      </c>
      <c r="H2358" s="247" t="s">
        <v>16</v>
      </c>
      <c r="I2358" s="250" t="s">
        <v>79</v>
      </c>
    </row>
    <row r="2359" spans="1:9">
      <c r="A2359" s="246">
        <v>2355</v>
      </c>
      <c r="B2359" s="247" t="s">
        <v>298</v>
      </c>
      <c r="C2359" s="302" t="str">
        <f>"14488"</f>
        <v>14488</v>
      </c>
      <c r="D2359" s="247" t="s">
        <v>18</v>
      </c>
      <c r="E2359" s="248">
        <v>6</v>
      </c>
      <c r="F2359" s="249">
        <v>43585</v>
      </c>
      <c r="G2359" s="249">
        <v>45411</v>
      </c>
      <c r="H2359" s="247" t="s">
        <v>19</v>
      </c>
      <c r="I2359" s="250" t="s">
        <v>79</v>
      </c>
    </row>
    <row r="2360" spans="1:9">
      <c r="A2360" s="246">
        <v>2356</v>
      </c>
      <c r="B2360" s="247" t="s">
        <v>298</v>
      </c>
      <c r="C2360" s="302" t="str">
        <f>"14489"</f>
        <v>14489</v>
      </c>
      <c r="D2360" s="247" t="s">
        <v>18</v>
      </c>
      <c r="E2360" s="248">
        <v>3</v>
      </c>
      <c r="F2360" s="249">
        <v>43585</v>
      </c>
      <c r="G2360" s="249">
        <v>45411</v>
      </c>
      <c r="H2360" s="247" t="s">
        <v>19</v>
      </c>
      <c r="I2360" s="250" t="s">
        <v>79</v>
      </c>
    </row>
    <row r="2361" spans="1:9">
      <c r="A2361" s="246">
        <v>2357</v>
      </c>
      <c r="B2361" s="247" t="s">
        <v>296</v>
      </c>
      <c r="C2361" s="302" t="str">
        <f>"14490"</f>
        <v>14490</v>
      </c>
      <c r="D2361" s="247" t="s">
        <v>18</v>
      </c>
      <c r="E2361" s="248">
        <v>1</v>
      </c>
      <c r="F2361" s="249">
        <v>43560</v>
      </c>
      <c r="G2361" s="249">
        <v>45386</v>
      </c>
      <c r="H2361" s="247" t="s">
        <v>14</v>
      </c>
      <c r="I2361" s="250" t="s">
        <v>79</v>
      </c>
    </row>
    <row r="2362" spans="1:9">
      <c r="A2362" s="246">
        <v>2358</v>
      </c>
      <c r="B2362" s="247" t="s">
        <v>259</v>
      </c>
      <c r="C2362" s="302" t="str">
        <f>"14491"</f>
        <v>14491</v>
      </c>
      <c r="D2362" s="247" t="s">
        <v>23</v>
      </c>
      <c r="E2362" s="248">
        <v>4</v>
      </c>
      <c r="F2362" s="249">
        <v>43711</v>
      </c>
      <c r="G2362" s="249">
        <v>44076</v>
      </c>
      <c r="H2362" s="247" t="s">
        <v>16</v>
      </c>
      <c r="I2362" s="250" t="s">
        <v>3413</v>
      </c>
    </row>
    <row r="2363" spans="1:9">
      <c r="A2363" s="246">
        <v>2359</v>
      </c>
      <c r="B2363" s="247" t="s">
        <v>299</v>
      </c>
      <c r="C2363" s="302" t="str">
        <f>"14492"</f>
        <v>14492</v>
      </c>
      <c r="D2363" s="247" t="s">
        <v>18</v>
      </c>
      <c r="E2363" s="248">
        <v>8</v>
      </c>
      <c r="F2363" s="249">
        <v>43550</v>
      </c>
      <c r="G2363" s="249">
        <v>45376</v>
      </c>
      <c r="H2363" s="247" t="s">
        <v>14</v>
      </c>
      <c r="I2363" s="250" t="s">
        <v>79</v>
      </c>
    </row>
    <row r="2364" spans="1:9">
      <c r="A2364" s="246">
        <v>2360</v>
      </c>
      <c r="B2364" s="247" t="s">
        <v>3601</v>
      </c>
      <c r="C2364" s="302" t="str">
        <f>"14493"</f>
        <v>14493</v>
      </c>
      <c r="D2364" s="247" t="s">
        <v>18</v>
      </c>
      <c r="E2364" s="248">
        <v>4</v>
      </c>
      <c r="F2364" s="249">
        <v>43560</v>
      </c>
      <c r="G2364" s="249">
        <v>45386</v>
      </c>
      <c r="H2364" s="247" t="s">
        <v>70</v>
      </c>
      <c r="I2364" s="250" t="s">
        <v>433</v>
      </c>
    </row>
    <row r="2365" spans="1:9">
      <c r="A2365" s="246">
        <v>2361</v>
      </c>
      <c r="B2365" s="247" t="s">
        <v>297</v>
      </c>
      <c r="C2365" s="302" t="str">
        <f>"14494"</f>
        <v>14494</v>
      </c>
      <c r="D2365" s="247" t="s">
        <v>23</v>
      </c>
      <c r="E2365" s="248">
        <v>4</v>
      </c>
      <c r="F2365" s="249">
        <v>43670</v>
      </c>
      <c r="G2365" s="249">
        <v>44035</v>
      </c>
      <c r="H2365" s="247" t="s">
        <v>16</v>
      </c>
      <c r="I2365" s="250" t="s">
        <v>433</v>
      </c>
    </row>
    <row r="2366" spans="1:9">
      <c r="A2366" s="246">
        <v>2362</v>
      </c>
      <c r="B2366" s="247" t="s">
        <v>300</v>
      </c>
      <c r="C2366" s="302" t="str">
        <f>"14495"</f>
        <v>14495</v>
      </c>
      <c r="D2366" s="247" t="s">
        <v>18</v>
      </c>
      <c r="E2366" s="248">
        <v>10</v>
      </c>
      <c r="F2366" s="249">
        <v>43585</v>
      </c>
      <c r="G2366" s="249">
        <v>45411</v>
      </c>
      <c r="H2366" s="247" t="s">
        <v>14</v>
      </c>
      <c r="I2366" s="250" t="s">
        <v>79</v>
      </c>
    </row>
    <row r="2367" spans="1:9">
      <c r="A2367" s="246">
        <v>2363</v>
      </c>
      <c r="B2367" s="247" t="s">
        <v>301</v>
      </c>
      <c r="C2367" s="302" t="str">
        <f>"14496"</f>
        <v>14496</v>
      </c>
      <c r="D2367" s="247" t="s">
        <v>18</v>
      </c>
      <c r="E2367" s="248">
        <v>154</v>
      </c>
      <c r="F2367" s="249">
        <v>43535</v>
      </c>
      <c r="G2367" s="249">
        <v>45361</v>
      </c>
      <c r="H2367" s="247" t="s">
        <v>16</v>
      </c>
      <c r="I2367" s="250" t="s">
        <v>79</v>
      </c>
    </row>
    <row r="2368" spans="1:9">
      <c r="A2368" s="246">
        <v>2364</v>
      </c>
      <c r="B2368" s="247" t="s">
        <v>301</v>
      </c>
      <c r="C2368" s="302" t="str">
        <f>"14497"</f>
        <v>14497</v>
      </c>
      <c r="D2368" s="247" t="s">
        <v>18</v>
      </c>
      <c r="E2368" s="248">
        <v>99</v>
      </c>
      <c r="F2368" s="249">
        <v>43535</v>
      </c>
      <c r="G2368" s="249">
        <v>45361</v>
      </c>
      <c r="H2368" s="247" t="s">
        <v>16</v>
      </c>
      <c r="I2368" s="250" t="s">
        <v>79</v>
      </c>
    </row>
    <row r="2369" spans="1:9">
      <c r="A2369" s="246">
        <v>2365</v>
      </c>
      <c r="B2369" s="247" t="s">
        <v>301</v>
      </c>
      <c r="C2369" s="302" t="str">
        <f>"14498"</f>
        <v>14498</v>
      </c>
      <c r="D2369" s="247" t="s">
        <v>18</v>
      </c>
      <c r="E2369" s="248">
        <v>117</v>
      </c>
      <c r="F2369" s="249">
        <v>43535</v>
      </c>
      <c r="G2369" s="249">
        <v>45361</v>
      </c>
      <c r="H2369" s="247" t="s">
        <v>16</v>
      </c>
      <c r="I2369" s="250" t="s">
        <v>79</v>
      </c>
    </row>
    <row r="2370" spans="1:9">
      <c r="A2370" s="246">
        <v>2366</v>
      </c>
      <c r="B2370" s="247" t="s">
        <v>297</v>
      </c>
      <c r="C2370" s="302" t="str">
        <f>"14499"</f>
        <v>14499</v>
      </c>
      <c r="D2370" s="247" t="s">
        <v>18</v>
      </c>
      <c r="E2370" s="248">
        <v>5</v>
      </c>
      <c r="F2370" s="249">
        <v>43614</v>
      </c>
      <c r="G2370" s="249">
        <v>45440</v>
      </c>
      <c r="H2370" s="247" t="s">
        <v>70</v>
      </c>
      <c r="I2370" s="250" t="s">
        <v>3346</v>
      </c>
    </row>
    <row r="2371" spans="1:9">
      <c r="A2371" s="246">
        <v>2367</v>
      </c>
      <c r="B2371" s="247" t="s">
        <v>297</v>
      </c>
      <c r="C2371" s="302" t="str">
        <f>"14500"</f>
        <v>14500</v>
      </c>
      <c r="D2371" s="247" t="s">
        <v>18</v>
      </c>
      <c r="E2371" s="248">
        <v>5</v>
      </c>
      <c r="F2371" s="249">
        <v>43614</v>
      </c>
      <c r="G2371" s="249">
        <v>45440</v>
      </c>
      <c r="H2371" s="247" t="s">
        <v>70</v>
      </c>
      <c r="I2371" s="250" t="s">
        <v>79</v>
      </c>
    </row>
    <row r="2372" spans="1:9">
      <c r="A2372" s="246">
        <v>2368</v>
      </c>
      <c r="B2372" s="247" t="s">
        <v>302</v>
      </c>
      <c r="C2372" s="302" t="str">
        <f>"14502"</f>
        <v>14502</v>
      </c>
      <c r="D2372" s="247" t="s">
        <v>18</v>
      </c>
      <c r="E2372" s="248">
        <v>12</v>
      </c>
      <c r="F2372" s="249">
        <v>43623</v>
      </c>
      <c r="G2372" s="249">
        <v>45449</v>
      </c>
      <c r="H2372" s="247" t="s">
        <v>16</v>
      </c>
      <c r="I2372" s="250" t="s">
        <v>79</v>
      </c>
    </row>
    <row r="2373" spans="1:9">
      <c r="A2373" s="246">
        <v>2369</v>
      </c>
      <c r="B2373" s="247" t="s">
        <v>247</v>
      </c>
      <c r="C2373" s="302" t="str">
        <f>"14503"</f>
        <v>14503</v>
      </c>
      <c r="D2373" s="247" t="s">
        <v>18</v>
      </c>
      <c r="E2373" s="248">
        <v>36</v>
      </c>
      <c r="F2373" s="249">
        <v>43557</v>
      </c>
      <c r="G2373" s="249">
        <v>45383</v>
      </c>
      <c r="H2373" s="247" t="s">
        <v>24</v>
      </c>
      <c r="I2373" s="250" t="s">
        <v>79</v>
      </c>
    </row>
    <row r="2374" spans="1:9">
      <c r="A2374" s="246">
        <v>2370</v>
      </c>
      <c r="B2374" s="247" t="s">
        <v>303</v>
      </c>
      <c r="C2374" s="302" t="str">
        <f>"14504"</f>
        <v>14504</v>
      </c>
      <c r="D2374" s="247" t="s">
        <v>18</v>
      </c>
      <c r="E2374" s="248">
        <v>27</v>
      </c>
      <c r="F2374" s="249">
        <v>43557</v>
      </c>
      <c r="G2374" s="249">
        <v>45383</v>
      </c>
      <c r="H2374" s="247" t="s">
        <v>24</v>
      </c>
      <c r="I2374" s="250" t="s">
        <v>79</v>
      </c>
    </row>
    <row r="2375" spans="1:9">
      <c r="A2375" s="246">
        <v>2371</v>
      </c>
      <c r="B2375" s="247" t="s">
        <v>3602</v>
      </c>
      <c r="C2375" s="302" t="str">
        <f>"14505"</f>
        <v>14505</v>
      </c>
      <c r="D2375" s="247" t="s">
        <v>18</v>
      </c>
      <c r="E2375" s="248">
        <v>3</v>
      </c>
      <c r="F2375" s="249">
        <v>43567</v>
      </c>
      <c r="G2375" s="249">
        <v>45393</v>
      </c>
      <c r="H2375" s="247" t="s">
        <v>14</v>
      </c>
      <c r="I2375" s="250" t="s">
        <v>438</v>
      </c>
    </row>
    <row r="2376" spans="1:9">
      <c r="A2376" s="246">
        <v>2372</v>
      </c>
      <c r="B2376" s="247" t="s">
        <v>3602</v>
      </c>
      <c r="C2376" s="302" t="str">
        <f>"14507"</f>
        <v>14507</v>
      </c>
      <c r="D2376" s="247" t="s">
        <v>18</v>
      </c>
      <c r="E2376" s="248">
        <v>4</v>
      </c>
      <c r="F2376" s="249">
        <v>43567</v>
      </c>
      <c r="G2376" s="249">
        <v>45393</v>
      </c>
      <c r="H2376" s="247" t="s">
        <v>14</v>
      </c>
      <c r="I2376" s="250" t="s">
        <v>438</v>
      </c>
    </row>
    <row r="2377" spans="1:9">
      <c r="A2377" s="246">
        <v>2373</v>
      </c>
      <c r="B2377" s="247" t="s">
        <v>245</v>
      </c>
      <c r="C2377" s="302" t="str">
        <f>"14508"</f>
        <v>14508</v>
      </c>
      <c r="D2377" s="247" t="s">
        <v>30</v>
      </c>
      <c r="E2377" s="248">
        <v>2</v>
      </c>
      <c r="F2377" s="249">
        <v>43532</v>
      </c>
      <c r="G2377" s="249">
        <v>45358</v>
      </c>
      <c r="H2377" s="247" t="s">
        <v>16</v>
      </c>
      <c r="I2377" s="250" t="s">
        <v>3346</v>
      </c>
    </row>
    <row r="2378" spans="1:9">
      <c r="A2378" s="246">
        <v>2374</v>
      </c>
      <c r="B2378" s="247" t="s">
        <v>304</v>
      </c>
      <c r="C2378" s="302" t="str">
        <f>"14509"</f>
        <v>14509</v>
      </c>
      <c r="D2378" s="247" t="s">
        <v>21</v>
      </c>
      <c r="E2378" s="248">
        <v>4</v>
      </c>
      <c r="F2378" s="249">
        <v>44852</v>
      </c>
      <c r="G2378" s="249">
        <v>46677</v>
      </c>
      <c r="H2378" s="247" t="s">
        <v>22</v>
      </c>
      <c r="I2378" s="250" t="s">
        <v>79</v>
      </c>
    </row>
    <row r="2379" spans="1:9">
      <c r="A2379" s="246">
        <v>2375</v>
      </c>
      <c r="B2379" s="247" t="s">
        <v>304</v>
      </c>
      <c r="C2379" s="302" t="str">
        <f>"14510"</f>
        <v>14510</v>
      </c>
      <c r="D2379" s="247" t="s">
        <v>21</v>
      </c>
      <c r="E2379" s="248">
        <v>4</v>
      </c>
      <c r="F2379" s="249">
        <v>44852</v>
      </c>
      <c r="G2379" s="249">
        <v>46677</v>
      </c>
      <c r="H2379" s="247" t="s">
        <v>22</v>
      </c>
      <c r="I2379" s="250" t="s">
        <v>79</v>
      </c>
    </row>
    <row r="2380" spans="1:9">
      <c r="A2380" s="246">
        <v>2376</v>
      </c>
      <c r="B2380" s="247" t="s">
        <v>304</v>
      </c>
      <c r="C2380" s="302" t="str">
        <f>"14511"</f>
        <v>14511</v>
      </c>
      <c r="D2380" s="247" t="s">
        <v>21</v>
      </c>
      <c r="E2380" s="248">
        <v>4</v>
      </c>
      <c r="F2380" s="249">
        <v>44852</v>
      </c>
      <c r="G2380" s="249">
        <v>46677</v>
      </c>
      <c r="H2380" s="247" t="s">
        <v>22</v>
      </c>
      <c r="I2380" s="250" t="s">
        <v>79</v>
      </c>
    </row>
    <row r="2381" spans="1:9">
      <c r="A2381" s="246">
        <v>2377</v>
      </c>
      <c r="B2381" s="247" t="s">
        <v>304</v>
      </c>
      <c r="C2381" s="302" t="str">
        <f>"14512"</f>
        <v>14512</v>
      </c>
      <c r="D2381" s="247" t="s">
        <v>21</v>
      </c>
      <c r="E2381" s="248">
        <v>4</v>
      </c>
      <c r="F2381" s="249">
        <v>44852</v>
      </c>
      <c r="G2381" s="249">
        <v>46677</v>
      </c>
      <c r="H2381" s="247" t="s">
        <v>22</v>
      </c>
      <c r="I2381" s="250" t="s">
        <v>79</v>
      </c>
    </row>
    <row r="2382" spans="1:9">
      <c r="A2382" s="246">
        <v>2378</v>
      </c>
      <c r="B2382" s="247" t="s">
        <v>282</v>
      </c>
      <c r="C2382" s="302" t="str">
        <f>"14513"</f>
        <v>14513</v>
      </c>
      <c r="D2382" s="247" t="s">
        <v>18</v>
      </c>
      <c r="E2382" s="248">
        <v>25</v>
      </c>
      <c r="F2382" s="249">
        <v>43550</v>
      </c>
      <c r="G2382" s="249">
        <v>45376</v>
      </c>
      <c r="H2382" s="247" t="s">
        <v>16</v>
      </c>
      <c r="I2382" s="250" t="s">
        <v>79</v>
      </c>
    </row>
    <row r="2383" spans="1:9">
      <c r="A2383" s="246">
        <v>2379</v>
      </c>
      <c r="B2383" s="247" t="s">
        <v>282</v>
      </c>
      <c r="C2383" s="302" t="str">
        <f>"14514"</f>
        <v>14514</v>
      </c>
      <c r="D2383" s="247" t="s">
        <v>18</v>
      </c>
      <c r="E2383" s="248">
        <v>135</v>
      </c>
      <c r="F2383" s="249">
        <v>43546</v>
      </c>
      <c r="G2383" s="249">
        <v>45372</v>
      </c>
      <c r="H2383" s="247" t="s">
        <v>16</v>
      </c>
      <c r="I2383" s="250" t="s">
        <v>3346</v>
      </c>
    </row>
    <row r="2384" spans="1:9">
      <c r="A2384" s="246">
        <v>2380</v>
      </c>
      <c r="B2384" s="247" t="s">
        <v>282</v>
      </c>
      <c r="C2384" s="302" t="str">
        <f>"14515"</f>
        <v>14515</v>
      </c>
      <c r="D2384" s="247" t="s">
        <v>18</v>
      </c>
      <c r="E2384" s="248">
        <v>32</v>
      </c>
      <c r="F2384" s="249">
        <v>43550</v>
      </c>
      <c r="G2384" s="249">
        <v>45376</v>
      </c>
      <c r="H2384" s="247" t="s">
        <v>16</v>
      </c>
      <c r="I2384" s="250" t="s">
        <v>3346</v>
      </c>
    </row>
    <row r="2385" spans="1:9">
      <c r="A2385" s="246">
        <v>2381</v>
      </c>
      <c r="B2385" s="247" t="s">
        <v>282</v>
      </c>
      <c r="C2385" s="302" t="str">
        <f>"14516"</f>
        <v>14516</v>
      </c>
      <c r="D2385" s="247" t="s">
        <v>18</v>
      </c>
      <c r="E2385" s="248">
        <v>51</v>
      </c>
      <c r="F2385" s="249">
        <v>43550</v>
      </c>
      <c r="G2385" s="249">
        <v>45376</v>
      </c>
      <c r="H2385" s="247" t="s">
        <v>16</v>
      </c>
      <c r="I2385" s="250" t="s">
        <v>3346</v>
      </c>
    </row>
    <row r="2386" spans="1:9">
      <c r="A2386" s="246">
        <v>2382</v>
      </c>
      <c r="B2386" s="247" t="s">
        <v>282</v>
      </c>
      <c r="C2386" s="302" t="str">
        <f>"14517"</f>
        <v>14517</v>
      </c>
      <c r="D2386" s="247" t="s">
        <v>18</v>
      </c>
      <c r="E2386" s="248">
        <v>4</v>
      </c>
      <c r="F2386" s="249">
        <v>43550</v>
      </c>
      <c r="G2386" s="249">
        <v>45376</v>
      </c>
      <c r="H2386" s="247" t="s">
        <v>16</v>
      </c>
      <c r="I2386" s="250" t="s">
        <v>79</v>
      </c>
    </row>
    <row r="2387" spans="1:9">
      <c r="A2387" s="246">
        <v>2383</v>
      </c>
      <c r="B2387" s="247" t="s">
        <v>177</v>
      </c>
      <c r="C2387" s="302" t="str">
        <f>"14518"</f>
        <v>14518</v>
      </c>
      <c r="D2387" s="247" t="s">
        <v>18</v>
      </c>
      <c r="E2387" s="248">
        <v>262</v>
      </c>
      <c r="F2387" s="249">
        <v>44249</v>
      </c>
      <c r="G2387" s="249">
        <v>46074</v>
      </c>
      <c r="H2387" s="247" t="s">
        <v>70</v>
      </c>
      <c r="I2387" s="250" t="s">
        <v>79</v>
      </c>
    </row>
    <row r="2388" spans="1:9">
      <c r="A2388" s="246">
        <v>2384</v>
      </c>
      <c r="B2388" s="247" t="s">
        <v>305</v>
      </c>
      <c r="C2388" s="302" t="str">
        <f>"14519"</f>
        <v>14519</v>
      </c>
      <c r="D2388" s="247" t="s">
        <v>18</v>
      </c>
      <c r="E2388" s="248">
        <v>6</v>
      </c>
      <c r="F2388" s="249">
        <v>43550</v>
      </c>
      <c r="G2388" s="249">
        <v>45376</v>
      </c>
      <c r="H2388" s="247" t="s">
        <v>16</v>
      </c>
      <c r="I2388" s="250" t="s">
        <v>79</v>
      </c>
    </row>
    <row r="2389" spans="1:9">
      <c r="A2389" s="246">
        <v>2385</v>
      </c>
      <c r="B2389" s="247" t="s">
        <v>305</v>
      </c>
      <c r="C2389" s="302" t="str">
        <f>"14520"</f>
        <v>14520</v>
      </c>
      <c r="D2389" s="247" t="s">
        <v>18</v>
      </c>
      <c r="E2389" s="248">
        <v>6</v>
      </c>
      <c r="F2389" s="249">
        <v>43550</v>
      </c>
      <c r="G2389" s="249">
        <v>45376</v>
      </c>
      <c r="H2389" s="247" t="s">
        <v>16</v>
      </c>
      <c r="I2389" s="250" t="s">
        <v>79</v>
      </c>
    </row>
    <row r="2390" spans="1:9">
      <c r="A2390" s="246">
        <v>2386</v>
      </c>
      <c r="B2390" s="247" t="s">
        <v>306</v>
      </c>
      <c r="C2390" s="302" t="str">
        <f>"14521"</f>
        <v>14521</v>
      </c>
      <c r="D2390" s="247" t="s">
        <v>18</v>
      </c>
      <c r="E2390" s="248">
        <v>148</v>
      </c>
      <c r="F2390" s="249">
        <v>43550</v>
      </c>
      <c r="G2390" s="249">
        <v>45376</v>
      </c>
      <c r="H2390" s="247" t="s">
        <v>14</v>
      </c>
      <c r="I2390" s="250" t="s">
        <v>79</v>
      </c>
    </row>
    <row r="2391" spans="1:9">
      <c r="A2391" s="246">
        <v>2387</v>
      </c>
      <c r="B2391" s="247" t="s">
        <v>306</v>
      </c>
      <c r="C2391" s="302" t="str">
        <f>"14522"</f>
        <v>14522</v>
      </c>
      <c r="D2391" s="247" t="s">
        <v>18</v>
      </c>
      <c r="E2391" s="248">
        <v>88</v>
      </c>
      <c r="F2391" s="249">
        <v>43550</v>
      </c>
      <c r="G2391" s="249">
        <v>45376</v>
      </c>
      <c r="H2391" s="247" t="s">
        <v>16</v>
      </c>
      <c r="I2391" s="250" t="s">
        <v>79</v>
      </c>
    </row>
    <row r="2392" spans="1:9">
      <c r="A2392" s="246">
        <v>2388</v>
      </c>
      <c r="B2392" s="247" t="s">
        <v>306</v>
      </c>
      <c r="C2392" s="302" t="str">
        <f>"14523"</f>
        <v>14523</v>
      </c>
      <c r="D2392" s="247" t="s">
        <v>18</v>
      </c>
      <c r="E2392" s="248">
        <v>29</v>
      </c>
      <c r="F2392" s="249">
        <v>43550</v>
      </c>
      <c r="G2392" s="249">
        <v>45376</v>
      </c>
      <c r="H2392" s="247" t="s">
        <v>16</v>
      </c>
      <c r="I2392" s="250" t="s">
        <v>79</v>
      </c>
    </row>
    <row r="2393" spans="1:9">
      <c r="A2393" s="246">
        <v>2389</v>
      </c>
      <c r="B2393" s="247" t="s">
        <v>282</v>
      </c>
      <c r="C2393" s="302" t="str">
        <f>"14524"</f>
        <v>14524</v>
      </c>
      <c r="D2393" s="247" t="s">
        <v>18</v>
      </c>
      <c r="E2393" s="248">
        <v>8</v>
      </c>
      <c r="F2393" s="249">
        <v>43550</v>
      </c>
      <c r="G2393" s="249">
        <v>45376</v>
      </c>
      <c r="H2393" s="247" t="s">
        <v>16</v>
      </c>
      <c r="I2393" s="250" t="s">
        <v>79</v>
      </c>
    </row>
    <row r="2394" spans="1:9">
      <c r="A2394" s="246">
        <v>2390</v>
      </c>
      <c r="B2394" s="247" t="s">
        <v>282</v>
      </c>
      <c r="C2394" s="302" t="str">
        <f>"14525"</f>
        <v>14525</v>
      </c>
      <c r="D2394" s="247" t="s">
        <v>18</v>
      </c>
      <c r="E2394" s="248">
        <v>14</v>
      </c>
      <c r="F2394" s="249">
        <v>43550</v>
      </c>
      <c r="G2394" s="249">
        <v>45376</v>
      </c>
      <c r="H2394" s="247" t="s">
        <v>16</v>
      </c>
      <c r="I2394" s="250" t="s">
        <v>79</v>
      </c>
    </row>
    <row r="2395" spans="1:9">
      <c r="A2395" s="246">
        <v>2391</v>
      </c>
      <c r="B2395" s="247" t="s">
        <v>282</v>
      </c>
      <c r="C2395" s="302" t="str">
        <f>"14526"</f>
        <v>14526</v>
      </c>
      <c r="D2395" s="247" t="s">
        <v>18</v>
      </c>
      <c r="E2395" s="248">
        <v>34</v>
      </c>
      <c r="F2395" s="249">
        <v>43550</v>
      </c>
      <c r="G2395" s="249">
        <v>45376</v>
      </c>
      <c r="H2395" s="247" t="s">
        <v>16</v>
      </c>
      <c r="I2395" s="250" t="s">
        <v>79</v>
      </c>
    </row>
    <row r="2396" spans="1:9">
      <c r="A2396" s="246">
        <v>2392</v>
      </c>
      <c r="B2396" s="247" t="s">
        <v>265</v>
      </c>
      <c r="C2396" s="302" t="str">
        <f>"14527"</f>
        <v>14527</v>
      </c>
      <c r="D2396" s="247" t="s">
        <v>18</v>
      </c>
      <c r="E2396" s="248">
        <v>22</v>
      </c>
      <c r="F2396" s="249">
        <v>44392</v>
      </c>
      <c r="G2396" s="249">
        <v>46217</v>
      </c>
      <c r="H2396" s="247" t="s">
        <v>16</v>
      </c>
      <c r="I2396" s="250" t="s">
        <v>79</v>
      </c>
    </row>
    <row r="2397" spans="1:9">
      <c r="A2397" s="246">
        <v>2393</v>
      </c>
      <c r="B2397" s="247" t="s">
        <v>297</v>
      </c>
      <c r="C2397" s="302" t="str">
        <f>"14528"</f>
        <v>14528</v>
      </c>
      <c r="D2397" s="247" t="s">
        <v>18</v>
      </c>
      <c r="E2397" s="248">
        <v>8</v>
      </c>
      <c r="F2397" s="249">
        <v>43614</v>
      </c>
      <c r="G2397" s="249">
        <v>45440</v>
      </c>
      <c r="H2397" s="247" t="s">
        <v>16</v>
      </c>
      <c r="I2397" s="250" t="s">
        <v>79</v>
      </c>
    </row>
    <row r="2398" spans="1:9">
      <c r="A2398" s="246">
        <v>2394</v>
      </c>
      <c r="B2398" s="247" t="s">
        <v>307</v>
      </c>
      <c r="C2398" s="302" t="str">
        <f>"14529"</f>
        <v>14529</v>
      </c>
      <c r="D2398" s="247" t="s">
        <v>18</v>
      </c>
      <c r="E2398" s="248">
        <v>4</v>
      </c>
      <c r="F2398" s="249">
        <v>43560</v>
      </c>
      <c r="G2398" s="249">
        <v>45386</v>
      </c>
      <c r="H2398" s="247" t="s">
        <v>14</v>
      </c>
      <c r="I2398" s="250" t="s">
        <v>448</v>
      </c>
    </row>
    <row r="2399" spans="1:9">
      <c r="A2399" s="246">
        <v>2395</v>
      </c>
      <c r="B2399" s="247" t="s">
        <v>307</v>
      </c>
      <c r="C2399" s="302" t="str">
        <f>"14530"</f>
        <v>14530</v>
      </c>
      <c r="D2399" s="247" t="s">
        <v>18</v>
      </c>
      <c r="E2399" s="248">
        <v>4</v>
      </c>
      <c r="F2399" s="249">
        <v>43560</v>
      </c>
      <c r="G2399" s="249">
        <v>45386</v>
      </c>
      <c r="H2399" s="247" t="s">
        <v>14</v>
      </c>
      <c r="I2399" s="250" t="s">
        <v>79</v>
      </c>
    </row>
    <row r="2400" spans="1:9">
      <c r="A2400" s="246">
        <v>2396</v>
      </c>
      <c r="B2400" s="247" t="s">
        <v>307</v>
      </c>
      <c r="C2400" s="302" t="str">
        <f>"14531"</f>
        <v>14531</v>
      </c>
      <c r="D2400" s="247" t="s">
        <v>18</v>
      </c>
      <c r="E2400" s="248">
        <v>4</v>
      </c>
      <c r="F2400" s="249">
        <v>43560</v>
      </c>
      <c r="G2400" s="249">
        <v>45386</v>
      </c>
      <c r="H2400" s="247" t="s">
        <v>14</v>
      </c>
      <c r="I2400" s="250" t="s">
        <v>448</v>
      </c>
    </row>
    <row r="2401" spans="1:9">
      <c r="A2401" s="246">
        <v>2397</v>
      </c>
      <c r="B2401" s="247" t="s">
        <v>304</v>
      </c>
      <c r="C2401" s="302" t="str">
        <f>"14532"</f>
        <v>14532</v>
      </c>
      <c r="D2401" s="247" t="s">
        <v>21</v>
      </c>
      <c r="E2401" s="248">
        <v>4</v>
      </c>
      <c r="F2401" s="249">
        <v>44852</v>
      </c>
      <c r="G2401" s="249">
        <v>46677</v>
      </c>
      <c r="H2401" s="247" t="s">
        <v>22</v>
      </c>
      <c r="I2401" s="250" t="s">
        <v>79</v>
      </c>
    </row>
    <row r="2402" spans="1:9">
      <c r="A2402" s="246">
        <v>2398</v>
      </c>
      <c r="B2402" s="247" t="s">
        <v>304</v>
      </c>
      <c r="C2402" s="302" t="str">
        <f>"14533"</f>
        <v>14533</v>
      </c>
      <c r="D2402" s="247" t="s">
        <v>21</v>
      </c>
      <c r="E2402" s="248">
        <v>4</v>
      </c>
      <c r="F2402" s="249">
        <v>44852</v>
      </c>
      <c r="G2402" s="249">
        <v>46677</v>
      </c>
      <c r="H2402" s="247" t="s">
        <v>22</v>
      </c>
      <c r="I2402" s="250" t="s">
        <v>79</v>
      </c>
    </row>
    <row r="2403" spans="1:9">
      <c r="A2403" s="246">
        <v>2399</v>
      </c>
      <c r="B2403" s="247" t="s">
        <v>304</v>
      </c>
      <c r="C2403" s="302" t="str">
        <f>"14534"</f>
        <v>14534</v>
      </c>
      <c r="D2403" s="247" t="s">
        <v>21</v>
      </c>
      <c r="E2403" s="248">
        <v>4</v>
      </c>
      <c r="F2403" s="249">
        <v>44852</v>
      </c>
      <c r="G2403" s="249">
        <v>46677</v>
      </c>
      <c r="H2403" s="247" t="s">
        <v>22</v>
      </c>
      <c r="I2403" s="250" t="s">
        <v>79</v>
      </c>
    </row>
    <row r="2404" spans="1:9">
      <c r="A2404" s="246">
        <v>2400</v>
      </c>
      <c r="B2404" s="247" t="s">
        <v>308</v>
      </c>
      <c r="C2404" s="302" t="str">
        <f>"14535"</f>
        <v>14535</v>
      </c>
      <c r="D2404" s="247" t="s">
        <v>18</v>
      </c>
      <c r="E2404" s="248">
        <v>45</v>
      </c>
      <c r="F2404" s="249">
        <v>43531</v>
      </c>
      <c r="G2404" s="249">
        <v>45357</v>
      </c>
      <c r="H2404" s="247" t="s">
        <v>16</v>
      </c>
      <c r="I2404" s="250" t="s">
        <v>79</v>
      </c>
    </row>
    <row r="2405" spans="1:9">
      <c r="A2405" s="246">
        <v>2401</v>
      </c>
      <c r="B2405" s="247" t="s">
        <v>308</v>
      </c>
      <c r="C2405" s="302" t="str">
        <f>"14536"</f>
        <v>14536</v>
      </c>
      <c r="D2405" s="247" t="s">
        <v>18</v>
      </c>
      <c r="E2405" s="248">
        <v>39</v>
      </c>
      <c r="F2405" s="249">
        <v>43531</v>
      </c>
      <c r="G2405" s="249">
        <v>45357</v>
      </c>
      <c r="H2405" s="247" t="s">
        <v>19</v>
      </c>
      <c r="I2405" s="250" t="s">
        <v>79</v>
      </c>
    </row>
    <row r="2406" spans="1:9">
      <c r="A2406" s="246">
        <v>2402</v>
      </c>
      <c r="B2406" s="247" t="s">
        <v>308</v>
      </c>
      <c r="C2406" s="302" t="str">
        <f>"14537"</f>
        <v>14537</v>
      </c>
      <c r="D2406" s="247" t="s">
        <v>18</v>
      </c>
      <c r="E2406" s="248">
        <v>20</v>
      </c>
      <c r="F2406" s="249">
        <v>43531</v>
      </c>
      <c r="G2406" s="249">
        <v>45357</v>
      </c>
      <c r="H2406" s="247" t="s">
        <v>59</v>
      </c>
      <c r="I2406" s="250" t="s">
        <v>79</v>
      </c>
    </row>
    <row r="2407" spans="1:9">
      <c r="A2407" s="246">
        <v>2403</v>
      </c>
      <c r="B2407" s="247" t="s">
        <v>308</v>
      </c>
      <c r="C2407" s="302" t="str">
        <f>"14538"</f>
        <v>14538</v>
      </c>
      <c r="D2407" s="247" t="s">
        <v>18</v>
      </c>
      <c r="E2407" s="248">
        <v>6</v>
      </c>
      <c r="F2407" s="249">
        <v>43531</v>
      </c>
      <c r="G2407" s="249">
        <v>45357</v>
      </c>
      <c r="H2407" s="247" t="s">
        <v>19</v>
      </c>
      <c r="I2407" s="250" t="s">
        <v>79</v>
      </c>
    </row>
    <row r="2408" spans="1:9">
      <c r="A2408" s="246">
        <v>2404</v>
      </c>
      <c r="B2408" s="247" t="s">
        <v>308</v>
      </c>
      <c r="C2408" s="302" t="str">
        <f>"14539"</f>
        <v>14539</v>
      </c>
      <c r="D2408" s="247" t="s">
        <v>18</v>
      </c>
      <c r="E2408" s="248">
        <v>39</v>
      </c>
      <c r="F2408" s="249">
        <v>43531</v>
      </c>
      <c r="G2408" s="249">
        <v>45357</v>
      </c>
      <c r="H2408" s="247" t="s">
        <v>70</v>
      </c>
      <c r="I2408" s="250" t="s">
        <v>79</v>
      </c>
    </row>
    <row r="2409" spans="1:9">
      <c r="A2409" s="246">
        <v>2405</v>
      </c>
      <c r="B2409" s="247" t="s">
        <v>308</v>
      </c>
      <c r="C2409" s="302" t="str">
        <f>"14540"</f>
        <v>14540</v>
      </c>
      <c r="D2409" s="247" t="s">
        <v>18</v>
      </c>
      <c r="E2409" s="248">
        <v>77</v>
      </c>
      <c r="F2409" s="249">
        <v>43531</v>
      </c>
      <c r="G2409" s="249">
        <v>45357</v>
      </c>
      <c r="H2409" s="247" t="s">
        <v>19</v>
      </c>
      <c r="I2409" s="250" t="s">
        <v>79</v>
      </c>
    </row>
    <row r="2410" spans="1:9">
      <c r="A2410" s="246">
        <v>2406</v>
      </c>
      <c r="B2410" s="247" t="s">
        <v>308</v>
      </c>
      <c r="C2410" s="302" t="str">
        <f>"14541"</f>
        <v>14541</v>
      </c>
      <c r="D2410" s="247" t="s">
        <v>18</v>
      </c>
      <c r="E2410" s="248">
        <v>36</v>
      </c>
      <c r="F2410" s="249">
        <v>43531</v>
      </c>
      <c r="G2410" s="249">
        <v>45357</v>
      </c>
      <c r="H2410" s="247" t="s">
        <v>14</v>
      </c>
      <c r="I2410" s="250" t="s">
        <v>79</v>
      </c>
    </row>
    <row r="2411" spans="1:9">
      <c r="A2411" s="246">
        <v>2407</v>
      </c>
      <c r="B2411" s="247" t="s">
        <v>288</v>
      </c>
      <c r="C2411" s="302" t="str">
        <f>"14542"</f>
        <v>14542</v>
      </c>
      <c r="D2411" s="247" t="s">
        <v>23</v>
      </c>
      <c r="E2411" s="248">
        <v>4</v>
      </c>
      <c r="F2411" s="249">
        <v>43619</v>
      </c>
      <c r="G2411" s="249">
        <v>43984</v>
      </c>
      <c r="H2411" s="247" t="s">
        <v>14</v>
      </c>
      <c r="I2411" s="250" t="s">
        <v>3544</v>
      </c>
    </row>
    <row r="2412" spans="1:9">
      <c r="A2412" s="246">
        <v>2408</v>
      </c>
      <c r="B2412" s="247" t="s">
        <v>309</v>
      </c>
      <c r="C2412" s="302" t="str">
        <f>"14543"</f>
        <v>14543</v>
      </c>
      <c r="D2412" s="247" t="s">
        <v>18</v>
      </c>
      <c r="E2412" s="248">
        <v>60</v>
      </c>
      <c r="F2412" s="249">
        <v>43633</v>
      </c>
      <c r="G2412" s="249">
        <v>45459</v>
      </c>
      <c r="H2412" s="247" t="s">
        <v>16</v>
      </c>
      <c r="I2412" s="250" t="s">
        <v>79</v>
      </c>
    </row>
    <row r="2413" spans="1:9">
      <c r="A2413" s="246">
        <v>2409</v>
      </c>
      <c r="B2413" s="247" t="s">
        <v>309</v>
      </c>
      <c r="C2413" s="302" t="str">
        <f>"14544"</f>
        <v>14544</v>
      </c>
      <c r="D2413" s="247" t="s">
        <v>18</v>
      </c>
      <c r="E2413" s="248">
        <v>139</v>
      </c>
      <c r="F2413" s="249">
        <v>43633</v>
      </c>
      <c r="G2413" s="249">
        <v>45459</v>
      </c>
      <c r="H2413" s="247" t="s">
        <v>16</v>
      </c>
      <c r="I2413" s="250" t="s">
        <v>79</v>
      </c>
    </row>
    <row r="2414" spans="1:9">
      <c r="A2414" s="246">
        <v>2410</v>
      </c>
      <c r="B2414" s="247" t="s">
        <v>309</v>
      </c>
      <c r="C2414" s="302" t="str">
        <f>"14545"</f>
        <v>14545</v>
      </c>
      <c r="D2414" s="247" t="s">
        <v>18</v>
      </c>
      <c r="E2414" s="248">
        <v>333</v>
      </c>
      <c r="F2414" s="249">
        <v>43633</v>
      </c>
      <c r="G2414" s="249">
        <v>45459</v>
      </c>
      <c r="H2414" s="247" t="s">
        <v>16</v>
      </c>
      <c r="I2414" s="250" t="s">
        <v>79</v>
      </c>
    </row>
    <row r="2415" spans="1:9">
      <c r="A2415" s="246">
        <v>2411</v>
      </c>
      <c r="B2415" s="247" t="s">
        <v>309</v>
      </c>
      <c r="C2415" s="302" t="str">
        <f>"14546"</f>
        <v>14546</v>
      </c>
      <c r="D2415" s="247" t="s">
        <v>18</v>
      </c>
      <c r="E2415" s="248">
        <v>269</v>
      </c>
      <c r="F2415" s="249">
        <v>43633</v>
      </c>
      <c r="G2415" s="249">
        <v>45459</v>
      </c>
      <c r="H2415" s="247" t="s">
        <v>16</v>
      </c>
      <c r="I2415" s="250" t="s">
        <v>79</v>
      </c>
    </row>
    <row r="2416" spans="1:9">
      <c r="A2416" s="246">
        <v>2412</v>
      </c>
      <c r="B2416" s="247" t="s">
        <v>309</v>
      </c>
      <c r="C2416" s="302" t="str">
        <f>"14547"</f>
        <v>14547</v>
      </c>
      <c r="D2416" s="247" t="s">
        <v>18</v>
      </c>
      <c r="E2416" s="248">
        <v>341</v>
      </c>
      <c r="F2416" s="249">
        <v>43633</v>
      </c>
      <c r="G2416" s="249">
        <v>45459</v>
      </c>
      <c r="H2416" s="247" t="s">
        <v>16</v>
      </c>
      <c r="I2416" s="250" t="s">
        <v>79</v>
      </c>
    </row>
    <row r="2417" spans="1:9">
      <c r="A2417" s="246">
        <v>2413</v>
      </c>
      <c r="B2417" s="247" t="s">
        <v>309</v>
      </c>
      <c r="C2417" s="302" t="str">
        <f>"14548"</f>
        <v>14548</v>
      </c>
      <c r="D2417" s="247" t="s">
        <v>18</v>
      </c>
      <c r="E2417" s="248">
        <v>247</v>
      </c>
      <c r="F2417" s="249">
        <v>43633</v>
      </c>
      <c r="G2417" s="249">
        <v>45459</v>
      </c>
      <c r="H2417" s="247" t="s">
        <v>16</v>
      </c>
      <c r="I2417" s="250" t="s">
        <v>79</v>
      </c>
    </row>
    <row r="2418" spans="1:9">
      <c r="A2418" s="246">
        <v>2414</v>
      </c>
      <c r="B2418" s="247" t="s">
        <v>309</v>
      </c>
      <c r="C2418" s="302" t="str">
        <f>"14549"</f>
        <v>14549</v>
      </c>
      <c r="D2418" s="247" t="s">
        <v>18</v>
      </c>
      <c r="E2418" s="248">
        <v>198</v>
      </c>
      <c r="F2418" s="249">
        <v>43633</v>
      </c>
      <c r="G2418" s="249">
        <v>45459</v>
      </c>
      <c r="H2418" s="247" t="s">
        <v>16</v>
      </c>
      <c r="I2418" s="250" t="s">
        <v>79</v>
      </c>
    </row>
    <row r="2419" spans="1:9">
      <c r="A2419" s="246">
        <v>2415</v>
      </c>
      <c r="B2419" s="247" t="s">
        <v>309</v>
      </c>
      <c r="C2419" s="302" t="str">
        <f>"14550"</f>
        <v>14550</v>
      </c>
      <c r="D2419" s="247" t="s">
        <v>18</v>
      </c>
      <c r="E2419" s="248">
        <v>427</v>
      </c>
      <c r="F2419" s="249">
        <v>43633</v>
      </c>
      <c r="G2419" s="249">
        <v>45459</v>
      </c>
      <c r="H2419" s="247" t="s">
        <v>16</v>
      </c>
      <c r="I2419" s="250" t="s">
        <v>79</v>
      </c>
    </row>
    <row r="2420" spans="1:9">
      <c r="A2420" s="246">
        <v>2416</v>
      </c>
      <c r="B2420" s="247" t="s">
        <v>310</v>
      </c>
      <c r="C2420" s="302" t="str">
        <f>"14551"</f>
        <v>14551</v>
      </c>
      <c r="D2420" s="247" t="s">
        <v>18</v>
      </c>
      <c r="E2420" s="248">
        <v>45</v>
      </c>
      <c r="F2420" s="249">
        <v>43650</v>
      </c>
      <c r="G2420" s="249">
        <v>45476</v>
      </c>
      <c r="H2420" s="247" t="s">
        <v>14</v>
      </c>
      <c r="I2420" s="250" t="s">
        <v>79</v>
      </c>
    </row>
    <row r="2421" spans="1:9">
      <c r="A2421" s="246">
        <v>2417</v>
      </c>
      <c r="B2421" s="247" t="s">
        <v>311</v>
      </c>
      <c r="C2421" s="302" t="str">
        <f>"14553"</f>
        <v>14553</v>
      </c>
      <c r="D2421" s="247" t="s">
        <v>18</v>
      </c>
      <c r="E2421" s="248">
        <v>1</v>
      </c>
      <c r="F2421" s="249">
        <v>43650</v>
      </c>
      <c r="G2421" s="249">
        <v>45476</v>
      </c>
      <c r="H2421" s="247" t="s">
        <v>14</v>
      </c>
      <c r="I2421" s="250" t="s">
        <v>79</v>
      </c>
    </row>
    <row r="2422" spans="1:9">
      <c r="A2422" s="246">
        <v>2418</v>
      </c>
      <c r="B2422" s="247" t="s">
        <v>262</v>
      </c>
      <c r="C2422" s="302" t="str">
        <f>"14554"</f>
        <v>14554</v>
      </c>
      <c r="D2422" s="247" t="s">
        <v>18</v>
      </c>
      <c r="E2422" s="248">
        <v>2</v>
      </c>
      <c r="F2422" s="249">
        <v>43684</v>
      </c>
      <c r="G2422" s="249">
        <v>45510</v>
      </c>
      <c r="H2422" s="247" t="s">
        <v>19</v>
      </c>
      <c r="I2422" s="250" t="s">
        <v>79</v>
      </c>
    </row>
    <row r="2423" spans="1:9">
      <c r="A2423" s="246">
        <v>2419</v>
      </c>
      <c r="B2423" s="247" t="s">
        <v>257</v>
      </c>
      <c r="C2423" s="302" t="str">
        <f>"14555"</f>
        <v>14555</v>
      </c>
      <c r="D2423" s="247" t="s">
        <v>18</v>
      </c>
      <c r="E2423" s="248">
        <v>2</v>
      </c>
      <c r="F2423" s="249">
        <v>43684</v>
      </c>
      <c r="G2423" s="249">
        <v>45510</v>
      </c>
      <c r="H2423" s="247" t="s">
        <v>56</v>
      </c>
      <c r="I2423" s="250" t="s">
        <v>79</v>
      </c>
    </row>
    <row r="2424" spans="1:9">
      <c r="A2424" s="246">
        <v>2420</v>
      </c>
      <c r="B2424" s="247" t="s">
        <v>297</v>
      </c>
      <c r="C2424" s="302" t="str">
        <f>"14557"</f>
        <v>14557</v>
      </c>
      <c r="D2424" s="247" t="s">
        <v>18</v>
      </c>
      <c r="E2424" s="248">
        <v>4</v>
      </c>
      <c r="F2424" s="249">
        <v>43614</v>
      </c>
      <c r="G2424" s="249">
        <v>45440</v>
      </c>
      <c r="H2424" s="247" t="s">
        <v>16</v>
      </c>
      <c r="I2424" s="250" t="s">
        <v>79</v>
      </c>
    </row>
    <row r="2425" spans="1:9">
      <c r="A2425" s="246">
        <v>2421</v>
      </c>
      <c r="B2425" s="247" t="s">
        <v>2108</v>
      </c>
      <c r="C2425" s="302" t="str">
        <f>"14558"</f>
        <v>14558</v>
      </c>
      <c r="D2425" s="247" t="s">
        <v>18</v>
      </c>
      <c r="E2425" s="248">
        <v>10</v>
      </c>
      <c r="F2425" s="249">
        <v>43634</v>
      </c>
      <c r="G2425" s="249">
        <v>45460</v>
      </c>
      <c r="H2425" s="247" t="s">
        <v>16</v>
      </c>
      <c r="I2425" s="250" t="s">
        <v>433</v>
      </c>
    </row>
    <row r="2426" spans="1:9">
      <c r="A2426" s="246">
        <v>2422</v>
      </c>
      <c r="B2426" s="247" t="s">
        <v>1065</v>
      </c>
      <c r="C2426" s="302" t="str">
        <f>"14559"</f>
        <v>14559</v>
      </c>
      <c r="D2426" s="247" t="s">
        <v>18</v>
      </c>
      <c r="E2426" s="248">
        <v>13</v>
      </c>
      <c r="F2426" s="249">
        <v>43650</v>
      </c>
      <c r="G2426" s="249">
        <v>45476</v>
      </c>
      <c r="H2426" s="247" t="s">
        <v>84</v>
      </c>
      <c r="I2426" s="250" t="s">
        <v>448</v>
      </c>
    </row>
    <row r="2427" spans="1:9">
      <c r="A2427" s="246">
        <v>2423</v>
      </c>
      <c r="B2427" s="247" t="s">
        <v>3603</v>
      </c>
      <c r="C2427" s="302" t="str">
        <f>"14560"</f>
        <v>14560</v>
      </c>
      <c r="D2427" s="247" t="s">
        <v>18</v>
      </c>
      <c r="E2427" s="248">
        <v>4</v>
      </c>
      <c r="F2427" s="249">
        <v>43684</v>
      </c>
      <c r="G2427" s="249">
        <v>45510</v>
      </c>
      <c r="H2427" s="247" t="s">
        <v>14</v>
      </c>
      <c r="I2427" s="250" t="s">
        <v>437</v>
      </c>
    </row>
    <row r="2428" spans="1:9">
      <c r="A2428" s="246">
        <v>2424</v>
      </c>
      <c r="B2428" s="247" t="s">
        <v>545</v>
      </c>
      <c r="C2428" s="302" t="str">
        <f>"14561"</f>
        <v>14561</v>
      </c>
      <c r="D2428" s="247" t="s">
        <v>23</v>
      </c>
      <c r="E2428" s="248">
        <v>4</v>
      </c>
      <c r="F2428" s="249">
        <v>43684</v>
      </c>
      <c r="G2428" s="249">
        <v>44049</v>
      </c>
      <c r="H2428" s="247" t="s">
        <v>22</v>
      </c>
      <c r="I2428" s="250" t="s">
        <v>3413</v>
      </c>
    </row>
    <row r="2429" spans="1:9">
      <c r="A2429" s="246">
        <v>2425</v>
      </c>
      <c r="B2429" s="247" t="s">
        <v>545</v>
      </c>
      <c r="C2429" s="302" t="str">
        <f>"14562"</f>
        <v>14562</v>
      </c>
      <c r="D2429" s="247" t="s">
        <v>23</v>
      </c>
      <c r="E2429" s="248">
        <v>1</v>
      </c>
      <c r="F2429" s="249">
        <v>43684</v>
      </c>
      <c r="G2429" s="249">
        <v>44049</v>
      </c>
      <c r="H2429" s="247" t="s">
        <v>22</v>
      </c>
      <c r="I2429" s="250" t="s">
        <v>3413</v>
      </c>
    </row>
    <row r="2430" spans="1:9">
      <c r="A2430" s="246">
        <v>2426</v>
      </c>
      <c r="B2430" s="247" t="s">
        <v>545</v>
      </c>
      <c r="C2430" s="302" t="str">
        <f>"14563"</f>
        <v>14563</v>
      </c>
      <c r="D2430" s="247" t="s">
        <v>23</v>
      </c>
      <c r="E2430" s="248">
        <v>1</v>
      </c>
      <c r="F2430" s="249">
        <v>43684</v>
      </c>
      <c r="G2430" s="249">
        <v>44049</v>
      </c>
      <c r="H2430" s="247" t="s">
        <v>22</v>
      </c>
      <c r="I2430" s="250" t="s">
        <v>3413</v>
      </c>
    </row>
    <row r="2431" spans="1:9">
      <c r="A2431" s="246">
        <v>2427</v>
      </c>
      <c r="B2431" s="247" t="s">
        <v>282</v>
      </c>
      <c r="C2431" s="302" t="str">
        <f>"14564"</f>
        <v>14564</v>
      </c>
      <c r="D2431" s="247" t="s">
        <v>18</v>
      </c>
      <c r="E2431" s="248">
        <v>6</v>
      </c>
      <c r="F2431" s="249">
        <v>43711</v>
      </c>
      <c r="G2431" s="249">
        <v>45537</v>
      </c>
      <c r="H2431" s="247" t="s">
        <v>16</v>
      </c>
      <c r="I2431" s="250" t="s">
        <v>3346</v>
      </c>
    </row>
    <row r="2432" spans="1:9">
      <c r="A2432" s="246">
        <v>2428</v>
      </c>
      <c r="B2432" s="247" t="s">
        <v>265</v>
      </c>
      <c r="C2432" s="302" t="str">
        <f>"14565"</f>
        <v>14565</v>
      </c>
      <c r="D2432" s="247" t="s">
        <v>18</v>
      </c>
      <c r="E2432" s="248">
        <v>1</v>
      </c>
      <c r="F2432" s="249">
        <v>43650</v>
      </c>
      <c r="G2432" s="249">
        <v>45476</v>
      </c>
      <c r="H2432" s="247" t="s">
        <v>14</v>
      </c>
      <c r="I2432" s="250" t="s">
        <v>79</v>
      </c>
    </row>
    <row r="2433" spans="1:9">
      <c r="A2433" s="246">
        <v>2429</v>
      </c>
      <c r="B2433" s="247" t="s">
        <v>257</v>
      </c>
      <c r="C2433" s="302" t="str">
        <f>"14566"</f>
        <v>14566</v>
      </c>
      <c r="D2433" s="247" t="s">
        <v>18</v>
      </c>
      <c r="E2433" s="248">
        <v>2</v>
      </c>
      <c r="F2433" s="249">
        <v>43684</v>
      </c>
      <c r="G2433" s="249">
        <v>45510</v>
      </c>
      <c r="H2433" s="247" t="s">
        <v>59</v>
      </c>
      <c r="I2433" s="250" t="s">
        <v>79</v>
      </c>
    </row>
    <row r="2434" spans="1:9">
      <c r="A2434" s="246">
        <v>2430</v>
      </c>
      <c r="B2434" s="247" t="s">
        <v>262</v>
      </c>
      <c r="C2434" s="302" t="str">
        <f>"14567"</f>
        <v>14567</v>
      </c>
      <c r="D2434" s="247" t="s">
        <v>18</v>
      </c>
      <c r="E2434" s="248">
        <v>5</v>
      </c>
      <c r="F2434" s="249">
        <v>43684</v>
      </c>
      <c r="G2434" s="249">
        <v>45510</v>
      </c>
      <c r="H2434" s="247" t="s">
        <v>19</v>
      </c>
      <c r="I2434" s="250" t="s">
        <v>79</v>
      </c>
    </row>
    <row r="2435" spans="1:9">
      <c r="A2435" s="246">
        <v>2431</v>
      </c>
      <c r="B2435" s="247" t="s">
        <v>257</v>
      </c>
      <c r="C2435" s="302" t="str">
        <f>"14568"</f>
        <v>14568</v>
      </c>
      <c r="D2435" s="247" t="s">
        <v>18</v>
      </c>
      <c r="E2435" s="248">
        <v>20</v>
      </c>
      <c r="F2435" s="249">
        <v>43650</v>
      </c>
      <c r="G2435" s="249">
        <v>45476</v>
      </c>
      <c r="H2435" s="247" t="s">
        <v>84</v>
      </c>
      <c r="I2435" s="250" t="s">
        <v>3346</v>
      </c>
    </row>
    <row r="2436" spans="1:9">
      <c r="A2436" s="246">
        <v>2432</v>
      </c>
      <c r="B2436" s="247" t="s">
        <v>312</v>
      </c>
      <c r="C2436" s="302" t="str">
        <f>"14569"</f>
        <v>14569</v>
      </c>
      <c r="D2436" s="247" t="s">
        <v>18</v>
      </c>
      <c r="E2436" s="248">
        <v>7</v>
      </c>
      <c r="F2436" s="249">
        <v>43623</v>
      </c>
      <c r="G2436" s="249">
        <v>45449</v>
      </c>
      <c r="H2436" s="247" t="s">
        <v>14</v>
      </c>
      <c r="I2436" s="250" t="s">
        <v>79</v>
      </c>
    </row>
    <row r="2437" spans="1:9">
      <c r="A2437" s="246">
        <v>2433</v>
      </c>
      <c r="B2437" s="247" t="s">
        <v>312</v>
      </c>
      <c r="C2437" s="302" t="str">
        <f>"14570"</f>
        <v>14570</v>
      </c>
      <c r="D2437" s="247" t="s">
        <v>18</v>
      </c>
      <c r="E2437" s="248">
        <v>2</v>
      </c>
      <c r="F2437" s="249">
        <v>43623</v>
      </c>
      <c r="G2437" s="249">
        <v>45449</v>
      </c>
      <c r="H2437" s="247" t="s">
        <v>14</v>
      </c>
      <c r="I2437" s="250" t="s">
        <v>79</v>
      </c>
    </row>
    <row r="2438" spans="1:9">
      <c r="A2438" s="246">
        <v>2434</v>
      </c>
      <c r="B2438" s="247" t="s">
        <v>312</v>
      </c>
      <c r="C2438" s="302" t="str">
        <f>"14571"</f>
        <v>14571</v>
      </c>
      <c r="D2438" s="247" t="s">
        <v>18</v>
      </c>
      <c r="E2438" s="248">
        <v>3</v>
      </c>
      <c r="F2438" s="249">
        <v>43623</v>
      </c>
      <c r="G2438" s="249">
        <v>45449</v>
      </c>
      <c r="H2438" s="247" t="s">
        <v>14</v>
      </c>
      <c r="I2438" s="250" t="s">
        <v>79</v>
      </c>
    </row>
    <row r="2439" spans="1:9">
      <c r="A2439" s="246">
        <v>2435</v>
      </c>
      <c r="B2439" s="247" t="s">
        <v>284</v>
      </c>
      <c r="C2439" s="302" t="str">
        <f>"14572"</f>
        <v>14572</v>
      </c>
      <c r="D2439" s="247" t="s">
        <v>18</v>
      </c>
      <c r="E2439" s="248">
        <v>8</v>
      </c>
      <c r="F2439" s="249">
        <v>43566</v>
      </c>
      <c r="G2439" s="249">
        <v>45392</v>
      </c>
      <c r="H2439" s="247" t="s">
        <v>16</v>
      </c>
      <c r="I2439" s="250" t="s">
        <v>79</v>
      </c>
    </row>
    <row r="2440" spans="1:9">
      <c r="A2440" s="246">
        <v>2436</v>
      </c>
      <c r="B2440" s="247" t="s">
        <v>284</v>
      </c>
      <c r="C2440" s="302" t="str">
        <f>"14573"</f>
        <v>14573</v>
      </c>
      <c r="D2440" s="247" t="s">
        <v>18</v>
      </c>
      <c r="E2440" s="248">
        <v>6</v>
      </c>
      <c r="F2440" s="249">
        <v>43566</v>
      </c>
      <c r="G2440" s="249">
        <v>45392</v>
      </c>
      <c r="H2440" s="247" t="s">
        <v>14</v>
      </c>
      <c r="I2440" s="250" t="s">
        <v>79</v>
      </c>
    </row>
    <row r="2441" spans="1:9">
      <c r="A2441" s="246">
        <v>2437</v>
      </c>
      <c r="B2441" s="247" t="s">
        <v>284</v>
      </c>
      <c r="C2441" s="302" t="str">
        <f>"14574"</f>
        <v>14574</v>
      </c>
      <c r="D2441" s="247" t="s">
        <v>18</v>
      </c>
      <c r="E2441" s="248">
        <v>4</v>
      </c>
      <c r="F2441" s="249">
        <v>43566</v>
      </c>
      <c r="G2441" s="249">
        <v>45392</v>
      </c>
      <c r="H2441" s="247" t="s">
        <v>14</v>
      </c>
      <c r="I2441" s="250" t="s">
        <v>79</v>
      </c>
    </row>
    <row r="2442" spans="1:9">
      <c r="A2442" s="246">
        <v>2438</v>
      </c>
      <c r="B2442" s="247" t="s">
        <v>284</v>
      </c>
      <c r="C2442" s="302" t="str">
        <f>"14575"</f>
        <v>14575</v>
      </c>
      <c r="D2442" s="247" t="s">
        <v>18</v>
      </c>
      <c r="E2442" s="248">
        <v>4</v>
      </c>
      <c r="F2442" s="249">
        <v>43566</v>
      </c>
      <c r="G2442" s="249">
        <v>45392</v>
      </c>
      <c r="H2442" s="247" t="s">
        <v>14</v>
      </c>
      <c r="I2442" s="250" t="s">
        <v>79</v>
      </c>
    </row>
    <row r="2443" spans="1:9">
      <c r="A2443" s="246">
        <v>2439</v>
      </c>
      <c r="B2443" s="247" t="s">
        <v>284</v>
      </c>
      <c r="C2443" s="302" t="str">
        <f>"14576"</f>
        <v>14576</v>
      </c>
      <c r="D2443" s="247" t="s">
        <v>18</v>
      </c>
      <c r="E2443" s="248">
        <v>4</v>
      </c>
      <c r="F2443" s="249">
        <v>43566</v>
      </c>
      <c r="G2443" s="249">
        <v>45392</v>
      </c>
      <c r="H2443" s="247" t="s">
        <v>16</v>
      </c>
      <c r="I2443" s="250" t="s">
        <v>79</v>
      </c>
    </row>
    <row r="2444" spans="1:9">
      <c r="A2444" s="246">
        <v>2440</v>
      </c>
      <c r="B2444" s="247" t="s">
        <v>284</v>
      </c>
      <c r="C2444" s="302" t="str">
        <f>"14577"</f>
        <v>14577</v>
      </c>
      <c r="D2444" s="247" t="s">
        <v>18</v>
      </c>
      <c r="E2444" s="248">
        <v>4</v>
      </c>
      <c r="F2444" s="249">
        <v>43566</v>
      </c>
      <c r="G2444" s="249">
        <v>45392</v>
      </c>
      <c r="H2444" s="247" t="s">
        <v>59</v>
      </c>
      <c r="I2444" s="250" t="s">
        <v>79</v>
      </c>
    </row>
    <row r="2445" spans="1:9">
      <c r="A2445" s="246">
        <v>2441</v>
      </c>
      <c r="B2445" s="247" t="s">
        <v>284</v>
      </c>
      <c r="C2445" s="302" t="str">
        <f>"14578"</f>
        <v>14578</v>
      </c>
      <c r="D2445" s="247" t="s">
        <v>18</v>
      </c>
      <c r="E2445" s="248">
        <v>4</v>
      </c>
      <c r="F2445" s="249">
        <v>43566</v>
      </c>
      <c r="G2445" s="249">
        <v>45392</v>
      </c>
      <c r="H2445" s="247" t="s">
        <v>59</v>
      </c>
      <c r="I2445" s="250" t="s">
        <v>79</v>
      </c>
    </row>
    <row r="2446" spans="1:9">
      <c r="A2446" s="246">
        <v>2442</v>
      </c>
      <c r="B2446" s="247" t="s">
        <v>284</v>
      </c>
      <c r="C2446" s="302" t="str">
        <f>"14579"</f>
        <v>14579</v>
      </c>
      <c r="D2446" s="247" t="s">
        <v>18</v>
      </c>
      <c r="E2446" s="248">
        <v>3</v>
      </c>
      <c r="F2446" s="249">
        <v>43566</v>
      </c>
      <c r="G2446" s="249">
        <v>45392</v>
      </c>
      <c r="H2446" s="247" t="s">
        <v>14</v>
      </c>
      <c r="I2446" s="250" t="s">
        <v>79</v>
      </c>
    </row>
    <row r="2447" spans="1:9">
      <c r="A2447" s="246">
        <v>2443</v>
      </c>
      <c r="B2447" s="247" t="s">
        <v>284</v>
      </c>
      <c r="C2447" s="302" t="str">
        <f>"14580"</f>
        <v>14580</v>
      </c>
      <c r="D2447" s="247" t="s">
        <v>18</v>
      </c>
      <c r="E2447" s="248">
        <v>4</v>
      </c>
      <c r="F2447" s="249">
        <v>43566</v>
      </c>
      <c r="G2447" s="249">
        <v>45392</v>
      </c>
      <c r="H2447" s="247" t="s">
        <v>16</v>
      </c>
      <c r="I2447" s="250" t="s">
        <v>79</v>
      </c>
    </row>
    <row r="2448" spans="1:9">
      <c r="A2448" s="246">
        <v>2444</v>
      </c>
      <c r="B2448" s="247" t="s">
        <v>284</v>
      </c>
      <c r="C2448" s="302" t="str">
        <f>"14581"</f>
        <v>14581</v>
      </c>
      <c r="D2448" s="247" t="s">
        <v>18</v>
      </c>
      <c r="E2448" s="248">
        <v>4</v>
      </c>
      <c r="F2448" s="249">
        <v>43566</v>
      </c>
      <c r="G2448" s="249">
        <v>45392</v>
      </c>
      <c r="H2448" s="247" t="s">
        <v>14</v>
      </c>
      <c r="I2448" s="250" t="s">
        <v>79</v>
      </c>
    </row>
    <row r="2449" spans="1:9">
      <c r="A2449" s="246">
        <v>2445</v>
      </c>
      <c r="B2449" s="247" t="s">
        <v>284</v>
      </c>
      <c r="C2449" s="302" t="str">
        <f>"14582"</f>
        <v>14582</v>
      </c>
      <c r="D2449" s="247" t="s">
        <v>18</v>
      </c>
      <c r="E2449" s="248">
        <v>4</v>
      </c>
      <c r="F2449" s="249">
        <v>43566</v>
      </c>
      <c r="G2449" s="249">
        <v>45392</v>
      </c>
      <c r="H2449" s="247" t="s">
        <v>14</v>
      </c>
      <c r="I2449" s="250" t="s">
        <v>79</v>
      </c>
    </row>
    <row r="2450" spans="1:9">
      <c r="A2450" s="246">
        <v>2446</v>
      </c>
      <c r="B2450" s="247" t="s">
        <v>284</v>
      </c>
      <c r="C2450" s="302" t="str">
        <f>"14583"</f>
        <v>14583</v>
      </c>
      <c r="D2450" s="247" t="s">
        <v>18</v>
      </c>
      <c r="E2450" s="248">
        <v>4</v>
      </c>
      <c r="F2450" s="249">
        <v>43566</v>
      </c>
      <c r="G2450" s="249">
        <v>45392</v>
      </c>
      <c r="H2450" s="247" t="s">
        <v>59</v>
      </c>
      <c r="I2450" s="250" t="s">
        <v>79</v>
      </c>
    </row>
    <row r="2451" spans="1:9">
      <c r="A2451" s="246">
        <v>2447</v>
      </c>
      <c r="B2451" s="247" t="s">
        <v>284</v>
      </c>
      <c r="C2451" s="302" t="str">
        <f>"14584"</f>
        <v>14584</v>
      </c>
      <c r="D2451" s="247" t="s">
        <v>18</v>
      </c>
      <c r="E2451" s="248">
        <v>4</v>
      </c>
      <c r="F2451" s="249">
        <v>43566</v>
      </c>
      <c r="G2451" s="249">
        <v>45392</v>
      </c>
      <c r="H2451" s="247" t="s">
        <v>59</v>
      </c>
      <c r="I2451" s="250" t="s">
        <v>79</v>
      </c>
    </row>
    <row r="2452" spans="1:9">
      <c r="A2452" s="246">
        <v>2448</v>
      </c>
      <c r="B2452" s="247" t="s">
        <v>284</v>
      </c>
      <c r="C2452" s="302" t="str">
        <f>"14585"</f>
        <v>14585</v>
      </c>
      <c r="D2452" s="247" t="s">
        <v>18</v>
      </c>
      <c r="E2452" s="248">
        <v>4</v>
      </c>
      <c r="F2452" s="249">
        <v>43566</v>
      </c>
      <c r="G2452" s="249">
        <v>45392</v>
      </c>
      <c r="H2452" s="247" t="s">
        <v>16</v>
      </c>
      <c r="I2452" s="250" t="s">
        <v>79</v>
      </c>
    </row>
    <row r="2453" spans="1:9">
      <c r="A2453" s="246">
        <v>2449</v>
      </c>
      <c r="B2453" s="247" t="s">
        <v>284</v>
      </c>
      <c r="C2453" s="302" t="str">
        <f>"14586"</f>
        <v>14586</v>
      </c>
      <c r="D2453" s="247" t="s">
        <v>18</v>
      </c>
      <c r="E2453" s="248">
        <v>5</v>
      </c>
      <c r="F2453" s="249">
        <v>43566</v>
      </c>
      <c r="G2453" s="249">
        <v>45392</v>
      </c>
      <c r="H2453" s="247" t="s">
        <v>16</v>
      </c>
      <c r="I2453" s="250" t="s">
        <v>79</v>
      </c>
    </row>
    <row r="2454" spans="1:9">
      <c r="A2454" s="246">
        <v>2450</v>
      </c>
      <c r="B2454" s="247" t="s">
        <v>284</v>
      </c>
      <c r="C2454" s="302" t="str">
        <f>"14587"</f>
        <v>14587</v>
      </c>
      <c r="D2454" s="247" t="s">
        <v>18</v>
      </c>
      <c r="E2454" s="248">
        <v>4</v>
      </c>
      <c r="F2454" s="249">
        <v>43566</v>
      </c>
      <c r="G2454" s="249">
        <v>45392</v>
      </c>
      <c r="H2454" s="247" t="s">
        <v>16</v>
      </c>
      <c r="I2454" s="250" t="s">
        <v>79</v>
      </c>
    </row>
    <row r="2455" spans="1:9">
      <c r="A2455" s="246">
        <v>2451</v>
      </c>
      <c r="B2455" s="247" t="s">
        <v>284</v>
      </c>
      <c r="C2455" s="302" t="str">
        <f>"14588"</f>
        <v>14588</v>
      </c>
      <c r="D2455" s="247" t="s">
        <v>18</v>
      </c>
      <c r="E2455" s="248">
        <v>4</v>
      </c>
      <c r="F2455" s="249">
        <v>43566</v>
      </c>
      <c r="G2455" s="249">
        <v>45392</v>
      </c>
      <c r="H2455" s="247" t="s">
        <v>59</v>
      </c>
      <c r="I2455" s="250" t="s">
        <v>79</v>
      </c>
    </row>
    <row r="2456" spans="1:9">
      <c r="A2456" s="246">
        <v>2452</v>
      </c>
      <c r="B2456" s="247" t="s">
        <v>284</v>
      </c>
      <c r="C2456" s="302" t="str">
        <f>"14589"</f>
        <v>14589</v>
      </c>
      <c r="D2456" s="247" t="s">
        <v>18</v>
      </c>
      <c r="E2456" s="248">
        <v>3</v>
      </c>
      <c r="F2456" s="249">
        <v>43566</v>
      </c>
      <c r="G2456" s="249">
        <v>45392</v>
      </c>
      <c r="H2456" s="247" t="s">
        <v>14</v>
      </c>
      <c r="I2456" s="250" t="s">
        <v>79</v>
      </c>
    </row>
    <row r="2457" spans="1:9">
      <c r="A2457" s="246">
        <v>2453</v>
      </c>
      <c r="B2457" s="247" t="s">
        <v>284</v>
      </c>
      <c r="C2457" s="302" t="str">
        <f>"14590"</f>
        <v>14590</v>
      </c>
      <c r="D2457" s="247" t="s">
        <v>18</v>
      </c>
      <c r="E2457" s="248">
        <v>4</v>
      </c>
      <c r="F2457" s="249">
        <v>43567</v>
      </c>
      <c r="G2457" s="249">
        <v>45393</v>
      </c>
      <c r="H2457" s="247" t="s">
        <v>59</v>
      </c>
      <c r="I2457" s="250" t="s">
        <v>79</v>
      </c>
    </row>
    <row r="2458" spans="1:9">
      <c r="A2458" s="246">
        <v>2454</v>
      </c>
      <c r="B2458" s="247" t="s">
        <v>284</v>
      </c>
      <c r="C2458" s="302" t="str">
        <f>"14591"</f>
        <v>14591</v>
      </c>
      <c r="D2458" s="247" t="s">
        <v>18</v>
      </c>
      <c r="E2458" s="248">
        <v>4</v>
      </c>
      <c r="F2458" s="249">
        <v>43567</v>
      </c>
      <c r="G2458" s="249">
        <v>45393</v>
      </c>
      <c r="H2458" s="247" t="s">
        <v>70</v>
      </c>
      <c r="I2458" s="250" t="s">
        <v>79</v>
      </c>
    </row>
    <row r="2459" spans="1:9">
      <c r="A2459" s="246">
        <v>2455</v>
      </c>
      <c r="B2459" s="247" t="s">
        <v>284</v>
      </c>
      <c r="C2459" s="302" t="str">
        <f>"14592"</f>
        <v>14592</v>
      </c>
      <c r="D2459" s="247" t="s">
        <v>18</v>
      </c>
      <c r="E2459" s="248">
        <v>5</v>
      </c>
      <c r="F2459" s="249">
        <v>43566</v>
      </c>
      <c r="G2459" s="249">
        <v>45392</v>
      </c>
      <c r="H2459" s="247" t="s">
        <v>14</v>
      </c>
      <c r="I2459" s="250" t="s">
        <v>79</v>
      </c>
    </row>
    <row r="2460" spans="1:9">
      <c r="A2460" s="246">
        <v>2456</v>
      </c>
      <c r="B2460" s="247" t="s">
        <v>284</v>
      </c>
      <c r="C2460" s="302" t="str">
        <f>"14593"</f>
        <v>14593</v>
      </c>
      <c r="D2460" s="247" t="s">
        <v>18</v>
      </c>
      <c r="E2460" s="248">
        <v>4</v>
      </c>
      <c r="F2460" s="249">
        <v>43566</v>
      </c>
      <c r="G2460" s="249">
        <v>45392</v>
      </c>
      <c r="H2460" s="247" t="s">
        <v>14</v>
      </c>
      <c r="I2460" s="250" t="s">
        <v>79</v>
      </c>
    </row>
    <row r="2461" spans="1:9">
      <c r="A2461" s="246">
        <v>2457</v>
      </c>
      <c r="B2461" s="247" t="s">
        <v>284</v>
      </c>
      <c r="C2461" s="302" t="str">
        <f>"14594"</f>
        <v>14594</v>
      </c>
      <c r="D2461" s="247" t="s">
        <v>18</v>
      </c>
      <c r="E2461" s="248">
        <v>4</v>
      </c>
      <c r="F2461" s="249">
        <v>43566</v>
      </c>
      <c r="G2461" s="249">
        <v>45392</v>
      </c>
      <c r="H2461" s="247" t="s">
        <v>14</v>
      </c>
      <c r="I2461" s="250" t="s">
        <v>79</v>
      </c>
    </row>
    <row r="2462" spans="1:9">
      <c r="A2462" s="246">
        <v>2458</v>
      </c>
      <c r="B2462" s="247" t="s">
        <v>284</v>
      </c>
      <c r="C2462" s="302" t="str">
        <f>"14595"</f>
        <v>14595</v>
      </c>
      <c r="D2462" s="247" t="s">
        <v>18</v>
      </c>
      <c r="E2462" s="248">
        <v>4</v>
      </c>
      <c r="F2462" s="249">
        <v>43566</v>
      </c>
      <c r="G2462" s="249">
        <v>45392</v>
      </c>
      <c r="H2462" s="247" t="s">
        <v>16</v>
      </c>
      <c r="I2462" s="250" t="s">
        <v>79</v>
      </c>
    </row>
    <row r="2463" spans="1:9">
      <c r="A2463" s="246">
        <v>2459</v>
      </c>
      <c r="B2463" s="247" t="s">
        <v>284</v>
      </c>
      <c r="C2463" s="302" t="str">
        <f>"14596"</f>
        <v>14596</v>
      </c>
      <c r="D2463" s="247" t="s">
        <v>18</v>
      </c>
      <c r="E2463" s="248">
        <v>4</v>
      </c>
      <c r="F2463" s="249">
        <v>43566</v>
      </c>
      <c r="G2463" s="249">
        <v>45392</v>
      </c>
      <c r="H2463" s="247" t="s">
        <v>16</v>
      </c>
      <c r="I2463" s="250" t="s">
        <v>79</v>
      </c>
    </row>
    <row r="2464" spans="1:9">
      <c r="A2464" s="246">
        <v>2460</v>
      </c>
      <c r="B2464" s="247" t="s">
        <v>284</v>
      </c>
      <c r="C2464" s="302" t="str">
        <f>"14597"</f>
        <v>14597</v>
      </c>
      <c r="D2464" s="247" t="s">
        <v>18</v>
      </c>
      <c r="E2464" s="248">
        <v>5</v>
      </c>
      <c r="F2464" s="249">
        <v>43566</v>
      </c>
      <c r="G2464" s="249">
        <v>45392</v>
      </c>
      <c r="H2464" s="247" t="s">
        <v>14</v>
      </c>
      <c r="I2464" s="250" t="s">
        <v>79</v>
      </c>
    </row>
    <row r="2465" spans="1:9">
      <c r="A2465" s="246">
        <v>2461</v>
      </c>
      <c r="B2465" s="247" t="s">
        <v>284</v>
      </c>
      <c r="C2465" s="302" t="str">
        <f>"14598"</f>
        <v>14598</v>
      </c>
      <c r="D2465" s="247" t="s">
        <v>18</v>
      </c>
      <c r="E2465" s="248">
        <v>4</v>
      </c>
      <c r="F2465" s="249">
        <v>43566</v>
      </c>
      <c r="G2465" s="249">
        <v>45392</v>
      </c>
      <c r="H2465" s="247" t="s">
        <v>14</v>
      </c>
      <c r="I2465" s="250" t="s">
        <v>79</v>
      </c>
    </row>
    <row r="2466" spans="1:9">
      <c r="A2466" s="246">
        <v>2462</v>
      </c>
      <c r="B2466" s="247" t="s">
        <v>284</v>
      </c>
      <c r="C2466" s="302" t="str">
        <f>"14599"</f>
        <v>14599</v>
      </c>
      <c r="D2466" s="247" t="s">
        <v>18</v>
      </c>
      <c r="E2466" s="248">
        <v>4</v>
      </c>
      <c r="F2466" s="249">
        <v>43566</v>
      </c>
      <c r="G2466" s="249">
        <v>45392</v>
      </c>
      <c r="H2466" s="247" t="s">
        <v>14</v>
      </c>
      <c r="I2466" s="250" t="s">
        <v>79</v>
      </c>
    </row>
    <row r="2467" spans="1:9">
      <c r="A2467" s="246">
        <v>2463</v>
      </c>
      <c r="B2467" s="247" t="s">
        <v>284</v>
      </c>
      <c r="C2467" s="302" t="str">
        <f>"14600"</f>
        <v>14600</v>
      </c>
      <c r="D2467" s="247" t="s">
        <v>18</v>
      </c>
      <c r="E2467" s="248">
        <v>4</v>
      </c>
      <c r="F2467" s="249">
        <v>43566</v>
      </c>
      <c r="G2467" s="249">
        <v>45392</v>
      </c>
      <c r="H2467" s="247" t="s">
        <v>14</v>
      </c>
      <c r="I2467" s="250" t="s">
        <v>79</v>
      </c>
    </row>
    <row r="2468" spans="1:9">
      <c r="A2468" s="246">
        <v>2464</v>
      </c>
      <c r="B2468" s="247" t="s">
        <v>297</v>
      </c>
      <c r="C2468" s="302" t="str">
        <f>"14601"</f>
        <v>14601</v>
      </c>
      <c r="D2468" s="247" t="s">
        <v>18</v>
      </c>
      <c r="E2468" s="248">
        <v>10</v>
      </c>
      <c r="F2468" s="249">
        <v>43614</v>
      </c>
      <c r="G2468" s="249">
        <v>45440</v>
      </c>
      <c r="H2468" s="247" t="s">
        <v>59</v>
      </c>
      <c r="I2468" s="250" t="s">
        <v>79</v>
      </c>
    </row>
    <row r="2469" spans="1:9">
      <c r="A2469" s="246">
        <v>2465</v>
      </c>
      <c r="B2469" s="247" t="s">
        <v>546</v>
      </c>
      <c r="C2469" s="302" t="str">
        <f>"14602"</f>
        <v>14602</v>
      </c>
      <c r="D2469" s="247" t="s">
        <v>23</v>
      </c>
      <c r="E2469" s="248">
        <v>3</v>
      </c>
      <c r="F2469" s="249">
        <v>43684</v>
      </c>
      <c r="G2469" s="249">
        <v>44049</v>
      </c>
      <c r="H2469" s="247" t="s">
        <v>26</v>
      </c>
      <c r="I2469" s="250" t="s">
        <v>3413</v>
      </c>
    </row>
    <row r="2470" spans="1:9">
      <c r="A2470" s="246">
        <v>2466</v>
      </c>
      <c r="B2470" s="247" t="s">
        <v>313</v>
      </c>
      <c r="C2470" s="302" t="str">
        <f>"14607"</f>
        <v>14607</v>
      </c>
      <c r="D2470" s="247" t="s">
        <v>18</v>
      </c>
      <c r="E2470" s="248">
        <v>2</v>
      </c>
      <c r="F2470" s="249">
        <v>43605</v>
      </c>
      <c r="G2470" s="249">
        <v>45431</v>
      </c>
      <c r="H2470" s="247" t="s">
        <v>14</v>
      </c>
      <c r="I2470" s="250" t="s">
        <v>79</v>
      </c>
    </row>
    <row r="2471" spans="1:9">
      <c r="A2471" s="246">
        <v>2467</v>
      </c>
      <c r="B2471" s="247" t="s">
        <v>313</v>
      </c>
      <c r="C2471" s="302" t="str">
        <f>"14608"</f>
        <v>14608</v>
      </c>
      <c r="D2471" s="247" t="s">
        <v>18</v>
      </c>
      <c r="E2471" s="248">
        <v>6</v>
      </c>
      <c r="F2471" s="249">
        <v>43605</v>
      </c>
      <c r="G2471" s="249">
        <v>45431</v>
      </c>
      <c r="H2471" s="247" t="s">
        <v>14</v>
      </c>
      <c r="I2471" s="250" t="s">
        <v>79</v>
      </c>
    </row>
    <row r="2472" spans="1:9">
      <c r="A2472" s="246">
        <v>2468</v>
      </c>
      <c r="B2472" s="247" t="s">
        <v>313</v>
      </c>
      <c r="C2472" s="302" t="str">
        <f>"14609"</f>
        <v>14609</v>
      </c>
      <c r="D2472" s="247" t="s">
        <v>18</v>
      </c>
      <c r="E2472" s="248">
        <v>2</v>
      </c>
      <c r="F2472" s="249">
        <v>43605</v>
      </c>
      <c r="G2472" s="249">
        <v>45431</v>
      </c>
      <c r="H2472" s="247" t="s">
        <v>14</v>
      </c>
      <c r="I2472" s="250" t="s">
        <v>79</v>
      </c>
    </row>
    <row r="2473" spans="1:9">
      <c r="A2473" s="246">
        <v>2469</v>
      </c>
      <c r="B2473" s="247" t="s">
        <v>313</v>
      </c>
      <c r="C2473" s="302" t="str">
        <f>"14610"</f>
        <v>14610</v>
      </c>
      <c r="D2473" s="247" t="s">
        <v>18</v>
      </c>
      <c r="E2473" s="248">
        <v>6</v>
      </c>
      <c r="F2473" s="249">
        <v>43605</v>
      </c>
      <c r="G2473" s="249">
        <v>45431</v>
      </c>
      <c r="H2473" s="247" t="s">
        <v>16</v>
      </c>
      <c r="I2473" s="250" t="s">
        <v>79</v>
      </c>
    </row>
    <row r="2474" spans="1:9">
      <c r="A2474" s="246">
        <v>2470</v>
      </c>
      <c r="B2474" s="247" t="s">
        <v>416</v>
      </c>
      <c r="C2474" s="302" t="str">
        <f>"14611"</f>
        <v>14611</v>
      </c>
      <c r="D2474" s="247" t="s">
        <v>23</v>
      </c>
      <c r="E2474" s="248">
        <v>2</v>
      </c>
      <c r="F2474" s="249">
        <v>44216</v>
      </c>
      <c r="G2474" s="249">
        <v>44580</v>
      </c>
      <c r="H2474" s="247" t="s">
        <v>19</v>
      </c>
      <c r="I2474" s="250" t="s">
        <v>3413</v>
      </c>
    </row>
    <row r="2475" spans="1:9">
      <c r="A2475" s="246">
        <v>2471</v>
      </c>
      <c r="B2475" s="247" t="s">
        <v>314</v>
      </c>
      <c r="C2475" s="302" t="str">
        <f>"14613"</f>
        <v>14613</v>
      </c>
      <c r="D2475" s="247" t="s">
        <v>18</v>
      </c>
      <c r="E2475" s="248">
        <v>44</v>
      </c>
      <c r="F2475" s="249">
        <v>43644</v>
      </c>
      <c r="G2475" s="249">
        <v>45470</v>
      </c>
      <c r="H2475" s="247" t="s">
        <v>14</v>
      </c>
      <c r="I2475" s="250" t="s">
        <v>438</v>
      </c>
    </row>
    <row r="2476" spans="1:9">
      <c r="A2476" s="246">
        <v>2472</v>
      </c>
      <c r="B2476" s="247" t="s">
        <v>314</v>
      </c>
      <c r="C2476" s="302" t="str">
        <f>"14614"</f>
        <v>14614</v>
      </c>
      <c r="D2476" s="247" t="s">
        <v>18</v>
      </c>
      <c r="E2476" s="248">
        <v>28</v>
      </c>
      <c r="F2476" s="249">
        <v>43644</v>
      </c>
      <c r="G2476" s="249">
        <v>45470</v>
      </c>
      <c r="H2476" s="247" t="s">
        <v>16</v>
      </c>
      <c r="I2476" s="250" t="s">
        <v>79</v>
      </c>
    </row>
    <row r="2477" spans="1:9">
      <c r="A2477" s="246">
        <v>2473</v>
      </c>
      <c r="B2477" s="247" t="s">
        <v>547</v>
      </c>
      <c r="C2477" s="302" t="str">
        <f>"14615"</f>
        <v>14615</v>
      </c>
      <c r="D2477" s="247" t="s">
        <v>23</v>
      </c>
      <c r="E2477" s="248">
        <v>2</v>
      </c>
      <c r="F2477" s="249">
        <v>44047</v>
      </c>
      <c r="G2477" s="249">
        <v>44411</v>
      </c>
      <c r="H2477" s="247" t="s">
        <v>16</v>
      </c>
      <c r="I2477" s="250" t="s">
        <v>3413</v>
      </c>
    </row>
    <row r="2478" spans="1:9">
      <c r="A2478" s="246">
        <v>2474</v>
      </c>
      <c r="B2478" s="247" t="s">
        <v>1985</v>
      </c>
      <c r="C2478" s="302" t="str">
        <f>"14616"</f>
        <v>14616</v>
      </c>
      <c r="D2478" s="247" t="s">
        <v>18</v>
      </c>
      <c r="E2478" s="248">
        <v>16</v>
      </c>
      <c r="F2478" s="249">
        <v>43623</v>
      </c>
      <c r="G2478" s="249">
        <v>45449</v>
      </c>
      <c r="H2478" s="247" t="s">
        <v>16</v>
      </c>
      <c r="I2478" s="250" t="s">
        <v>438</v>
      </c>
    </row>
    <row r="2479" spans="1:9">
      <c r="A2479" s="246">
        <v>2475</v>
      </c>
      <c r="B2479" s="247" t="s">
        <v>538</v>
      </c>
      <c r="C2479" s="302" t="str">
        <f>"14617"</f>
        <v>14617</v>
      </c>
      <c r="D2479" s="247" t="s">
        <v>18</v>
      </c>
      <c r="E2479" s="248">
        <v>12</v>
      </c>
      <c r="F2479" s="249">
        <v>43623</v>
      </c>
      <c r="G2479" s="249">
        <v>45449</v>
      </c>
      <c r="H2479" s="247" t="s">
        <v>16</v>
      </c>
      <c r="I2479" s="250" t="s">
        <v>438</v>
      </c>
    </row>
    <row r="2480" spans="1:9">
      <c r="A2480" s="246">
        <v>2476</v>
      </c>
      <c r="B2480" s="247" t="s">
        <v>538</v>
      </c>
      <c r="C2480" s="302" t="str">
        <f>"14618"</f>
        <v>14618</v>
      </c>
      <c r="D2480" s="247" t="s">
        <v>18</v>
      </c>
      <c r="E2480" s="248">
        <v>6</v>
      </c>
      <c r="F2480" s="249">
        <v>43623</v>
      </c>
      <c r="G2480" s="249">
        <v>45449</v>
      </c>
      <c r="H2480" s="247" t="s">
        <v>16</v>
      </c>
      <c r="I2480" s="250" t="s">
        <v>438</v>
      </c>
    </row>
    <row r="2481" spans="1:9">
      <c r="A2481" s="246">
        <v>2477</v>
      </c>
      <c r="B2481" s="247" t="s">
        <v>538</v>
      </c>
      <c r="C2481" s="302" t="str">
        <f>"14619"</f>
        <v>14619</v>
      </c>
      <c r="D2481" s="247" t="s">
        <v>18</v>
      </c>
      <c r="E2481" s="248">
        <v>11</v>
      </c>
      <c r="F2481" s="249">
        <v>43623</v>
      </c>
      <c r="G2481" s="249">
        <v>45449</v>
      </c>
      <c r="H2481" s="247" t="s">
        <v>16</v>
      </c>
      <c r="I2481" s="250" t="s">
        <v>438</v>
      </c>
    </row>
    <row r="2482" spans="1:9">
      <c r="A2482" s="246">
        <v>2478</v>
      </c>
      <c r="B2482" s="247" t="s">
        <v>315</v>
      </c>
      <c r="C2482" s="302" t="str">
        <f>"14623"</f>
        <v>14623</v>
      </c>
      <c r="D2482" s="247" t="s">
        <v>18</v>
      </c>
      <c r="E2482" s="248">
        <v>62</v>
      </c>
      <c r="F2482" s="249">
        <v>43670</v>
      </c>
      <c r="G2482" s="249">
        <v>45496</v>
      </c>
      <c r="H2482" s="247" t="s">
        <v>31</v>
      </c>
      <c r="I2482" s="250" t="s">
        <v>79</v>
      </c>
    </row>
    <row r="2483" spans="1:9">
      <c r="A2483" s="246">
        <v>2479</v>
      </c>
      <c r="B2483" s="247" t="s">
        <v>315</v>
      </c>
      <c r="C2483" s="302" t="str">
        <f>"14624"</f>
        <v>14624</v>
      </c>
      <c r="D2483" s="247" t="s">
        <v>18</v>
      </c>
      <c r="E2483" s="248">
        <v>54</v>
      </c>
      <c r="F2483" s="249">
        <v>43670</v>
      </c>
      <c r="G2483" s="249">
        <v>45496</v>
      </c>
      <c r="H2483" s="247" t="s">
        <v>31</v>
      </c>
      <c r="I2483" s="250" t="s">
        <v>79</v>
      </c>
    </row>
    <row r="2484" spans="1:9">
      <c r="A2484" s="246">
        <v>2480</v>
      </c>
      <c r="B2484" s="247" t="s">
        <v>315</v>
      </c>
      <c r="C2484" s="302" t="str">
        <f>"14625"</f>
        <v>14625</v>
      </c>
      <c r="D2484" s="247" t="s">
        <v>18</v>
      </c>
      <c r="E2484" s="248">
        <v>38</v>
      </c>
      <c r="F2484" s="249">
        <v>43670</v>
      </c>
      <c r="G2484" s="249">
        <v>45496</v>
      </c>
      <c r="H2484" s="247" t="s">
        <v>31</v>
      </c>
      <c r="I2484" s="250" t="s">
        <v>448</v>
      </c>
    </row>
    <row r="2485" spans="1:9">
      <c r="A2485" s="246">
        <v>2481</v>
      </c>
      <c r="B2485" s="247" t="s">
        <v>107</v>
      </c>
      <c r="C2485" s="302" t="str">
        <f>"14626"</f>
        <v>14626</v>
      </c>
      <c r="D2485" s="247" t="s">
        <v>13</v>
      </c>
      <c r="E2485" s="248">
        <v>47</v>
      </c>
      <c r="F2485" s="249">
        <v>44104</v>
      </c>
      <c r="G2485" s="249">
        <v>53234</v>
      </c>
      <c r="H2485" s="247" t="s">
        <v>16</v>
      </c>
      <c r="I2485" s="250" t="s">
        <v>79</v>
      </c>
    </row>
    <row r="2486" spans="1:9">
      <c r="A2486" s="246">
        <v>2482</v>
      </c>
      <c r="B2486" s="247" t="s">
        <v>107</v>
      </c>
      <c r="C2486" s="302" t="str">
        <f>"14627"</f>
        <v>14627</v>
      </c>
      <c r="D2486" s="247" t="s">
        <v>13</v>
      </c>
      <c r="E2486" s="248">
        <v>63</v>
      </c>
      <c r="F2486" s="249">
        <v>44104</v>
      </c>
      <c r="G2486" s="249">
        <v>53234</v>
      </c>
      <c r="H2486" s="247" t="s">
        <v>16</v>
      </c>
      <c r="I2486" s="250" t="s">
        <v>79</v>
      </c>
    </row>
    <row r="2487" spans="1:9">
      <c r="A2487" s="246">
        <v>2483</v>
      </c>
      <c r="B2487" s="247" t="s">
        <v>3590</v>
      </c>
      <c r="C2487" s="302" t="str">
        <f>"14630"</f>
        <v>14630</v>
      </c>
      <c r="D2487" s="247" t="s">
        <v>18</v>
      </c>
      <c r="E2487" s="248">
        <v>15</v>
      </c>
      <c r="F2487" s="249">
        <v>43731</v>
      </c>
      <c r="G2487" s="249">
        <v>45557</v>
      </c>
      <c r="H2487" s="247" t="s">
        <v>56</v>
      </c>
      <c r="I2487" s="250" t="s">
        <v>437</v>
      </c>
    </row>
    <row r="2488" spans="1:9">
      <c r="A2488" s="246">
        <v>2484</v>
      </c>
      <c r="B2488" s="247" t="s">
        <v>316</v>
      </c>
      <c r="C2488" s="302" t="str">
        <f>"14631"</f>
        <v>14631</v>
      </c>
      <c r="D2488" s="247" t="s">
        <v>21</v>
      </c>
      <c r="E2488" s="248">
        <v>4</v>
      </c>
      <c r="F2488" s="249">
        <v>43839</v>
      </c>
      <c r="G2488" s="249">
        <v>45665</v>
      </c>
      <c r="H2488" s="247" t="s">
        <v>14</v>
      </c>
      <c r="I2488" s="250" t="s">
        <v>79</v>
      </c>
    </row>
    <row r="2489" spans="1:9">
      <c r="A2489" s="246">
        <v>2485</v>
      </c>
      <c r="B2489" s="247" t="s">
        <v>3598</v>
      </c>
      <c r="C2489" s="302" t="str">
        <f>"14633"</f>
        <v>14633</v>
      </c>
      <c r="D2489" s="247" t="s">
        <v>18</v>
      </c>
      <c r="E2489" s="248">
        <v>16</v>
      </c>
      <c r="F2489" s="249">
        <v>43711</v>
      </c>
      <c r="G2489" s="249">
        <v>45537</v>
      </c>
      <c r="H2489" s="247" t="s">
        <v>16</v>
      </c>
      <c r="I2489" s="250" t="s">
        <v>3369</v>
      </c>
    </row>
    <row r="2490" spans="1:9">
      <c r="A2490" s="246">
        <v>2486</v>
      </c>
      <c r="B2490" s="247" t="s">
        <v>317</v>
      </c>
      <c r="C2490" s="302" t="str">
        <f>"14634"</f>
        <v>14634</v>
      </c>
      <c r="D2490" s="247" t="s">
        <v>18</v>
      </c>
      <c r="E2490" s="248">
        <v>15</v>
      </c>
      <c r="F2490" s="249">
        <v>44256</v>
      </c>
      <c r="G2490" s="249">
        <v>46081</v>
      </c>
      <c r="H2490" s="247" t="s">
        <v>84</v>
      </c>
      <c r="I2490" s="250" t="s">
        <v>79</v>
      </c>
    </row>
    <row r="2491" spans="1:9">
      <c r="A2491" s="246">
        <v>2487</v>
      </c>
      <c r="B2491" s="247" t="s">
        <v>317</v>
      </c>
      <c r="C2491" s="302" t="str">
        <f>"14635"</f>
        <v>14635</v>
      </c>
      <c r="D2491" s="247" t="s">
        <v>18</v>
      </c>
      <c r="E2491" s="248">
        <v>5</v>
      </c>
      <c r="F2491" s="249">
        <v>44256</v>
      </c>
      <c r="G2491" s="249">
        <v>46081</v>
      </c>
      <c r="H2491" s="247" t="s">
        <v>56</v>
      </c>
      <c r="I2491" s="250" t="s">
        <v>79</v>
      </c>
    </row>
    <row r="2492" spans="1:9">
      <c r="A2492" s="246">
        <v>2488</v>
      </c>
      <c r="B2492" s="247" t="s">
        <v>289</v>
      </c>
      <c r="C2492" s="302" t="str">
        <f>"14636"</f>
        <v>14636</v>
      </c>
      <c r="D2492" s="247" t="s">
        <v>18</v>
      </c>
      <c r="E2492" s="248">
        <v>18</v>
      </c>
      <c r="F2492" s="249">
        <v>43829</v>
      </c>
      <c r="G2492" s="249">
        <v>45655</v>
      </c>
      <c r="H2492" s="247" t="s">
        <v>70</v>
      </c>
      <c r="I2492" s="250" t="s">
        <v>79</v>
      </c>
    </row>
    <row r="2493" spans="1:9">
      <c r="A2493" s="246">
        <v>2489</v>
      </c>
      <c r="B2493" s="247" t="s">
        <v>318</v>
      </c>
      <c r="C2493" s="302" t="str">
        <f>"14638"</f>
        <v>14638</v>
      </c>
      <c r="D2493" s="247" t="s">
        <v>18</v>
      </c>
      <c r="E2493" s="248">
        <v>4</v>
      </c>
      <c r="F2493" s="249">
        <v>43711</v>
      </c>
      <c r="G2493" s="249">
        <v>45537</v>
      </c>
      <c r="H2493" s="247" t="s">
        <v>14</v>
      </c>
      <c r="I2493" s="250" t="s">
        <v>79</v>
      </c>
    </row>
    <row r="2494" spans="1:9">
      <c r="A2494" s="246">
        <v>2490</v>
      </c>
      <c r="B2494" s="247" t="s">
        <v>313</v>
      </c>
      <c r="C2494" s="302" t="str">
        <f>"14639"</f>
        <v>14639</v>
      </c>
      <c r="D2494" s="247" t="s">
        <v>18</v>
      </c>
      <c r="E2494" s="248">
        <v>2</v>
      </c>
      <c r="F2494" s="249">
        <v>43728</v>
      </c>
      <c r="G2494" s="249">
        <v>45554</v>
      </c>
      <c r="H2494" s="247" t="s">
        <v>14</v>
      </c>
      <c r="I2494" s="250" t="s">
        <v>79</v>
      </c>
    </row>
    <row r="2495" spans="1:9">
      <c r="A2495" s="246">
        <v>2491</v>
      </c>
      <c r="B2495" s="247" t="s">
        <v>313</v>
      </c>
      <c r="C2495" s="302" t="str">
        <f>"14640"</f>
        <v>14640</v>
      </c>
      <c r="D2495" s="247" t="s">
        <v>18</v>
      </c>
      <c r="E2495" s="248">
        <v>2</v>
      </c>
      <c r="F2495" s="249">
        <v>43728</v>
      </c>
      <c r="G2495" s="249">
        <v>45554</v>
      </c>
      <c r="H2495" s="247" t="s">
        <v>14</v>
      </c>
      <c r="I2495" s="250" t="s">
        <v>79</v>
      </c>
    </row>
    <row r="2496" spans="1:9">
      <c r="A2496" s="246">
        <v>2492</v>
      </c>
      <c r="B2496" s="247" t="s">
        <v>313</v>
      </c>
      <c r="C2496" s="302" t="str">
        <f>"14641"</f>
        <v>14641</v>
      </c>
      <c r="D2496" s="247" t="s">
        <v>18</v>
      </c>
      <c r="E2496" s="248">
        <v>2</v>
      </c>
      <c r="F2496" s="249">
        <v>43728</v>
      </c>
      <c r="G2496" s="249">
        <v>45554</v>
      </c>
      <c r="H2496" s="247" t="s">
        <v>14</v>
      </c>
      <c r="I2496" s="250" t="s">
        <v>79</v>
      </c>
    </row>
    <row r="2497" spans="1:9">
      <c r="A2497" s="246">
        <v>2493</v>
      </c>
      <c r="B2497" s="247" t="s">
        <v>313</v>
      </c>
      <c r="C2497" s="302" t="str">
        <f>"14642"</f>
        <v>14642</v>
      </c>
      <c r="D2497" s="247" t="s">
        <v>18</v>
      </c>
      <c r="E2497" s="248">
        <v>2</v>
      </c>
      <c r="F2497" s="249">
        <v>43728</v>
      </c>
      <c r="G2497" s="249">
        <v>45554</v>
      </c>
      <c r="H2497" s="247" t="s">
        <v>14</v>
      </c>
      <c r="I2497" s="250" t="s">
        <v>79</v>
      </c>
    </row>
    <row r="2498" spans="1:9">
      <c r="A2498" s="246">
        <v>2494</v>
      </c>
      <c r="B2498" s="247" t="s">
        <v>319</v>
      </c>
      <c r="C2498" s="302" t="str">
        <f>"14643"</f>
        <v>14643</v>
      </c>
      <c r="D2498" s="247" t="s">
        <v>21</v>
      </c>
      <c r="E2498" s="248">
        <v>1</v>
      </c>
      <c r="F2498" s="249">
        <v>44911</v>
      </c>
      <c r="G2498" s="249">
        <v>46736</v>
      </c>
      <c r="H2498" s="247" t="s">
        <v>14</v>
      </c>
      <c r="I2498" s="250" t="s">
        <v>79</v>
      </c>
    </row>
    <row r="2499" spans="1:9">
      <c r="A2499" s="246">
        <v>2495</v>
      </c>
      <c r="B2499" s="247" t="s">
        <v>319</v>
      </c>
      <c r="C2499" s="302" t="str">
        <f>"14644"</f>
        <v>14644</v>
      </c>
      <c r="D2499" s="247" t="s">
        <v>23</v>
      </c>
      <c r="E2499" s="248">
        <v>4</v>
      </c>
      <c r="F2499" s="249">
        <v>43784</v>
      </c>
      <c r="G2499" s="249">
        <v>44149</v>
      </c>
      <c r="H2499" s="247" t="s">
        <v>14</v>
      </c>
      <c r="I2499" s="250" t="s">
        <v>3544</v>
      </c>
    </row>
    <row r="2500" spans="1:9">
      <c r="A2500" s="246">
        <v>2496</v>
      </c>
      <c r="B2500" s="247" t="s">
        <v>320</v>
      </c>
      <c r="C2500" s="302" t="str">
        <f>"14645"</f>
        <v>14645</v>
      </c>
      <c r="D2500" s="247" t="s">
        <v>18</v>
      </c>
      <c r="E2500" s="248">
        <v>1</v>
      </c>
      <c r="F2500" s="249">
        <v>44056</v>
      </c>
      <c r="G2500" s="249">
        <v>45881</v>
      </c>
      <c r="H2500" s="247" t="s">
        <v>277</v>
      </c>
      <c r="I2500" s="250" t="s">
        <v>79</v>
      </c>
    </row>
    <row r="2501" spans="1:9">
      <c r="A2501" s="246">
        <v>2497</v>
      </c>
      <c r="B2501" s="247" t="s">
        <v>320</v>
      </c>
      <c r="C2501" s="302" t="str">
        <f>"14646"</f>
        <v>14646</v>
      </c>
      <c r="D2501" s="247" t="s">
        <v>18</v>
      </c>
      <c r="E2501" s="248">
        <v>1</v>
      </c>
      <c r="F2501" s="249">
        <v>44040</v>
      </c>
      <c r="G2501" s="249">
        <v>45865</v>
      </c>
      <c r="H2501" s="247" t="s">
        <v>277</v>
      </c>
      <c r="I2501" s="250" t="s">
        <v>79</v>
      </c>
    </row>
    <row r="2502" spans="1:9">
      <c r="A2502" s="246">
        <v>2498</v>
      </c>
      <c r="B2502" s="247" t="s">
        <v>320</v>
      </c>
      <c r="C2502" s="302" t="str">
        <f>"14647"</f>
        <v>14647</v>
      </c>
      <c r="D2502" s="247" t="s">
        <v>18</v>
      </c>
      <c r="E2502" s="248">
        <v>1</v>
      </c>
      <c r="F2502" s="249">
        <v>44040</v>
      </c>
      <c r="G2502" s="249">
        <v>45865</v>
      </c>
      <c r="H2502" s="247" t="s">
        <v>277</v>
      </c>
      <c r="I2502" s="250" t="s">
        <v>79</v>
      </c>
    </row>
    <row r="2503" spans="1:9">
      <c r="A2503" s="246">
        <v>2499</v>
      </c>
      <c r="B2503" s="247" t="s">
        <v>320</v>
      </c>
      <c r="C2503" s="302" t="str">
        <f>"14648"</f>
        <v>14648</v>
      </c>
      <c r="D2503" s="247" t="s">
        <v>18</v>
      </c>
      <c r="E2503" s="248">
        <v>1</v>
      </c>
      <c r="F2503" s="249">
        <v>44040</v>
      </c>
      <c r="G2503" s="249">
        <v>45865</v>
      </c>
      <c r="H2503" s="247" t="s">
        <v>277</v>
      </c>
      <c r="I2503" s="250" t="s">
        <v>79</v>
      </c>
    </row>
    <row r="2504" spans="1:9">
      <c r="A2504" s="246">
        <v>2500</v>
      </c>
      <c r="B2504" s="247" t="s">
        <v>282</v>
      </c>
      <c r="C2504" s="302" t="str">
        <f>"14652"</f>
        <v>14652</v>
      </c>
      <c r="D2504" s="247" t="s">
        <v>18</v>
      </c>
      <c r="E2504" s="248">
        <v>84</v>
      </c>
      <c r="F2504" s="249">
        <v>44432</v>
      </c>
      <c r="G2504" s="249">
        <v>46257</v>
      </c>
      <c r="H2504" s="247" t="s">
        <v>70</v>
      </c>
      <c r="I2504" s="250" t="s">
        <v>79</v>
      </c>
    </row>
    <row r="2505" spans="1:9">
      <c r="A2505" s="246">
        <v>2501</v>
      </c>
      <c r="B2505" s="247" t="s">
        <v>282</v>
      </c>
      <c r="C2505" s="302" t="str">
        <f>"14653"</f>
        <v>14653</v>
      </c>
      <c r="D2505" s="247" t="s">
        <v>18</v>
      </c>
      <c r="E2505" s="248">
        <v>9</v>
      </c>
      <c r="F2505" s="249">
        <v>44434</v>
      </c>
      <c r="G2505" s="249">
        <v>46259</v>
      </c>
      <c r="H2505" s="247" t="s">
        <v>16</v>
      </c>
      <c r="I2505" s="250" t="s">
        <v>79</v>
      </c>
    </row>
    <row r="2506" spans="1:9">
      <c r="A2506" s="246">
        <v>2502</v>
      </c>
      <c r="B2506" s="247" t="s">
        <v>238</v>
      </c>
      <c r="C2506" s="302" t="str">
        <f>"14655"</f>
        <v>14655</v>
      </c>
      <c r="D2506" s="247" t="s">
        <v>18</v>
      </c>
      <c r="E2506" s="248">
        <v>27</v>
      </c>
      <c r="F2506" s="249">
        <v>43711</v>
      </c>
      <c r="G2506" s="249">
        <v>45537</v>
      </c>
      <c r="H2506" s="247" t="s">
        <v>32</v>
      </c>
      <c r="I2506" s="250" t="s">
        <v>79</v>
      </c>
    </row>
    <row r="2507" spans="1:9">
      <c r="A2507" s="246">
        <v>2503</v>
      </c>
      <c r="B2507" s="247" t="s">
        <v>28</v>
      </c>
      <c r="C2507" s="302" t="str">
        <f>"14658"</f>
        <v>14658</v>
      </c>
      <c r="D2507" s="247" t="s">
        <v>18</v>
      </c>
      <c r="E2507" s="248">
        <v>9</v>
      </c>
      <c r="F2507" s="249">
        <v>43728</v>
      </c>
      <c r="G2507" s="249">
        <v>45554</v>
      </c>
      <c r="H2507" s="247" t="s">
        <v>70</v>
      </c>
      <c r="I2507" s="250" t="s">
        <v>79</v>
      </c>
    </row>
    <row r="2508" spans="1:9">
      <c r="A2508" s="246">
        <v>2504</v>
      </c>
      <c r="B2508" s="247" t="s">
        <v>28</v>
      </c>
      <c r="C2508" s="302" t="str">
        <f>"14659"</f>
        <v>14659</v>
      </c>
      <c r="D2508" s="247" t="s">
        <v>18</v>
      </c>
      <c r="E2508" s="248">
        <v>35</v>
      </c>
      <c r="F2508" s="249">
        <v>43728</v>
      </c>
      <c r="G2508" s="249">
        <v>45554</v>
      </c>
      <c r="H2508" s="247" t="s">
        <v>70</v>
      </c>
      <c r="I2508" s="250" t="s">
        <v>79</v>
      </c>
    </row>
    <row r="2509" spans="1:9">
      <c r="A2509" s="246">
        <v>2505</v>
      </c>
      <c r="B2509" s="247" t="s">
        <v>28</v>
      </c>
      <c r="C2509" s="302" t="str">
        <f>"14660"</f>
        <v>14660</v>
      </c>
      <c r="D2509" s="247" t="s">
        <v>18</v>
      </c>
      <c r="E2509" s="248">
        <v>73</v>
      </c>
      <c r="F2509" s="249">
        <v>43728</v>
      </c>
      <c r="G2509" s="249">
        <v>45554</v>
      </c>
      <c r="H2509" s="247" t="s">
        <v>59</v>
      </c>
      <c r="I2509" s="250" t="s">
        <v>79</v>
      </c>
    </row>
    <row r="2510" spans="1:9">
      <c r="A2510" s="246">
        <v>2506</v>
      </c>
      <c r="B2510" s="247" t="s">
        <v>28</v>
      </c>
      <c r="C2510" s="302" t="str">
        <f>"14664"</f>
        <v>14664</v>
      </c>
      <c r="D2510" s="247" t="s">
        <v>18</v>
      </c>
      <c r="E2510" s="248">
        <v>32</v>
      </c>
      <c r="F2510" s="249">
        <v>43728</v>
      </c>
      <c r="G2510" s="249">
        <v>45554</v>
      </c>
      <c r="H2510" s="247" t="s">
        <v>14</v>
      </c>
      <c r="I2510" s="250" t="s">
        <v>79</v>
      </c>
    </row>
    <row r="2511" spans="1:9">
      <c r="A2511" s="246">
        <v>2507</v>
      </c>
      <c r="B2511" s="247" t="s">
        <v>28</v>
      </c>
      <c r="C2511" s="302" t="str">
        <f>"14665"</f>
        <v>14665</v>
      </c>
      <c r="D2511" s="247" t="s">
        <v>18</v>
      </c>
      <c r="E2511" s="248">
        <v>81</v>
      </c>
      <c r="F2511" s="249">
        <v>43728</v>
      </c>
      <c r="G2511" s="249">
        <v>45554</v>
      </c>
      <c r="H2511" s="247" t="s">
        <v>70</v>
      </c>
      <c r="I2511" s="250" t="s">
        <v>79</v>
      </c>
    </row>
    <row r="2512" spans="1:9">
      <c r="A2512" s="246">
        <v>2508</v>
      </c>
      <c r="B2512" s="247" t="s">
        <v>28</v>
      </c>
      <c r="C2512" s="302" t="str">
        <f>"14666"</f>
        <v>14666</v>
      </c>
      <c r="D2512" s="247" t="s">
        <v>18</v>
      </c>
      <c r="E2512" s="248">
        <v>13</v>
      </c>
      <c r="F2512" s="249">
        <v>43728</v>
      </c>
      <c r="G2512" s="249">
        <v>45554</v>
      </c>
      <c r="H2512" s="247" t="s">
        <v>14</v>
      </c>
      <c r="I2512" s="250" t="s">
        <v>79</v>
      </c>
    </row>
    <row r="2513" spans="1:9">
      <c r="A2513" s="246">
        <v>2509</v>
      </c>
      <c r="B2513" s="247" t="s">
        <v>28</v>
      </c>
      <c r="C2513" s="302" t="str">
        <f>"14667"</f>
        <v>14667</v>
      </c>
      <c r="D2513" s="247" t="s">
        <v>18</v>
      </c>
      <c r="E2513" s="248">
        <v>80</v>
      </c>
      <c r="F2513" s="249">
        <v>43728</v>
      </c>
      <c r="G2513" s="249">
        <v>45554</v>
      </c>
      <c r="H2513" s="247" t="s">
        <v>14</v>
      </c>
      <c r="I2513" s="250" t="s">
        <v>79</v>
      </c>
    </row>
    <row r="2514" spans="1:9">
      <c r="A2514" s="246">
        <v>2510</v>
      </c>
      <c r="B2514" s="247" t="s">
        <v>321</v>
      </c>
      <c r="C2514" s="302" t="str">
        <f>"14668"</f>
        <v>14668</v>
      </c>
      <c r="D2514" s="247" t="s">
        <v>18</v>
      </c>
      <c r="E2514" s="248">
        <v>9</v>
      </c>
      <c r="F2514" s="249">
        <v>44358</v>
      </c>
      <c r="G2514" s="249">
        <v>46183</v>
      </c>
      <c r="H2514" s="247" t="s">
        <v>32</v>
      </c>
      <c r="I2514" s="250" t="s">
        <v>79</v>
      </c>
    </row>
    <row r="2515" spans="1:9">
      <c r="A2515" s="246">
        <v>2511</v>
      </c>
      <c r="B2515" s="247" t="s">
        <v>321</v>
      </c>
      <c r="C2515" s="302" t="str">
        <f>"14669"</f>
        <v>14669</v>
      </c>
      <c r="D2515" s="247" t="s">
        <v>18</v>
      </c>
      <c r="E2515" s="248">
        <v>8</v>
      </c>
      <c r="F2515" s="249">
        <v>44358</v>
      </c>
      <c r="G2515" s="249">
        <v>46183</v>
      </c>
      <c r="H2515" s="247" t="s">
        <v>31</v>
      </c>
      <c r="I2515" s="250" t="s">
        <v>79</v>
      </c>
    </row>
    <row r="2516" spans="1:9">
      <c r="A2516" s="246">
        <v>2512</v>
      </c>
      <c r="B2516" s="247" t="s">
        <v>322</v>
      </c>
      <c r="C2516" s="302" t="str">
        <f>"14670"</f>
        <v>14670</v>
      </c>
      <c r="D2516" s="247" t="s">
        <v>18</v>
      </c>
      <c r="E2516" s="248">
        <v>25</v>
      </c>
      <c r="F2516" s="249">
        <v>44022</v>
      </c>
      <c r="G2516" s="249">
        <v>45847</v>
      </c>
      <c r="H2516" s="247" t="s">
        <v>16</v>
      </c>
      <c r="I2516" s="250" t="s">
        <v>79</v>
      </c>
    </row>
    <row r="2517" spans="1:9">
      <c r="A2517" s="246">
        <v>2513</v>
      </c>
      <c r="B2517" s="247" t="s">
        <v>322</v>
      </c>
      <c r="C2517" s="302" t="str">
        <f>"14671"</f>
        <v>14671</v>
      </c>
      <c r="D2517" s="247" t="s">
        <v>18</v>
      </c>
      <c r="E2517" s="248">
        <v>25</v>
      </c>
      <c r="F2517" s="249">
        <v>44022</v>
      </c>
      <c r="G2517" s="249">
        <v>45847</v>
      </c>
      <c r="H2517" s="247" t="s">
        <v>31</v>
      </c>
      <c r="I2517" s="250" t="s">
        <v>79</v>
      </c>
    </row>
    <row r="2518" spans="1:9">
      <c r="A2518" s="246">
        <v>2514</v>
      </c>
      <c r="B2518" s="247" t="s">
        <v>283</v>
      </c>
      <c r="C2518" s="302" t="str">
        <f>"14674"</f>
        <v>14674</v>
      </c>
      <c r="D2518" s="247" t="s">
        <v>18</v>
      </c>
      <c r="E2518" s="248">
        <v>12</v>
      </c>
      <c r="F2518" s="249">
        <v>43752</v>
      </c>
      <c r="G2518" s="249">
        <v>45578</v>
      </c>
      <c r="H2518" s="247" t="s">
        <v>16</v>
      </c>
      <c r="I2518" s="250" t="s">
        <v>79</v>
      </c>
    </row>
    <row r="2519" spans="1:9">
      <c r="A2519" s="246">
        <v>2515</v>
      </c>
      <c r="B2519" s="247" t="s">
        <v>238</v>
      </c>
      <c r="C2519" s="302" t="str">
        <f>"14675"</f>
        <v>14675</v>
      </c>
      <c r="D2519" s="247" t="s">
        <v>18</v>
      </c>
      <c r="E2519" s="248">
        <v>17</v>
      </c>
      <c r="F2519" s="249">
        <v>43711</v>
      </c>
      <c r="G2519" s="249">
        <v>45537</v>
      </c>
      <c r="H2519" s="247" t="s">
        <v>31</v>
      </c>
      <c r="I2519" s="250" t="s">
        <v>79</v>
      </c>
    </row>
    <row r="2520" spans="1:9">
      <c r="A2520" s="246">
        <v>2516</v>
      </c>
      <c r="B2520" s="247" t="s">
        <v>323</v>
      </c>
      <c r="C2520" s="302" t="str">
        <f>"14676"</f>
        <v>14676</v>
      </c>
      <c r="D2520" s="247" t="s">
        <v>18</v>
      </c>
      <c r="E2520" s="248">
        <v>8</v>
      </c>
      <c r="F2520" s="249">
        <v>43951</v>
      </c>
      <c r="G2520" s="249">
        <v>45776</v>
      </c>
      <c r="H2520" s="247" t="s">
        <v>84</v>
      </c>
      <c r="I2520" s="250" t="s">
        <v>79</v>
      </c>
    </row>
    <row r="2521" spans="1:9">
      <c r="A2521" s="246">
        <v>2517</v>
      </c>
      <c r="B2521" s="247" t="s">
        <v>323</v>
      </c>
      <c r="C2521" s="302" t="str">
        <f>"14677"</f>
        <v>14677</v>
      </c>
      <c r="D2521" s="247" t="s">
        <v>18</v>
      </c>
      <c r="E2521" s="248">
        <v>44</v>
      </c>
      <c r="F2521" s="249">
        <v>43951</v>
      </c>
      <c r="G2521" s="249">
        <v>45776</v>
      </c>
      <c r="H2521" s="247" t="s">
        <v>84</v>
      </c>
      <c r="I2521" s="250" t="s">
        <v>79</v>
      </c>
    </row>
    <row r="2522" spans="1:9">
      <c r="A2522" s="246">
        <v>2518</v>
      </c>
      <c r="B2522" s="247" t="s">
        <v>323</v>
      </c>
      <c r="C2522" s="302" t="str">
        <f>"14678"</f>
        <v>14678</v>
      </c>
      <c r="D2522" s="247" t="s">
        <v>18</v>
      </c>
      <c r="E2522" s="248">
        <v>33</v>
      </c>
      <c r="F2522" s="249">
        <v>43951</v>
      </c>
      <c r="G2522" s="249">
        <v>45776</v>
      </c>
      <c r="H2522" s="247" t="s">
        <v>84</v>
      </c>
      <c r="I2522" s="250" t="s">
        <v>79</v>
      </c>
    </row>
    <row r="2523" spans="1:9">
      <c r="A2523" s="246">
        <v>2519</v>
      </c>
      <c r="B2523" s="247" t="s">
        <v>323</v>
      </c>
      <c r="C2523" s="302" t="str">
        <f>"14680"</f>
        <v>14680</v>
      </c>
      <c r="D2523" s="247" t="s">
        <v>18</v>
      </c>
      <c r="E2523" s="248">
        <v>4</v>
      </c>
      <c r="F2523" s="249">
        <v>43951</v>
      </c>
      <c r="G2523" s="249">
        <v>45776</v>
      </c>
      <c r="H2523" s="247" t="s">
        <v>84</v>
      </c>
      <c r="I2523" s="250" t="s">
        <v>79</v>
      </c>
    </row>
    <row r="2524" spans="1:9">
      <c r="A2524" s="246">
        <v>2520</v>
      </c>
      <c r="B2524" s="247" t="s">
        <v>323</v>
      </c>
      <c r="C2524" s="302" t="str">
        <f>"14681"</f>
        <v>14681</v>
      </c>
      <c r="D2524" s="247" t="s">
        <v>18</v>
      </c>
      <c r="E2524" s="248">
        <v>10</v>
      </c>
      <c r="F2524" s="249">
        <v>43951</v>
      </c>
      <c r="G2524" s="249">
        <v>45776</v>
      </c>
      <c r="H2524" s="247" t="s">
        <v>84</v>
      </c>
      <c r="I2524" s="250" t="s">
        <v>79</v>
      </c>
    </row>
    <row r="2525" spans="1:9">
      <c r="A2525" s="246">
        <v>2521</v>
      </c>
      <c r="B2525" s="247" t="s">
        <v>323</v>
      </c>
      <c r="C2525" s="302" t="str">
        <f>"14682"</f>
        <v>14682</v>
      </c>
      <c r="D2525" s="247" t="s">
        <v>18</v>
      </c>
      <c r="E2525" s="248">
        <v>16</v>
      </c>
      <c r="F2525" s="249">
        <v>43951</v>
      </c>
      <c r="G2525" s="249">
        <v>45776</v>
      </c>
      <c r="H2525" s="247" t="s">
        <v>84</v>
      </c>
      <c r="I2525" s="250" t="s">
        <v>79</v>
      </c>
    </row>
    <row r="2526" spans="1:9">
      <c r="A2526" s="246">
        <v>2522</v>
      </c>
      <c r="B2526" s="247" t="s">
        <v>323</v>
      </c>
      <c r="C2526" s="302" t="str">
        <f>"14683"</f>
        <v>14683</v>
      </c>
      <c r="D2526" s="247" t="s">
        <v>18</v>
      </c>
      <c r="E2526" s="248">
        <v>10</v>
      </c>
      <c r="F2526" s="249">
        <v>43951</v>
      </c>
      <c r="G2526" s="249">
        <v>45776</v>
      </c>
      <c r="H2526" s="247" t="s">
        <v>84</v>
      </c>
      <c r="I2526" s="250" t="s">
        <v>79</v>
      </c>
    </row>
    <row r="2527" spans="1:9">
      <c r="A2527" s="246">
        <v>2523</v>
      </c>
      <c r="B2527" s="247" t="s">
        <v>324</v>
      </c>
      <c r="C2527" s="302" t="str">
        <f>"14687"</f>
        <v>14687</v>
      </c>
      <c r="D2527" s="247" t="s">
        <v>18</v>
      </c>
      <c r="E2527" s="248">
        <v>1</v>
      </c>
      <c r="F2527" s="249">
        <v>44048</v>
      </c>
      <c r="G2527" s="249">
        <v>45873</v>
      </c>
      <c r="H2527" s="247" t="s">
        <v>14</v>
      </c>
      <c r="I2527" s="250" t="s">
        <v>79</v>
      </c>
    </row>
    <row r="2528" spans="1:9">
      <c r="A2528" s="246">
        <v>2524</v>
      </c>
      <c r="B2528" s="247" t="s">
        <v>127</v>
      </c>
      <c r="C2528" s="302" t="str">
        <f>"14692"</f>
        <v>14692</v>
      </c>
      <c r="D2528" s="247" t="s">
        <v>18</v>
      </c>
      <c r="E2528" s="248">
        <v>14</v>
      </c>
      <c r="F2528" s="249">
        <v>44256</v>
      </c>
      <c r="G2528" s="249">
        <v>46081</v>
      </c>
      <c r="H2528" s="247" t="s">
        <v>16</v>
      </c>
      <c r="I2528" s="250" t="s">
        <v>79</v>
      </c>
    </row>
    <row r="2529" spans="1:9">
      <c r="A2529" s="246">
        <v>2525</v>
      </c>
      <c r="B2529" s="247" t="s">
        <v>325</v>
      </c>
      <c r="C2529" s="302" t="str">
        <f>"14693"</f>
        <v>14693</v>
      </c>
      <c r="D2529" s="247" t="s">
        <v>30</v>
      </c>
      <c r="E2529" s="248">
        <v>12</v>
      </c>
      <c r="F2529" s="249">
        <v>43711</v>
      </c>
      <c r="G2529" s="249">
        <v>45537</v>
      </c>
      <c r="H2529" s="247" t="s">
        <v>84</v>
      </c>
      <c r="I2529" s="250" t="s">
        <v>79</v>
      </c>
    </row>
    <row r="2530" spans="1:9">
      <c r="A2530" s="246">
        <v>2526</v>
      </c>
      <c r="B2530" s="247" t="s">
        <v>325</v>
      </c>
      <c r="C2530" s="302" t="str">
        <f>"14694"</f>
        <v>14694</v>
      </c>
      <c r="D2530" s="247" t="s">
        <v>30</v>
      </c>
      <c r="E2530" s="248">
        <v>10</v>
      </c>
      <c r="F2530" s="249">
        <v>43711</v>
      </c>
      <c r="G2530" s="249">
        <v>45537</v>
      </c>
      <c r="H2530" s="247" t="s">
        <v>84</v>
      </c>
      <c r="I2530" s="250" t="s">
        <v>79</v>
      </c>
    </row>
    <row r="2531" spans="1:9">
      <c r="A2531" s="246">
        <v>2527</v>
      </c>
      <c r="B2531" s="247" t="s">
        <v>325</v>
      </c>
      <c r="C2531" s="302" t="str">
        <f>"14695"</f>
        <v>14695</v>
      </c>
      <c r="D2531" s="247" t="s">
        <v>30</v>
      </c>
      <c r="E2531" s="248">
        <v>10</v>
      </c>
      <c r="F2531" s="249">
        <v>43711</v>
      </c>
      <c r="G2531" s="249">
        <v>45537</v>
      </c>
      <c r="H2531" s="247" t="s">
        <v>84</v>
      </c>
      <c r="I2531" s="250" t="s">
        <v>79</v>
      </c>
    </row>
    <row r="2532" spans="1:9">
      <c r="A2532" s="246">
        <v>2528</v>
      </c>
      <c r="B2532" s="247" t="s">
        <v>326</v>
      </c>
      <c r="C2532" s="302" t="str">
        <f>"14697"</f>
        <v>14697</v>
      </c>
      <c r="D2532" s="247" t="s">
        <v>18</v>
      </c>
      <c r="E2532" s="248">
        <v>5</v>
      </c>
      <c r="F2532" s="249">
        <v>43752</v>
      </c>
      <c r="G2532" s="249">
        <v>45578</v>
      </c>
      <c r="H2532" s="247" t="s">
        <v>14</v>
      </c>
      <c r="I2532" s="250" t="s">
        <v>79</v>
      </c>
    </row>
    <row r="2533" spans="1:9">
      <c r="A2533" s="246">
        <v>2529</v>
      </c>
      <c r="B2533" s="247" t="s">
        <v>326</v>
      </c>
      <c r="C2533" s="302" t="str">
        <f>"14698"</f>
        <v>14698</v>
      </c>
      <c r="D2533" s="247" t="s">
        <v>18</v>
      </c>
      <c r="E2533" s="248">
        <v>3</v>
      </c>
      <c r="F2533" s="249">
        <v>43752</v>
      </c>
      <c r="G2533" s="249">
        <v>45578</v>
      </c>
      <c r="H2533" s="247" t="s">
        <v>16</v>
      </c>
      <c r="I2533" s="250" t="s">
        <v>79</v>
      </c>
    </row>
    <row r="2534" spans="1:9">
      <c r="A2534" s="246">
        <v>2530</v>
      </c>
      <c r="B2534" s="247" t="s">
        <v>326</v>
      </c>
      <c r="C2534" s="302" t="str">
        <f>"14699"</f>
        <v>14699</v>
      </c>
      <c r="D2534" s="247" t="s">
        <v>18</v>
      </c>
      <c r="E2534" s="248">
        <v>4</v>
      </c>
      <c r="F2534" s="249">
        <v>43752</v>
      </c>
      <c r="G2534" s="249">
        <v>45578</v>
      </c>
      <c r="H2534" s="247" t="s">
        <v>14</v>
      </c>
      <c r="I2534" s="250" t="s">
        <v>79</v>
      </c>
    </row>
    <row r="2535" spans="1:9">
      <c r="A2535" s="246">
        <v>2531</v>
      </c>
      <c r="B2535" s="247" t="s">
        <v>327</v>
      </c>
      <c r="C2535" s="302" t="str">
        <f>"14700"</f>
        <v>14700</v>
      </c>
      <c r="D2535" s="247" t="s">
        <v>18</v>
      </c>
      <c r="E2535" s="248">
        <v>20</v>
      </c>
      <c r="F2535" s="249">
        <v>43738</v>
      </c>
      <c r="G2535" s="249">
        <v>45564</v>
      </c>
      <c r="H2535" s="247" t="s">
        <v>16</v>
      </c>
      <c r="I2535" s="250" t="s">
        <v>79</v>
      </c>
    </row>
    <row r="2536" spans="1:9">
      <c r="A2536" s="246">
        <v>2532</v>
      </c>
      <c r="B2536" s="247" t="s">
        <v>327</v>
      </c>
      <c r="C2536" s="302" t="str">
        <f>"14701"</f>
        <v>14701</v>
      </c>
      <c r="D2536" s="247" t="s">
        <v>18</v>
      </c>
      <c r="E2536" s="248">
        <v>8</v>
      </c>
      <c r="F2536" s="249">
        <v>43738</v>
      </c>
      <c r="G2536" s="249">
        <v>45564</v>
      </c>
      <c r="H2536" s="247" t="s">
        <v>16</v>
      </c>
      <c r="I2536" s="250" t="s">
        <v>79</v>
      </c>
    </row>
    <row r="2537" spans="1:9">
      <c r="A2537" s="246">
        <v>2533</v>
      </c>
      <c r="B2537" s="247" t="s">
        <v>327</v>
      </c>
      <c r="C2537" s="302" t="str">
        <f>"14702"</f>
        <v>14702</v>
      </c>
      <c r="D2537" s="247" t="s">
        <v>18</v>
      </c>
      <c r="E2537" s="248">
        <v>4</v>
      </c>
      <c r="F2537" s="249">
        <v>43738</v>
      </c>
      <c r="G2537" s="249">
        <v>45564</v>
      </c>
      <c r="H2537" s="247" t="s">
        <v>16</v>
      </c>
      <c r="I2537" s="250" t="s">
        <v>79</v>
      </c>
    </row>
    <row r="2538" spans="1:9">
      <c r="A2538" s="246">
        <v>2534</v>
      </c>
      <c r="B2538" s="247" t="s">
        <v>327</v>
      </c>
      <c r="C2538" s="302" t="str">
        <f>"14703"</f>
        <v>14703</v>
      </c>
      <c r="D2538" s="247" t="s">
        <v>18</v>
      </c>
      <c r="E2538" s="248">
        <v>18</v>
      </c>
      <c r="F2538" s="249">
        <v>43738</v>
      </c>
      <c r="G2538" s="249">
        <v>45564</v>
      </c>
      <c r="H2538" s="247" t="s">
        <v>16</v>
      </c>
      <c r="I2538" s="250" t="s">
        <v>79</v>
      </c>
    </row>
    <row r="2539" spans="1:9">
      <c r="A2539" s="246">
        <v>2535</v>
      </c>
      <c r="B2539" s="247" t="s">
        <v>327</v>
      </c>
      <c r="C2539" s="302" t="str">
        <f>"14704"</f>
        <v>14704</v>
      </c>
      <c r="D2539" s="247" t="s">
        <v>18</v>
      </c>
      <c r="E2539" s="248">
        <v>15</v>
      </c>
      <c r="F2539" s="249">
        <v>43738</v>
      </c>
      <c r="G2539" s="249">
        <v>45564</v>
      </c>
      <c r="H2539" s="247" t="s">
        <v>16</v>
      </c>
      <c r="I2539" s="250" t="s">
        <v>79</v>
      </c>
    </row>
    <row r="2540" spans="1:9">
      <c r="A2540" s="246">
        <v>2536</v>
      </c>
      <c r="B2540" s="247" t="s">
        <v>327</v>
      </c>
      <c r="C2540" s="302" t="str">
        <f>"14705"</f>
        <v>14705</v>
      </c>
      <c r="D2540" s="247" t="s">
        <v>18</v>
      </c>
      <c r="E2540" s="248">
        <v>14</v>
      </c>
      <c r="F2540" s="249">
        <v>43738</v>
      </c>
      <c r="G2540" s="249">
        <v>45564</v>
      </c>
      <c r="H2540" s="247" t="s">
        <v>16</v>
      </c>
      <c r="I2540" s="250" t="s">
        <v>79</v>
      </c>
    </row>
    <row r="2541" spans="1:9">
      <c r="A2541" s="246">
        <v>2537</v>
      </c>
      <c r="B2541" s="247" t="s">
        <v>548</v>
      </c>
      <c r="C2541" s="302" t="str">
        <f>"14706"</f>
        <v>14706</v>
      </c>
      <c r="D2541" s="247" t="s">
        <v>30</v>
      </c>
      <c r="E2541" s="248">
        <v>1</v>
      </c>
      <c r="F2541" s="249">
        <v>44268</v>
      </c>
      <c r="G2541" s="249">
        <v>44322</v>
      </c>
      <c r="H2541" s="247" t="s">
        <v>16</v>
      </c>
      <c r="I2541" s="250" t="s">
        <v>3389</v>
      </c>
    </row>
    <row r="2542" spans="1:9">
      <c r="A2542" s="246">
        <v>2538</v>
      </c>
      <c r="B2542" s="247" t="s">
        <v>3604</v>
      </c>
      <c r="C2542" s="302" t="str">
        <f>"14707"</f>
        <v>14707</v>
      </c>
      <c r="D2542" s="247" t="s">
        <v>30</v>
      </c>
      <c r="E2542" s="248">
        <v>2</v>
      </c>
      <c r="F2542" s="249">
        <v>44268</v>
      </c>
      <c r="G2542" s="249">
        <v>44322</v>
      </c>
      <c r="H2542" s="247" t="s">
        <v>16</v>
      </c>
      <c r="I2542" s="250" t="s">
        <v>437</v>
      </c>
    </row>
    <row r="2543" spans="1:9">
      <c r="A2543" s="246">
        <v>2539</v>
      </c>
      <c r="B2543" s="247" t="s">
        <v>549</v>
      </c>
      <c r="C2543" s="302" t="str">
        <f>"14708"</f>
        <v>14708</v>
      </c>
      <c r="D2543" s="247" t="s">
        <v>13</v>
      </c>
      <c r="E2543" s="248">
        <v>1</v>
      </c>
      <c r="F2543" s="249">
        <v>44268</v>
      </c>
      <c r="G2543" s="249">
        <v>44322</v>
      </c>
      <c r="H2543" s="247" t="s">
        <v>16</v>
      </c>
      <c r="I2543" s="250" t="s">
        <v>3389</v>
      </c>
    </row>
    <row r="2544" spans="1:9">
      <c r="A2544" s="246">
        <v>2540</v>
      </c>
      <c r="B2544" s="247" t="s">
        <v>215</v>
      </c>
      <c r="C2544" s="302" t="str">
        <f>"14709"</f>
        <v>14709</v>
      </c>
      <c r="D2544" s="247" t="s">
        <v>30</v>
      </c>
      <c r="E2544" s="248">
        <v>4</v>
      </c>
      <c r="F2544" s="249">
        <v>44268</v>
      </c>
      <c r="G2544" s="249">
        <v>44322</v>
      </c>
      <c r="H2544" s="247" t="s">
        <v>16</v>
      </c>
      <c r="I2544" s="250" t="s">
        <v>3389</v>
      </c>
    </row>
    <row r="2545" spans="1:9">
      <c r="A2545" s="246">
        <v>2541</v>
      </c>
      <c r="B2545" s="247" t="s">
        <v>41</v>
      </c>
      <c r="C2545" s="302" t="str">
        <f>"14710"</f>
        <v>14710</v>
      </c>
      <c r="D2545" s="247" t="s">
        <v>18</v>
      </c>
      <c r="E2545" s="248">
        <v>18</v>
      </c>
      <c r="F2545" s="249">
        <v>43784</v>
      </c>
      <c r="G2545" s="249">
        <v>45610</v>
      </c>
      <c r="H2545" s="247" t="s">
        <v>16</v>
      </c>
      <c r="I2545" s="250" t="s">
        <v>448</v>
      </c>
    </row>
    <row r="2546" spans="1:9">
      <c r="A2546" s="246">
        <v>2542</v>
      </c>
      <c r="B2546" s="247" t="s">
        <v>3605</v>
      </c>
      <c r="C2546" s="302" t="str">
        <f>"14711"</f>
        <v>14711</v>
      </c>
      <c r="D2546" s="247" t="s">
        <v>18</v>
      </c>
      <c r="E2546" s="248">
        <v>3</v>
      </c>
      <c r="F2546" s="249">
        <v>43718</v>
      </c>
      <c r="G2546" s="249">
        <v>45544</v>
      </c>
      <c r="H2546" s="247" t="s">
        <v>14</v>
      </c>
      <c r="I2546" s="250" t="s">
        <v>437</v>
      </c>
    </row>
    <row r="2547" spans="1:9">
      <c r="A2547" s="246">
        <v>2543</v>
      </c>
      <c r="B2547" s="247" t="s">
        <v>3605</v>
      </c>
      <c r="C2547" s="302" t="str">
        <f>"14712"</f>
        <v>14712</v>
      </c>
      <c r="D2547" s="247" t="s">
        <v>18</v>
      </c>
      <c r="E2547" s="248">
        <v>2</v>
      </c>
      <c r="F2547" s="249">
        <v>43718</v>
      </c>
      <c r="G2547" s="249">
        <v>45544</v>
      </c>
      <c r="H2547" s="247" t="s">
        <v>56</v>
      </c>
      <c r="I2547" s="250" t="s">
        <v>437</v>
      </c>
    </row>
    <row r="2548" spans="1:9">
      <c r="A2548" s="246">
        <v>2544</v>
      </c>
      <c r="B2548" s="247" t="s">
        <v>3606</v>
      </c>
      <c r="C2548" s="302" t="str">
        <f>"14713"</f>
        <v>14713</v>
      </c>
      <c r="D2548" s="247" t="s">
        <v>18</v>
      </c>
      <c r="E2548" s="248">
        <v>3</v>
      </c>
      <c r="F2548" s="249">
        <v>43711</v>
      </c>
      <c r="G2548" s="249">
        <v>45537</v>
      </c>
      <c r="H2548" s="247" t="s">
        <v>70</v>
      </c>
      <c r="I2548" s="250" t="s">
        <v>438</v>
      </c>
    </row>
    <row r="2549" spans="1:9">
      <c r="A2549" s="246">
        <v>2545</v>
      </c>
      <c r="B2549" s="247" t="s">
        <v>328</v>
      </c>
      <c r="C2549" s="302" t="str">
        <f>"14714"</f>
        <v>14714</v>
      </c>
      <c r="D2549" s="247" t="s">
        <v>18</v>
      </c>
      <c r="E2549" s="248">
        <v>20</v>
      </c>
      <c r="F2549" s="249">
        <v>44412</v>
      </c>
      <c r="G2549" s="249">
        <v>46237</v>
      </c>
      <c r="H2549" s="247" t="s">
        <v>70</v>
      </c>
      <c r="I2549" s="250" t="s">
        <v>79</v>
      </c>
    </row>
    <row r="2550" spans="1:9">
      <c r="A2550" s="246">
        <v>2546</v>
      </c>
      <c r="B2550" s="247" t="s">
        <v>541</v>
      </c>
      <c r="C2550" s="302" t="str">
        <f>"14715"</f>
        <v>14715</v>
      </c>
      <c r="D2550" s="247" t="s">
        <v>23</v>
      </c>
      <c r="E2550" s="248">
        <v>1</v>
      </c>
      <c r="F2550" s="249">
        <v>44046</v>
      </c>
      <c r="G2550" s="249">
        <v>44410</v>
      </c>
      <c r="H2550" s="247" t="s">
        <v>19</v>
      </c>
      <c r="I2550" s="250" t="s">
        <v>3413</v>
      </c>
    </row>
    <row r="2551" spans="1:9">
      <c r="A2551" s="246">
        <v>2547</v>
      </c>
      <c r="B2551" s="247" t="s">
        <v>541</v>
      </c>
      <c r="C2551" s="302" t="str">
        <f>"14716"</f>
        <v>14716</v>
      </c>
      <c r="D2551" s="247" t="s">
        <v>23</v>
      </c>
      <c r="E2551" s="248">
        <v>2</v>
      </c>
      <c r="F2551" s="249">
        <v>44046</v>
      </c>
      <c r="G2551" s="249">
        <v>44410</v>
      </c>
      <c r="H2551" s="247" t="s">
        <v>19</v>
      </c>
      <c r="I2551" s="250" t="s">
        <v>3413</v>
      </c>
    </row>
    <row r="2552" spans="1:9">
      <c r="A2552" s="246">
        <v>2548</v>
      </c>
      <c r="B2552" s="247" t="s">
        <v>315</v>
      </c>
      <c r="C2552" s="302" t="str">
        <f>"14717"</f>
        <v>14717</v>
      </c>
      <c r="D2552" s="247" t="s">
        <v>18</v>
      </c>
      <c r="E2552" s="248">
        <v>32</v>
      </c>
      <c r="F2552" s="249">
        <v>43690</v>
      </c>
      <c r="G2552" s="249">
        <v>45516</v>
      </c>
      <c r="H2552" s="247" t="s">
        <v>31</v>
      </c>
      <c r="I2552" s="250" t="s">
        <v>448</v>
      </c>
    </row>
    <row r="2553" spans="1:9">
      <c r="A2553" s="246">
        <v>2549</v>
      </c>
      <c r="B2553" s="247" t="s">
        <v>315</v>
      </c>
      <c r="C2553" s="302" t="str">
        <f>"14718"</f>
        <v>14718</v>
      </c>
      <c r="D2553" s="247" t="s">
        <v>18</v>
      </c>
      <c r="E2553" s="248">
        <v>31</v>
      </c>
      <c r="F2553" s="249">
        <v>43783</v>
      </c>
      <c r="G2553" s="249">
        <v>45609</v>
      </c>
      <c r="H2553" s="247" t="s">
        <v>31</v>
      </c>
      <c r="I2553" s="250" t="s">
        <v>448</v>
      </c>
    </row>
    <row r="2554" spans="1:9">
      <c r="A2554" s="246">
        <v>2550</v>
      </c>
      <c r="B2554" s="247" t="s">
        <v>329</v>
      </c>
      <c r="C2554" s="302" t="str">
        <f>"14719"</f>
        <v>14719</v>
      </c>
      <c r="D2554" s="247" t="s">
        <v>18</v>
      </c>
      <c r="E2554" s="248">
        <v>40</v>
      </c>
      <c r="F2554" s="249">
        <v>43714</v>
      </c>
      <c r="G2554" s="249">
        <v>45540</v>
      </c>
      <c r="H2554" s="247" t="s">
        <v>31</v>
      </c>
      <c r="I2554" s="250" t="s">
        <v>79</v>
      </c>
    </row>
    <row r="2555" spans="1:9">
      <c r="A2555" s="246">
        <v>2551</v>
      </c>
      <c r="B2555" s="247" t="s">
        <v>329</v>
      </c>
      <c r="C2555" s="302" t="str">
        <f>"14720"</f>
        <v>14720</v>
      </c>
      <c r="D2555" s="247" t="s">
        <v>18</v>
      </c>
      <c r="E2555" s="248">
        <v>26</v>
      </c>
      <c r="F2555" s="249">
        <v>43711</v>
      </c>
      <c r="G2555" s="249">
        <v>45537</v>
      </c>
      <c r="H2555" s="247" t="s">
        <v>31</v>
      </c>
      <c r="I2555" s="250" t="s">
        <v>3389</v>
      </c>
    </row>
    <row r="2556" spans="1:9">
      <c r="A2556" s="246">
        <v>2552</v>
      </c>
      <c r="B2556" s="247" t="s">
        <v>329</v>
      </c>
      <c r="C2556" s="302" t="str">
        <f>"14721"</f>
        <v>14721</v>
      </c>
      <c r="D2556" s="247" t="s">
        <v>18</v>
      </c>
      <c r="E2556" s="248">
        <v>19</v>
      </c>
      <c r="F2556" s="249">
        <v>43714</v>
      </c>
      <c r="G2556" s="249">
        <v>45540</v>
      </c>
      <c r="H2556" s="247" t="s">
        <v>24</v>
      </c>
      <c r="I2556" s="250" t="s">
        <v>3389</v>
      </c>
    </row>
    <row r="2557" spans="1:9">
      <c r="A2557" s="246">
        <v>2553</v>
      </c>
      <c r="B2557" s="247" t="s">
        <v>329</v>
      </c>
      <c r="C2557" s="302" t="str">
        <f>"14722"</f>
        <v>14722</v>
      </c>
      <c r="D2557" s="247" t="s">
        <v>18</v>
      </c>
      <c r="E2557" s="248">
        <v>38</v>
      </c>
      <c r="F2557" s="249">
        <v>43711</v>
      </c>
      <c r="G2557" s="249">
        <v>45537</v>
      </c>
      <c r="H2557" s="247" t="s">
        <v>31</v>
      </c>
      <c r="I2557" s="250" t="s">
        <v>3389</v>
      </c>
    </row>
    <row r="2558" spans="1:9">
      <c r="A2558" s="246">
        <v>2554</v>
      </c>
      <c r="B2558" s="247" t="s">
        <v>329</v>
      </c>
      <c r="C2558" s="302" t="str">
        <f>"14723"</f>
        <v>14723</v>
      </c>
      <c r="D2558" s="247" t="s">
        <v>18</v>
      </c>
      <c r="E2558" s="248">
        <v>14</v>
      </c>
      <c r="F2558" s="249">
        <v>43783</v>
      </c>
      <c r="G2558" s="249">
        <v>45609</v>
      </c>
      <c r="H2558" s="247" t="s">
        <v>31</v>
      </c>
      <c r="I2558" s="250" t="s">
        <v>79</v>
      </c>
    </row>
    <row r="2559" spans="1:9">
      <c r="A2559" s="246">
        <v>2555</v>
      </c>
      <c r="B2559" s="247" t="s">
        <v>329</v>
      </c>
      <c r="C2559" s="302" t="str">
        <f>"14724"</f>
        <v>14724</v>
      </c>
      <c r="D2559" s="247" t="s">
        <v>18</v>
      </c>
      <c r="E2559" s="248">
        <v>36</v>
      </c>
      <c r="F2559" s="249">
        <v>43714</v>
      </c>
      <c r="G2559" s="249">
        <v>45540</v>
      </c>
      <c r="H2559" s="247" t="s">
        <v>31</v>
      </c>
      <c r="I2559" s="250" t="s">
        <v>79</v>
      </c>
    </row>
    <row r="2560" spans="1:9">
      <c r="A2560" s="246">
        <v>2556</v>
      </c>
      <c r="B2560" s="247" t="s">
        <v>329</v>
      </c>
      <c r="C2560" s="302" t="str">
        <f>"14725"</f>
        <v>14725</v>
      </c>
      <c r="D2560" s="247" t="s">
        <v>18</v>
      </c>
      <c r="E2560" s="248">
        <v>25</v>
      </c>
      <c r="F2560" s="249">
        <v>43714</v>
      </c>
      <c r="G2560" s="249">
        <v>45540</v>
      </c>
      <c r="H2560" s="247" t="s">
        <v>31</v>
      </c>
      <c r="I2560" s="250" t="s">
        <v>3389</v>
      </c>
    </row>
    <row r="2561" spans="1:9">
      <c r="A2561" s="246">
        <v>2557</v>
      </c>
      <c r="B2561" s="247" t="s">
        <v>329</v>
      </c>
      <c r="C2561" s="302" t="str">
        <f>"14726"</f>
        <v>14726</v>
      </c>
      <c r="D2561" s="247" t="s">
        <v>18</v>
      </c>
      <c r="E2561" s="248">
        <v>38</v>
      </c>
      <c r="F2561" s="249">
        <v>43714</v>
      </c>
      <c r="G2561" s="249">
        <v>45540</v>
      </c>
      <c r="H2561" s="247" t="s">
        <v>31</v>
      </c>
      <c r="I2561" s="250" t="s">
        <v>3389</v>
      </c>
    </row>
    <row r="2562" spans="1:9">
      <c r="A2562" s="246">
        <v>2558</v>
      </c>
      <c r="B2562" s="247" t="s">
        <v>329</v>
      </c>
      <c r="C2562" s="302" t="str">
        <f>"14727"</f>
        <v>14727</v>
      </c>
      <c r="D2562" s="247" t="s">
        <v>18</v>
      </c>
      <c r="E2562" s="248">
        <v>81</v>
      </c>
      <c r="F2562" s="249">
        <v>43714</v>
      </c>
      <c r="G2562" s="249">
        <v>45540</v>
      </c>
      <c r="H2562" s="247" t="s">
        <v>31</v>
      </c>
      <c r="I2562" s="250" t="s">
        <v>79</v>
      </c>
    </row>
    <row r="2563" spans="1:9">
      <c r="A2563" s="246">
        <v>2559</v>
      </c>
      <c r="B2563" s="247" t="s">
        <v>330</v>
      </c>
      <c r="C2563" s="302" t="str">
        <f>"14728"</f>
        <v>14728</v>
      </c>
      <c r="D2563" s="247" t="s">
        <v>18</v>
      </c>
      <c r="E2563" s="248">
        <v>4</v>
      </c>
      <c r="F2563" s="249">
        <v>44263</v>
      </c>
      <c r="G2563" s="249">
        <v>46088</v>
      </c>
      <c r="H2563" s="247" t="s">
        <v>14</v>
      </c>
      <c r="I2563" s="250" t="s">
        <v>79</v>
      </c>
    </row>
    <row r="2564" spans="1:9">
      <c r="A2564" s="246">
        <v>2560</v>
      </c>
      <c r="B2564" s="247" t="s">
        <v>238</v>
      </c>
      <c r="C2564" s="302" t="str">
        <f>"14729"</f>
        <v>14729</v>
      </c>
      <c r="D2564" s="247" t="s">
        <v>18</v>
      </c>
      <c r="E2564" s="248">
        <v>23</v>
      </c>
      <c r="F2564" s="249">
        <v>43711</v>
      </c>
      <c r="G2564" s="249">
        <v>45537</v>
      </c>
      <c r="H2564" s="247" t="s">
        <v>31</v>
      </c>
      <c r="I2564" s="250" t="s">
        <v>79</v>
      </c>
    </row>
    <row r="2565" spans="1:9">
      <c r="A2565" s="246">
        <v>2561</v>
      </c>
      <c r="B2565" s="247" t="s">
        <v>331</v>
      </c>
      <c r="C2565" s="302" t="str">
        <f>"14730"</f>
        <v>14730</v>
      </c>
      <c r="D2565" s="247" t="s">
        <v>18</v>
      </c>
      <c r="E2565" s="248">
        <v>12</v>
      </c>
      <c r="F2565" s="249">
        <v>43697</v>
      </c>
      <c r="G2565" s="249">
        <v>45523</v>
      </c>
      <c r="H2565" s="247" t="s">
        <v>70</v>
      </c>
      <c r="I2565" s="250" t="s">
        <v>79</v>
      </c>
    </row>
    <row r="2566" spans="1:9">
      <c r="A2566" s="246">
        <v>2562</v>
      </c>
      <c r="B2566" s="247" t="s">
        <v>329</v>
      </c>
      <c r="C2566" s="302" t="str">
        <f>"14731"</f>
        <v>14731</v>
      </c>
      <c r="D2566" s="247" t="s">
        <v>18</v>
      </c>
      <c r="E2566" s="248">
        <v>310</v>
      </c>
      <c r="F2566" s="249">
        <v>43714</v>
      </c>
      <c r="G2566" s="249">
        <v>45540</v>
      </c>
      <c r="H2566" s="247" t="s">
        <v>84</v>
      </c>
      <c r="I2566" s="250" t="s">
        <v>79</v>
      </c>
    </row>
    <row r="2567" spans="1:9">
      <c r="A2567" s="246">
        <v>2563</v>
      </c>
      <c r="B2567" s="247" t="s">
        <v>329</v>
      </c>
      <c r="C2567" s="302" t="str">
        <f>"14732"</f>
        <v>14732</v>
      </c>
      <c r="D2567" s="247" t="s">
        <v>18</v>
      </c>
      <c r="E2567" s="248">
        <v>27</v>
      </c>
      <c r="F2567" s="249">
        <v>43714</v>
      </c>
      <c r="G2567" s="249">
        <v>45540</v>
      </c>
      <c r="H2567" s="247" t="s">
        <v>84</v>
      </c>
      <c r="I2567" s="250" t="s">
        <v>3389</v>
      </c>
    </row>
    <row r="2568" spans="1:9">
      <c r="A2568" s="246">
        <v>2564</v>
      </c>
      <c r="B2568" s="247" t="s">
        <v>329</v>
      </c>
      <c r="C2568" s="302" t="str">
        <f>"14733"</f>
        <v>14733</v>
      </c>
      <c r="D2568" s="247" t="s">
        <v>18</v>
      </c>
      <c r="E2568" s="248">
        <v>282</v>
      </c>
      <c r="F2568" s="249">
        <v>43711</v>
      </c>
      <c r="G2568" s="249">
        <v>45537</v>
      </c>
      <c r="H2568" s="247" t="s">
        <v>84</v>
      </c>
      <c r="I2568" s="250" t="s">
        <v>79</v>
      </c>
    </row>
    <row r="2569" spans="1:9">
      <c r="A2569" s="246">
        <v>2565</v>
      </c>
      <c r="B2569" s="247" t="s">
        <v>329</v>
      </c>
      <c r="C2569" s="302" t="str">
        <f>"14734"</f>
        <v>14734</v>
      </c>
      <c r="D2569" s="247" t="s">
        <v>18</v>
      </c>
      <c r="E2569" s="248">
        <v>18</v>
      </c>
      <c r="F2569" s="249">
        <v>43711</v>
      </c>
      <c r="G2569" s="249">
        <v>45537</v>
      </c>
      <c r="H2569" s="247" t="s">
        <v>84</v>
      </c>
      <c r="I2569" s="250" t="s">
        <v>79</v>
      </c>
    </row>
    <row r="2570" spans="1:9">
      <c r="A2570" s="246">
        <v>2566</v>
      </c>
      <c r="B2570" s="247" t="s">
        <v>416</v>
      </c>
      <c r="C2570" s="302" t="str">
        <f>"14735"</f>
        <v>14735</v>
      </c>
      <c r="D2570" s="247" t="s">
        <v>23</v>
      </c>
      <c r="E2570" s="248">
        <v>4</v>
      </c>
      <c r="F2570" s="249">
        <v>44216</v>
      </c>
      <c r="G2570" s="249">
        <v>44580</v>
      </c>
      <c r="H2570" s="247" t="s">
        <v>84</v>
      </c>
      <c r="I2570" s="250" t="s">
        <v>3413</v>
      </c>
    </row>
    <row r="2571" spans="1:9">
      <c r="A2571" s="246">
        <v>2567</v>
      </c>
      <c r="B2571" s="247" t="s">
        <v>332</v>
      </c>
      <c r="C2571" s="302" t="str">
        <f>"14740"</f>
        <v>14740</v>
      </c>
      <c r="D2571" s="247" t="s">
        <v>18</v>
      </c>
      <c r="E2571" s="248">
        <v>5</v>
      </c>
      <c r="F2571" s="249">
        <v>43777</v>
      </c>
      <c r="G2571" s="249">
        <v>45603</v>
      </c>
      <c r="H2571" s="247" t="s">
        <v>16</v>
      </c>
      <c r="I2571" s="250" t="s">
        <v>79</v>
      </c>
    </row>
    <row r="2572" spans="1:9">
      <c r="A2572" s="246">
        <v>2568</v>
      </c>
      <c r="B2572" s="247" t="s">
        <v>333</v>
      </c>
      <c r="C2572" s="302" t="str">
        <f>"14741"</f>
        <v>14741</v>
      </c>
      <c r="D2572" s="247" t="s">
        <v>18</v>
      </c>
      <c r="E2572" s="248">
        <v>45</v>
      </c>
      <c r="F2572" s="249">
        <v>43829</v>
      </c>
      <c r="G2572" s="249">
        <v>45655</v>
      </c>
      <c r="H2572" s="247" t="s">
        <v>24</v>
      </c>
      <c r="I2572" s="250" t="s">
        <v>79</v>
      </c>
    </row>
    <row r="2573" spans="1:9">
      <c r="A2573" s="246">
        <v>2569</v>
      </c>
      <c r="B2573" s="247" t="s">
        <v>334</v>
      </c>
      <c r="C2573" s="302" t="str">
        <f>"14742"</f>
        <v>14742</v>
      </c>
      <c r="D2573" s="247" t="s">
        <v>18</v>
      </c>
      <c r="E2573" s="248">
        <v>124</v>
      </c>
      <c r="F2573" s="249">
        <v>43916</v>
      </c>
      <c r="G2573" s="249">
        <v>45741</v>
      </c>
      <c r="H2573" s="247" t="s">
        <v>16</v>
      </c>
      <c r="I2573" s="250" t="s">
        <v>79</v>
      </c>
    </row>
    <row r="2574" spans="1:9">
      <c r="A2574" s="246">
        <v>2570</v>
      </c>
      <c r="B2574" s="247" t="s">
        <v>334</v>
      </c>
      <c r="C2574" s="302" t="str">
        <f>"14743"</f>
        <v>14743</v>
      </c>
      <c r="D2574" s="247" t="s">
        <v>18</v>
      </c>
      <c r="E2574" s="248">
        <v>74</v>
      </c>
      <c r="F2574" s="249">
        <v>44411</v>
      </c>
      <c r="G2574" s="249">
        <v>46236</v>
      </c>
      <c r="H2574" s="247" t="s">
        <v>16</v>
      </c>
      <c r="I2574" s="250" t="s">
        <v>79</v>
      </c>
    </row>
    <row r="2575" spans="1:9">
      <c r="A2575" s="246">
        <v>2571</v>
      </c>
      <c r="B2575" s="247" t="s">
        <v>334</v>
      </c>
      <c r="C2575" s="302" t="str">
        <f>"14744"</f>
        <v>14744</v>
      </c>
      <c r="D2575" s="247" t="s">
        <v>18</v>
      </c>
      <c r="E2575" s="248">
        <v>63</v>
      </c>
      <c r="F2575" s="249">
        <v>44411</v>
      </c>
      <c r="G2575" s="249">
        <v>46236</v>
      </c>
      <c r="H2575" s="247" t="s">
        <v>16</v>
      </c>
      <c r="I2575" s="250" t="s">
        <v>79</v>
      </c>
    </row>
    <row r="2576" spans="1:9">
      <c r="A2576" s="246">
        <v>2572</v>
      </c>
      <c r="B2576" s="247" t="s">
        <v>28</v>
      </c>
      <c r="C2576" s="302" t="str">
        <f>"14748"</f>
        <v>14748</v>
      </c>
      <c r="D2576" s="247" t="s">
        <v>18</v>
      </c>
      <c r="E2576" s="248">
        <v>125</v>
      </c>
      <c r="F2576" s="249">
        <v>43951</v>
      </c>
      <c r="G2576" s="249">
        <v>45776</v>
      </c>
      <c r="H2576" s="247" t="s">
        <v>70</v>
      </c>
      <c r="I2576" s="250" t="s">
        <v>79</v>
      </c>
    </row>
    <row r="2577" spans="1:9">
      <c r="A2577" s="246">
        <v>2573</v>
      </c>
      <c r="B2577" s="247" t="s">
        <v>335</v>
      </c>
      <c r="C2577" s="302" t="str">
        <f>"14752"</f>
        <v>14752</v>
      </c>
      <c r="D2577" s="247" t="s">
        <v>18</v>
      </c>
      <c r="E2577" s="248">
        <v>5</v>
      </c>
      <c r="F2577" s="249">
        <v>43752</v>
      </c>
      <c r="G2577" s="249">
        <v>45578</v>
      </c>
      <c r="H2577" s="247" t="s">
        <v>14</v>
      </c>
      <c r="I2577" s="250" t="s">
        <v>79</v>
      </c>
    </row>
    <row r="2578" spans="1:9">
      <c r="A2578" s="246">
        <v>2574</v>
      </c>
      <c r="B2578" s="247" t="s">
        <v>336</v>
      </c>
      <c r="C2578" s="302" t="str">
        <f>"14753"</f>
        <v>14753</v>
      </c>
      <c r="D2578" s="247" t="s">
        <v>21</v>
      </c>
      <c r="E2578" s="248">
        <v>4</v>
      </c>
      <c r="F2578" s="249">
        <v>43783</v>
      </c>
      <c r="G2578" s="249">
        <v>44148</v>
      </c>
      <c r="H2578" s="247" t="s">
        <v>16</v>
      </c>
      <c r="I2578" s="250" t="s">
        <v>3544</v>
      </c>
    </row>
    <row r="2579" spans="1:9">
      <c r="A2579" s="246">
        <v>2575</v>
      </c>
      <c r="B2579" s="247" t="s">
        <v>336</v>
      </c>
      <c r="C2579" s="302" t="str">
        <f>"14754"</f>
        <v>14754</v>
      </c>
      <c r="D2579" s="247" t="s">
        <v>21</v>
      </c>
      <c r="E2579" s="248">
        <v>3</v>
      </c>
      <c r="F2579" s="249">
        <v>43783</v>
      </c>
      <c r="G2579" s="249">
        <v>44148</v>
      </c>
      <c r="H2579" s="247" t="s">
        <v>16</v>
      </c>
      <c r="I2579" s="250" t="s">
        <v>3544</v>
      </c>
    </row>
    <row r="2580" spans="1:9">
      <c r="A2580" s="246">
        <v>2576</v>
      </c>
      <c r="B2580" s="247" t="s">
        <v>336</v>
      </c>
      <c r="C2580" s="302" t="str">
        <f>"14755"</f>
        <v>14755</v>
      </c>
      <c r="D2580" s="247" t="s">
        <v>21</v>
      </c>
      <c r="E2580" s="248">
        <v>3</v>
      </c>
      <c r="F2580" s="249">
        <v>44874</v>
      </c>
      <c r="G2580" s="249">
        <v>46699</v>
      </c>
      <c r="H2580" s="247" t="s">
        <v>16</v>
      </c>
      <c r="I2580" s="250" t="s">
        <v>79</v>
      </c>
    </row>
    <row r="2581" spans="1:9">
      <c r="A2581" s="246">
        <v>2577</v>
      </c>
      <c r="B2581" s="247" t="s">
        <v>336</v>
      </c>
      <c r="C2581" s="302" t="str">
        <f>"14756"</f>
        <v>14756</v>
      </c>
      <c r="D2581" s="247" t="s">
        <v>21</v>
      </c>
      <c r="E2581" s="248">
        <v>4</v>
      </c>
      <c r="F2581" s="249">
        <v>43783</v>
      </c>
      <c r="G2581" s="249">
        <v>44148</v>
      </c>
      <c r="H2581" s="247" t="s">
        <v>16</v>
      </c>
      <c r="I2581" s="250" t="s">
        <v>3544</v>
      </c>
    </row>
    <row r="2582" spans="1:9">
      <c r="A2582" s="246">
        <v>2578</v>
      </c>
      <c r="B2582" s="247" t="s">
        <v>336</v>
      </c>
      <c r="C2582" s="302" t="str">
        <f>"14757"</f>
        <v>14757</v>
      </c>
      <c r="D2582" s="247" t="s">
        <v>21</v>
      </c>
      <c r="E2582" s="248">
        <v>4</v>
      </c>
      <c r="F2582" s="249">
        <v>43783</v>
      </c>
      <c r="G2582" s="249">
        <v>44148</v>
      </c>
      <c r="H2582" s="247" t="s">
        <v>16</v>
      </c>
      <c r="I2582" s="250" t="s">
        <v>3544</v>
      </c>
    </row>
    <row r="2583" spans="1:9">
      <c r="A2583" s="246">
        <v>2579</v>
      </c>
      <c r="B2583" s="247" t="s">
        <v>336</v>
      </c>
      <c r="C2583" s="302" t="str">
        <f>"14758"</f>
        <v>14758</v>
      </c>
      <c r="D2583" s="247" t="s">
        <v>21</v>
      </c>
      <c r="E2583" s="248">
        <v>4</v>
      </c>
      <c r="F2583" s="249">
        <v>43783</v>
      </c>
      <c r="G2583" s="249">
        <v>44148</v>
      </c>
      <c r="H2583" s="247" t="s">
        <v>16</v>
      </c>
      <c r="I2583" s="250" t="s">
        <v>3544</v>
      </c>
    </row>
    <row r="2584" spans="1:9">
      <c r="A2584" s="246">
        <v>2580</v>
      </c>
      <c r="B2584" s="247" t="s">
        <v>336</v>
      </c>
      <c r="C2584" s="302" t="str">
        <f>"14759"</f>
        <v>14759</v>
      </c>
      <c r="D2584" s="247" t="s">
        <v>21</v>
      </c>
      <c r="E2584" s="248">
        <v>4</v>
      </c>
      <c r="F2584" s="249">
        <v>43783</v>
      </c>
      <c r="G2584" s="249">
        <v>44148</v>
      </c>
      <c r="H2584" s="247" t="s">
        <v>16</v>
      </c>
      <c r="I2584" s="250" t="s">
        <v>3544</v>
      </c>
    </row>
    <row r="2585" spans="1:9">
      <c r="A2585" s="246">
        <v>2581</v>
      </c>
      <c r="B2585" s="247" t="s">
        <v>336</v>
      </c>
      <c r="C2585" s="302" t="str">
        <f>"14760"</f>
        <v>14760</v>
      </c>
      <c r="D2585" s="247" t="s">
        <v>21</v>
      </c>
      <c r="E2585" s="248">
        <v>4</v>
      </c>
      <c r="F2585" s="249">
        <v>43783</v>
      </c>
      <c r="G2585" s="249">
        <v>44148</v>
      </c>
      <c r="H2585" s="247" t="s">
        <v>16</v>
      </c>
      <c r="I2585" s="250" t="s">
        <v>3544</v>
      </c>
    </row>
    <row r="2586" spans="1:9">
      <c r="A2586" s="246">
        <v>2582</v>
      </c>
      <c r="B2586" s="247" t="s">
        <v>336</v>
      </c>
      <c r="C2586" s="302" t="str">
        <f>"14761"</f>
        <v>14761</v>
      </c>
      <c r="D2586" s="247" t="s">
        <v>21</v>
      </c>
      <c r="E2586" s="248">
        <v>4</v>
      </c>
      <c r="F2586" s="249">
        <v>43783</v>
      </c>
      <c r="G2586" s="249">
        <v>44148</v>
      </c>
      <c r="H2586" s="247" t="s">
        <v>16</v>
      </c>
      <c r="I2586" s="250" t="s">
        <v>3544</v>
      </c>
    </row>
    <row r="2587" spans="1:9">
      <c r="A2587" s="246">
        <v>2583</v>
      </c>
      <c r="B2587" s="247" t="s">
        <v>336</v>
      </c>
      <c r="C2587" s="302" t="str">
        <f>"14762"</f>
        <v>14762</v>
      </c>
      <c r="D2587" s="247" t="s">
        <v>23</v>
      </c>
      <c r="E2587" s="248">
        <v>2</v>
      </c>
      <c r="F2587" s="249">
        <v>43783</v>
      </c>
      <c r="G2587" s="249">
        <v>44148</v>
      </c>
      <c r="H2587" s="247" t="s">
        <v>16</v>
      </c>
      <c r="I2587" s="250" t="s">
        <v>3544</v>
      </c>
    </row>
    <row r="2588" spans="1:9">
      <c r="A2588" s="246">
        <v>2584</v>
      </c>
      <c r="B2588" s="247" t="s">
        <v>3607</v>
      </c>
      <c r="C2588" s="302" t="str">
        <f>"14763"</f>
        <v>14763</v>
      </c>
      <c r="D2588" s="247" t="s">
        <v>18</v>
      </c>
      <c r="E2588" s="248">
        <v>20</v>
      </c>
      <c r="F2588" s="249">
        <v>43784</v>
      </c>
      <c r="G2588" s="249">
        <v>45610</v>
      </c>
      <c r="H2588" s="247" t="s">
        <v>24</v>
      </c>
      <c r="I2588" s="250" t="s">
        <v>437</v>
      </c>
    </row>
    <row r="2589" spans="1:9">
      <c r="A2589" s="246">
        <v>2585</v>
      </c>
      <c r="B2589" s="247" t="s">
        <v>3607</v>
      </c>
      <c r="C2589" s="302" t="str">
        <f>"14764"</f>
        <v>14764</v>
      </c>
      <c r="D2589" s="247" t="s">
        <v>18</v>
      </c>
      <c r="E2589" s="248">
        <v>30</v>
      </c>
      <c r="F2589" s="249">
        <v>43784</v>
      </c>
      <c r="G2589" s="249">
        <v>45610</v>
      </c>
      <c r="H2589" s="247" t="s">
        <v>24</v>
      </c>
      <c r="I2589" s="250" t="s">
        <v>437</v>
      </c>
    </row>
    <row r="2590" spans="1:9">
      <c r="A2590" s="246">
        <v>2586</v>
      </c>
      <c r="B2590" s="247" t="s">
        <v>3607</v>
      </c>
      <c r="C2590" s="302" t="str">
        <f>"14765"</f>
        <v>14765</v>
      </c>
      <c r="D2590" s="247" t="s">
        <v>18</v>
      </c>
      <c r="E2590" s="248">
        <v>10</v>
      </c>
      <c r="F2590" s="249">
        <v>43784</v>
      </c>
      <c r="G2590" s="249">
        <v>45610</v>
      </c>
      <c r="H2590" s="247" t="s">
        <v>24</v>
      </c>
      <c r="I2590" s="250" t="s">
        <v>437</v>
      </c>
    </row>
    <row r="2591" spans="1:9">
      <c r="A2591" s="246">
        <v>2587</v>
      </c>
      <c r="B2591" s="247" t="s">
        <v>253</v>
      </c>
      <c r="C2591" s="302" t="str">
        <f>"14766"</f>
        <v>14766</v>
      </c>
      <c r="D2591" s="247" t="s">
        <v>23</v>
      </c>
      <c r="E2591" s="248">
        <v>2</v>
      </c>
      <c r="F2591" s="249">
        <v>43819</v>
      </c>
      <c r="G2591" s="249">
        <v>44184</v>
      </c>
      <c r="H2591" s="247" t="s">
        <v>16</v>
      </c>
      <c r="I2591" s="250" t="s">
        <v>3413</v>
      </c>
    </row>
    <row r="2592" spans="1:9">
      <c r="A2592" s="246">
        <v>2588</v>
      </c>
      <c r="B2592" s="247" t="s">
        <v>240</v>
      </c>
      <c r="C2592" s="302" t="str">
        <f>"14767"</f>
        <v>14767</v>
      </c>
      <c r="D2592" s="247" t="s">
        <v>18</v>
      </c>
      <c r="E2592" s="248">
        <v>8</v>
      </c>
      <c r="F2592" s="249">
        <v>44249</v>
      </c>
      <c r="G2592" s="249">
        <v>46074</v>
      </c>
      <c r="H2592" s="247" t="s">
        <v>19</v>
      </c>
      <c r="I2592" s="250" t="s">
        <v>79</v>
      </c>
    </row>
    <row r="2593" spans="1:9">
      <c r="A2593" s="246">
        <v>2589</v>
      </c>
      <c r="B2593" s="247" t="s">
        <v>242</v>
      </c>
      <c r="C2593" s="302" t="str">
        <f>"14768"</f>
        <v>14768</v>
      </c>
      <c r="D2593" s="247" t="s">
        <v>30</v>
      </c>
      <c r="E2593" s="248">
        <v>32</v>
      </c>
      <c r="F2593" s="249">
        <v>44523</v>
      </c>
      <c r="G2593" s="249">
        <v>46348</v>
      </c>
      <c r="H2593" s="247" t="s">
        <v>70</v>
      </c>
      <c r="I2593" s="250" t="s">
        <v>79</v>
      </c>
    </row>
    <row r="2594" spans="1:9">
      <c r="A2594" s="246">
        <v>2590</v>
      </c>
      <c r="B2594" s="247" t="s">
        <v>43</v>
      </c>
      <c r="C2594" s="302" t="str">
        <f>"14769"</f>
        <v>14769</v>
      </c>
      <c r="D2594" s="247" t="s">
        <v>21</v>
      </c>
      <c r="E2594" s="248">
        <v>2</v>
      </c>
      <c r="F2594" s="249">
        <v>43783</v>
      </c>
      <c r="G2594" s="249">
        <v>44148</v>
      </c>
      <c r="H2594" s="247" t="s">
        <v>16</v>
      </c>
      <c r="I2594" s="250" t="s">
        <v>3544</v>
      </c>
    </row>
    <row r="2595" spans="1:9">
      <c r="A2595" s="246">
        <v>2591</v>
      </c>
      <c r="B2595" s="247" t="s">
        <v>43</v>
      </c>
      <c r="C2595" s="302" t="str">
        <f>"14770"</f>
        <v>14770</v>
      </c>
      <c r="D2595" s="247" t="s">
        <v>21</v>
      </c>
      <c r="E2595" s="248">
        <v>1</v>
      </c>
      <c r="F2595" s="249">
        <v>43783</v>
      </c>
      <c r="G2595" s="249">
        <v>44148</v>
      </c>
      <c r="H2595" s="247" t="s">
        <v>16</v>
      </c>
      <c r="I2595" s="250" t="s">
        <v>3544</v>
      </c>
    </row>
    <row r="2596" spans="1:9">
      <c r="A2596" s="246">
        <v>2592</v>
      </c>
      <c r="B2596" s="247" t="s">
        <v>43</v>
      </c>
      <c r="C2596" s="302" t="str">
        <f>"14771"</f>
        <v>14771</v>
      </c>
      <c r="D2596" s="247" t="s">
        <v>23</v>
      </c>
      <c r="E2596" s="248">
        <v>1</v>
      </c>
      <c r="F2596" s="249">
        <v>43783</v>
      </c>
      <c r="G2596" s="249">
        <v>44148</v>
      </c>
      <c r="H2596" s="247" t="s">
        <v>16</v>
      </c>
      <c r="I2596" s="250" t="s">
        <v>3413</v>
      </c>
    </row>
    <row r="2597" spans="1:9">
      <c r="A2597" s="246">
        <v>2593</v>
      </c>
      <c r="B2597" s="247" t="s">
        <v>337</v>
      </c>
      <c r="C2597" s="302" t="str">
        <f>"14772"</f>
        <v>14772</v>
      </c>
      <c r="D2597" s="247" t="s">
        <v>18</v>
      </c>
      <c r="E2597" s="248">
        <v>64</v>
      </c>
      <c r="F2597" s="249">
        <v>44414</v>
      </c>
      <c r="G2597" s="249">
        <v>46239</v>
      </c>
      <c r="H2597" s="247" t="s">
        <v>14</v>
      </c>
      <c r="I2597" s="250" t="s">
        <v>79</v>
      </c>
    </row>
    <row r="2598" spans="1:9">
      <c r="A2598" s="246">
        <v>2594</v>
      </c>
      <c r="B2598" s="247" t="s">
        <v>282</v>
      </c>
      <c r="C2598" s="302" t="str">
        <f>"14773"</f>
        <v>14773</v>
      </c>
      <c r="D2598" s="247" t="s">
        <v>18</v>
      </c>
      <c r="E2598" s="248">
        <v>8</v>
      </c>
      <c r="F2598" s="249">
        <v>43752</v>
      </c>
      <c r="G2598" s="249">
        <v>45578</v>
      </c>
      <c r="H2598" s="247" t="s">
        <v>70</v>
      </c>
      <c r="I2598" s="250" t="s">
        <v>79</v>
      </c>
    </row>
    <row r="2599" spans="1:9">
      <c r="A2599" s="246">
        <v>2595</v>
      </c>
      <c r="B2599" s="247" t="s">
        <v>338</v>
      </c>
      <c r="C2599" s="302" t="str">
        <f>"14776"</f>
        <v>14776</v>
      </c>
      <c r="D2599" s="247" t="s">
        <v>18</v>
      </c>
      <c r="E2599" s="248">
        <v>23</v>
      </c>
      <c r="F2599" s="249">
        <v>43752</v>
      </c>
      <c r="G2599" s="249">
        <v>45578</v>
      </c>
      <c r="H2599" s="247" t="s">
        <v>14</v>
      </c>
      <c r="I2599" s="250" t="s">
        <v>79</v>
      </c>
    </row>
    <row r="2600" spans="1:9">
      <c r="A2600" s="246">
        <v>2596</v>
      </c>
      <c r="B2600" s="247" t="s">
        <v>339</v>
      </c>
      <c r="C2600" s="302" t="str">
        <f>"14777"</f>
        <v>14777</v>
      </c>
      <c r="D2600" s="247" t="s">
        <v>18</v>
      </c>
      <c r="E2600" s="248">
        <v>6</v>
      </c>
      <c r="F2600" s="249">
        <v>43810</v>
      </c>
      <c r="G2600" s="249">
        <v>45636</v>
      </c>
      <c r="H2600" s="247" t="s">
        <v>14</v>
      </c>
      <c r="I2600" s="250" t="s">
        <v>79</v>
      </c>
    </row>
    <row r="2601" spans="1:9">
      <c r="A2601" s="246">
        <v>2597</v>
      </c>
      <c r="B2601" s="247" t="s">
        <v>339</v>
      </c>
      <c r="C2601" s="302" t="str">
        <f>"14778"</f>
        <v>14778</v>
      </c>
      <c r="D2601" s="247" t="s">
        <v>18</v>
      </c>
      <c r="E2601" s="248">
        <v>6</v>
      </c>
      <c r="F2601" s="249">
        <v>43810</v>
      </c>
      <c r="G2601" s="249">
        <v>45636</v>
      </c>
      <c r="H2601" s="247" t="s">
        <v>16</v>
      </c>
      <c r="I2601" s="250" t="s">
        <v>79</v>
      </c>
    </row>
    <row r="2602" spans="1:9">
      <c r="A2602" s="246">
        <v>2598</v>
      </c>
      <c r="B2602" s="247" t="s">
        <v>339</v>
      </c>
      <c r="C2602" s="302" t="str">
        <f>"14780"</f>
        <v>14780</v>
      </c>
      <c r="D2602" s="247" t="s">
        <v>18</v>
      </c>
      <c r="E2602" s="248">
        <v>6</v>
      </c>
      <c r="F2602" s="249">
        <v>43810</v>
      </c>
      <c r="G2602" s="249">
        <v>45636</v>
      </c>
      <c r="H2602" s="247" t="s">
        <v>32</v>
      </c>
      <c r="I2602" s="250" t="s">
        <v>79</v>
      </c>
    </row>
    <row r="2603" spans="1:9">
      <c r="A2603" s="246">
        <v>2599</v>
      </c>
      <c r="B2603" s="247" t="s">
        <v>339</v>
      </c>
      <c r="C2603" s="302" t="str">
        <f>"14781"</f>
        <v>14781</v>
      </c>
      <c r="D2603" s="247" t="s">
        <v>18</v>
      </c>
      <c r="E2603" s="248">
        <v>6</v>
      </c>
      <c r="F2603" s="249">
        <v>43810</v>
      </c>
      <c r="G2603" s="249">
        <v>45636</v>
      </c>
      <c r="H2603" s="247" t="s">
        <v>73</v>
      </c>
      <c r="I2603" s="250" t="s">
        <v>79</v>
      </c>
    </row>
    <row r="2604" spans="1:9">
      <c r="A2604" s="246">
        <v>2600</v>
      </c>
      <c r="B2604" s="247" t="s">
        <v>339</v>
      </c>
      <c r="C2604" s="302" t="str">
        <f>"14782"</f>
        <v>14782</v>
      </c>
      <c r="D2604" s="247" t="s">
        <v>18</v>
      </c>
      <c r="E2604" s="248">
        <v>6</v>
      </c>
      <c r="F2604" s="249">
        <v>43810</v>
      </c>
      <c r="G2604" s="249">
        <v>45636</v>
      </c>
      <c r="H2604" s="247" t="s">
        <v>26</v>
      </c>
      <c r="I2604" s="250" t="s">
        <v>79</v>
      </c>
    </row>
    <row r="2605" spans="1:9">
      <c r="A2605" s="246">
        <v>2601</v>
      </c>
      <c r="B2605" s="247" t="s">
        <v>339</v>
      </c>
      <c r="C2605" s="302" t="str">
        <f>"14783"</f>
        <v>14783</v>
      </c>
      <c r="D2605" s="247" t="s">
        <v>18</v>
      </c>
      <c r="E2605" s="248">
        <v>3</v>
      </c>
      <c r="F2605" s="249">
        <v>43810</v>
      </c>
      <c r="G2605" s="249">
        <v>45636</v>
      </c>
      <c r="H2605" s="247" t="s">
        <v>94</v>
      </c>
      <c r="I2605" s="250" t="s">
        <v>79</v>
      </c>
    </row>
    <row r="2606" spans="1:9">
      <c r="A2606" s="246">
        <v>2602</v>
      </c>
      <c r="B2606" s="247" t="s">
        <v>340</v>
      </c>
      <c r="C2606" s="302" t="str">
        <f>"14784"</f>
        <v>14784</v>
      </c>
      <c r="D2606" s="247" t="s">
        <v>30</v>
      </c>
      <c r="E2606" s="248">
        <v>17</v>
      </c>
      <c r="F2606" s="249">
        <v>43829</v>
      </c>
      <c r="G2606" s="249">
        <v>45655</v>
      </c>
      <c r="H2606" s="247" t="s">
        <v>14</v>
      </c>
      <c r="I2606" s="250" t="s">
        <v>79</v>
      </c>
    </row>
    <row r="2607" spans="1:9">
      <c r="A2607" s="246">
        <v>2603</v>
      </c>
      <c r="B2607" s="247" t="s">
        <v>1953</v>
      </c>
      <c r="C2607" s="302" t="str">
        <f>"14785"</f>
        <v>14785</v>
      </c>
      <c r="D2607" s="247" t="s">
        <v>18</v>
      </c>
      <c r="E2607" s="248">
        <v>30</v>
      </c>
      <c r="F2607" s="249">
        <v>43839</v>
      </c>
      <c r="G2607" s="249">
        <v>45665</v>
      </c>
      <c r="H2607" s="247" t="s">
        <v>59</v>
      </c>
      <c r="I2607" s="250" t="s">
        <v>437</v>
      </c>
    </row>
    <row r="2608" spans="1:9">
      <c r="A2608" s="246">
        <v>2604</v>
      </c>
      <c r="B2608" s="247" t="s">
        <v>257</v>
      </c>
      <c r="C2608" s="302" t="str">
        <f>"14786"</f>
        <v>14786</v>
      </c>
      <c r="D2608" s="247" t="s">
        <v>18</v>
      </c>
      <c r="E2608" s="248">
        <v>2</v>
      </c>
      <c r="F2608" s="249">
        <v>44221</v>
      </c>
      <c r="G2608" s="249">
        <v>46046</v>
      </c>
      <c r="H2608" s="247" t="s">
        <v>19</v>
      </c>
      <c r="I2608" s="250" t="s">
        <v>79</v>
      </c>
    </row>
    <row r="2609" spans="1:9">
      <c r="A2609" s="246">
        <v>2605</v>
      </c>
      <c r="B2609" s="247" t="s">
        <v>300</v>
      </c>
      <c r="C2609" s="302" t="str">
        <f>"14790"</f>
        <v>14790</v>
      </c>
      <c r="D2609" s="247" t="s">
        <v>18</v>
      </c>
      <c r="E2609" s="248">
        <v>9</v>
      </c>
      <c r="F2609" s="249">
        <v>44228</v>
      </c>
      <c r="G2609" s="249">
        <v>46053</v>
      </c>
      <c r="H2609" s="247" t="s">
        <v>14</v>
      </c>
      <c r="I2609" s="250" t="s">
        <v>438</v>
      </c>
    </row>
    <row r="2610" spans="1:9">
      <c r="A2610" s="246">
        <v>2606</v>
      </c>
      <c r="B2610" s="247" t="s">
        <v>264</v>
      </c>
      <c r="C2610" s="302" t="str">
        <f>"14792"</f>
        <v>14792</v>
      </c>
      <c r="D2610" s="247" t="s">
        <v>23</v>
      </c>
      <c r="E2610" s="248">
        <v>1</v>
      </c>
      <c r="F2610" s="249">
        <v>44133</v>
      </c>
      <c r="G2610" s="249">
        <v>44497</v>
      </c>
      <c r="H2610" s="247" t="s">
        <v>16</v>
      </c>
      <c r="I2610" s="250" t="s">
        <v>3413</v>
      </c>
    </row>
    <row r="2611" spans="1:9">
      <c r="A2611" s="246">
        <v>2607</v>
      </c>
      <c r="B2611" s="247" t="s">
        <v>290</v>
      </c>
      <c r="C2611" s="302" t="str">
        <f>"14795"</f>
        <v>14795</v>
      </c>
      <c r="D2611" s="247" t="s">
        <v>18</v>
      </c>
      <c r="E2611" s="248">
        <v>9</v>
      </c>
      <c r="F2611" s="249">
        <v>44243</v>
      </c>
      <c r="G2611" s="249">
        <v>46068</v>
      </c>
      <c r="H2611" s="247" t="s">
        <v>16</v>
      </c>
      <c r="I2611" s="250" t="s">
        <v>79</v>
      </c>
    </row>
    <row r="2612" spans="1:9">
      <c r="A2612" s="246">
        <v>2608</v>
      </c>
      <c r="B2612" s="247" t="s">
        <v>297</v>
      </c>
      <c r="C2612" s="302" t="str">
        <f>"14796"</f>
        <v>14796</v>
      </c>
      <c r="D2612" s="247" t="s">
        <v>18</v>
      </c>
      <c r="E2612" s="248">
        <v>10</v>
      </c>
      <c r="F2612" s="249">
        <v>43922</v>
      </c>
      <c r="G2612" s="249">
        <v>45747</v>
      </c>
      <c r="H2612" s="247" t="s">
        <v>341</v>
      </c>
      <c r="I2612" s="250" t="s">
        <v>79</v>
      </c>
    </row>
    <row r="2613" spans="1:9">
      <c r="A2613" s="246">
        <v>2609</v>
      </c>
      <c r="B2613" s="247" t="s">
        <v>342</v>
      </c>
      <c r="C2613" s="302" t="str">
        <f>"14797"</f>
        <v>14797</v>
      </c>
      <c r="D2613" s="247" t="s">
        <v>18</v>
      </c>
      <c r="E2613" s="248">
        <v>1</v>
      </c>
      <c r="F2613" s="249">
        <v>44272</v>
      </c>
      <c r="G2613" s="249">
        <v>46097</v>
      </c>
      <c r="H2613" s="247" t="s">
        <v>16</v>
      </c>
      <c r="I2613" s="250" t="s">
        <v>79</v>
      </c>
    </row>
    <row r="2614" spans="1:9">
      <c r="A2614" s="246">
        <v>2610</v>
      </c>
      <c r="B2614" s="247" t="s">
        <v>2037</v>
      </c>
      <c r="C2614" s="302" t="str">
        <f>"14804"</f>
        <v>14804</v>
      </c>
      <c r="D2614" s="247" t="s">
        <v>18</v>
      </c>
      <c r="E2614" s="248">
        <v>4</v>
      </c>
      <c r="F2614" s="249">
        <v>43900</v>
      </c>
      <c r="G2614" s="249">
        <v>45725</v>
      </c>
      <c r="H2614" s="247" t="s">
        <v>19</v>
      </c>
      <c r="I2614" s="250" t="s">
        <v>433</v>
      </c>
    </row>
    <row r="2615" spans="1:9">
      <c r="A2615" s="246">
        <v>2611</v>
      </c>
      <c r="B2615" s="247" t="s">
        <v>343</v>
      </c>
      <c r="C2615" s="302" t="str">
        <f>"14808"</f>
        <v>14808</v>
      </c>
      <c r="D2615" s="247" t="s">
        <v>18</v>
      </c>
      <c r="E2615" s="248">
        <v>5</v>
      </c>
      <c r="F2615" s="249">
        <v>43922</v>
      </c>
      <c r="G2615" s="249">
        <v>45747</v>
      </c>
      <c r="H2615" s="247" t="s">
        <v>56</v>
      </c>
      <c r="I2615" s="250" t="s">
        <v>79</v>
      </c>
    </row>
    <row r="2616" spans="1:9">
      <c r="A2616" s="252">
        <v>2612</v>
      </c>
      <c r="B2616" s="253" t="s">
        <v>531</v>
      </c>
      <c r="C2616" s="303" t="str">
        <f>"14809"</f>
        <v>14809</v>
      </c>
      <c r="D2616" s="253" t="s">
        <v>23</v>
      </c>
      <c r="E2616" s="254">
        <v>3</v>
      </c>
      <c r="F2616" s="253"/>
      <c r="G2616" s="253"/>
      <c r="H2616" s="253" t="s">
        <v>16</v>
      </c>
      <c r="I2616" s="256" t="s">
        <v>540</v>
      </c>
    </row>
    <row r="2617" spans="1:9">
      <c r="A2617" s="252">
        <v>2613</v>
      </c>
      <c r="B2617" s="253" t="s">
        <v>544</v>
      </c>
      <c r="C2617" s="303" t="str">
        <f>"14812"</f>
        <v>14812</v>
      </c>
      <c r="D2617" s="253" t="s">
        <v>23</v>
      </c>
      <c r="E2617" s="254">
        <v>4</v>
      </c>
      <c r="F2617" s="253"/>
      <c r="G2617" s="253"/>
      <c r="H2617" s="253" t="s">
        <v>16</v>
      </c>
      <c r="I2617" s="256" t="s">
        <v>540</v>
      </c>
    </row>
    <row r="2618" spans="1:9">
      <c r="A2618" s="252">
        <v>2614</v>
      </c>
      <c r="B2618" s="253" t="s">
        <v>197</v>
      </c>
      <c r="C2618" s="303" t="str">
        <f>"14813"</f>
        <v>14813</v>
      </c>
      <c r="D2618" s="253" t="s">
        <v>13</v>
      </c>
      <c r="E2618" s="254">
        <v>44</v>
      </c>
      <c r="F2618" s="253"/>
      <c r="G2618" s="253"/>
      <c r="H2618" s="253" t="s">
        <v>70</v>
      </c>
      <c r="I2618" s="256" t="s">
        <v>79</v>
      </c>
    </row>
    <row r="2619" spans="1:9">
      <c r="A2619" s="246">
        <v>2615</v>
      </c>
      <c r="B2619" s="247" t="s">
        <v>344</v>
      </c>
      <c r="C2619" s="302" t="str">
        <f>"14814"</f>
        <v>14814</v>
      </c>
      <c r="D2619" s="247" t="s">
        <v>18</v>
      </c>
      <c r="E2619" s="248">
        <v>13</v>
      </c>
      <c r="F2619" s="249">
        <v>44158</v>
      </c>
      <c r="G2619" s="249">
        <v>45983</v>
      </c>
      <c r="H2619" s="247" t="s">
        <v>14</v>
      </c>
      <c r="I2619" s="250" t="s">
        <v>79</v>
      </c>
    </row>
    <row r="2620" spans="1:9">
      <c r="A2620" s="246">
        <v>2616</v>
      </c>
      <c r="B2620" s="247" t="s">
        <v>345</v>
      </c>
      <c r="C2620" s="302" t="str">
        <f>"14815"</f>
        <v>14815</v>
      </c>
      <c r="D2620" s="247" t="s">
        <v>18</v>
      </c>
      <c r="E2620" s="248">
        <v>20</v>
      </c>
      <c r="F2620" s="249">
        <v>44047</v>
      </c>
      <c r="G2620" s="249">
        <v>45872</v>
      </c>
      <c r="H2620" s="247" t="s">
        <v>31</v>
      </c>
      <c r="I2620" s="250" t="s">
        <v>79</v>
      </c>
    </row>
    <row r="2621" spans="1:9">
      <c r="A2621" s="246">
        <v>2617</v>
      </c>
      <c r="B2621" s="247" t="s">
        <v>154</v>
      </c>
      <c r="C2621" s="302" t="str">
        <f>"14820"</f>
        <v>14820</v>
      </c>
      <c r="D2621" s="247" t="s">
        <v>18</v>
      </c>
      <c r="E2621" s="248">
        <v>4</v>
      </c>
      <c r="F2621" s="249">
        <v>44271</v>
      </c>
      <c r="G2621" s="249">
        <v>46096</v>
      </c>
      <c r="H2621" s="247" t="s">
        <v>14</v>
      </c>
      <c r="I2621" s="250" t="s">
        <v>79</v>
      </c>
    </row>
    <row r="2622" spans="1:9">
      <c r="A2622" s="246">
        <v>2618</v>
      </c>
      <c r="B2622" s="247" t="s">
        <v>154</v>
      </c>
      <c r="C2622" s="302" t="str">
        <f>"14821"</f>
        <v>14821</v>
      </c>
      <c r="D2622" s="247" t="s">
        <v>18</v>
      </c>
      <c r="E2622" s="248">
        <v>2</v>
      </c>
      <c r="F2622" s="249">
        <v>44271</v>
      </c>
      <c r="G2622" s="249">
        <v>46096</v>
      </c>
      <c r="H2622" s="247" t="s">
        <v>14</v>
      </c>
      <c r="I2622" s="250" t="s">
        <v>79</v>
      </c>
    </row>
    <row r="2623" spans="1:9">
      <c r="A2623" s="246">
        <v>2619</v>
      </c>
      <c r="B2623" s="247" t="s">
        <v>43</v>
      </c>
      <c r="C2623" s="302" t="str">
        <f>"14822"</f>
        <v>14822</v>
      </c>
      <c r="D2623" s="247" t="s">
        <v>13</v>
      </c>
      <c r="E2623" s="248">
        <v>180</v>
      </c>
      <c r="F2623" s="249">
        <v>43868</v>
      </c>
      <c r="G2623" s="249">
        <v>51325</v>
      </c>
      <c r="H2623" s="247" t="s">
        <v>14</v>
      </c>
      <c r="I2623" s="250" t="s">
        <v>79</v>
      </c>
    </row>
    <row r="2624" spans="1:9">
      <c r="A2624" s="246">
        <v>2620</v>
      </c>
      <c r="B2624" s="247" t="s">
        <v>43</v>
      </c>
      <c r="C2624" s="302" t="str">
        <f>"14823"</f>
        <v>14823</v>
      </c>
      <c r="D2624" s="247" t="s">
        <v>13</v>
      </c>
      <c r="E2624" s="248">
        <v>184</v>
      </c>
      <c r="F2624" s="249">
        <v>43868</v>
      </c>
      <c r="G2624" s="249">
        <v>51325</v>
      </c>
      <c r="H2624" s="247" t="s">
        <v>14</v>
      </c>
      <c r="I2624" s="250" t="s">
        <v>3346</v>
      </c>
    </row>
    <row r="2625" spans="1:9">
      <c r="A2625" s="246">
        <v>2621</v>
      </c>
      <c r="B2625" s="247" t="s">
        <v>403</v>
      </c>
      <c r="C2625" s="302" t="str">
        <f>"14826"</f>
        <v>14826</v>
      </c>
      <c r="D2625" s="247" t="s">
        <v>23</v>
      </c>
      <c r="E2625" s="248">
        <v>4</v>
      </c>
      <c r="F2625" s="249">
        <v>44181</v>
      </c>
      <c r="G2625" s="249">
        <v>44545</v>
      </c>
      <c r="H2625" s="247" t="s">
        <v>16</v>
      </c>
      <c r="I2625" s="250" t="s">
        <v>3413</v>
      </c>
    </row>
    <row r="2626" spans="1:9">
      <c r="A2626" s="246">
        <v>2622</v>
      </c>
      <c r="B2626" s="247" t="s">
        <v>403</v>
      </c>
      <c r="C2626" s="302" t="str">
        <f>"14827"</f>
        <v>14827</v>
      </c>
      <c r="D2626" s="247" t="s">
        <v>23</v>
      </c>
      <c r="E2626" s="248">
        <v>4</v>
      </c>
      <c r="F2626" s="249">
        <v>44181</v>
      </c>
      <c r="G2626" s="249">
        <v>44545</v>
      </c>
      <c r="H2626" s="247" t="s">
        <v>16</v>
      </c>
      <c r="I2626" s="250" t="s">
        <v>3413</v>
      </c>
    </row>
    <row r="2627" spans="1:9">
      <c r="A2627" s="246">
        <v>2623</v>
      </c>
      <c r="B2627" s="247" t="s">
        <v>403</v>
      </c>
      <c r="C2627" s="302" t="str">
        <f>"14828"</f>
        <v>14828</v>
      </c>
      <c r="D2627" s="247" t="s">
        <v>23</v>
      </c>
      <c r="E2627" s="248">
        <v>4</v>
      </c>
      <c r="F2627" s="249">
        <v>44181</v>
      </c>
      <c r="G2627" s="249">
        <v>44545</v>
      </c>
      <c r="H2627" s="247" t="s">
        <v>16</v>
      </c>
      <c r="I2627" s="250" t="s">
        <v>3413</v>
      </c>
    </row>
    <row r="2628" spans="1:9">
      <c r="A2628" s="246">
        <v>2624</v>
      </c>
      <c r="B2628" s="247" t="s">
        <v>403</v>
      </c>
      <c r="C2628" s="302" t="str">
        <f>"14829"</f>
        <v>14829</v>
      </c>
      <c r="D2628" s="247" t="s">
        <v>23</v>
      </c>
      <c r="E2628" s="248">
        <v>2</v>
      </c>
      <c r="F2628" s="249">
        <v>44181</v>
      </c>
      <c r="G2628" s="249">
        <v>44545</v>
      </c>
      <c r="H2628" s="247" t="s">
        <v>16</v>
      </c>
      <c r="I2628" s="250" t="s">
        <v>3413</v>
      </c>
    </row>
    <row r="2629" spans="1:9">
      <c r="A2629" s="246">
        <v>2625</v>
      </c>
      <c r="B2629" s="247" t="s">
        <v>346</v>
      </c>
      <c r="C2629" s="302" t="str">
        <f>"14832"</f>
        <v>14832</v>
      </c>
      <c r="D2629" s="247" t="s">
        <v>18</v>
      </c>
      <c r="E2629" s="248">
        <v>10</v>
      </c>
      <c r="F2629" s="249">
        <v>44215</v>
      </c>
      <c r="G2629" s="249">
        <v>46040</v>
      </c>
      <c r="H2629" s="247" t="s">
        <v>14</v>
      </c>
      <c r="I2629" s="250" t="s">
        <v>79</v>
      </c>
    </row>
    <row r="2630" spans="1:9">
      <c r="A2630" s="246">
        <v>2626</v>
      </c>
      <c r="B2630" s="247" t="s">
        <v>324</v>
      </c>
      <c r="C2630" s="302" t="str">
        <f>"14834"</f>
        <v>14834</v>
      </c>
      <c r="D2630" s="247" t="s">
        <v>18</v>
      </c>
      <c r="E2630" s="248">
        <v>1</v>
      </c>
      <c r="F2630" s="249">
        <v>44104</v>
      </c>
      <c r="G2630" s="249">
        <v>45929</v>
      </c>
      <c r="H2630" s="247" t="s">
        <v>70</v>
      </c>
      <c r="I2630" s="250" t="s">
        <v>79</v>
      </c>
    </row>
    <row r="2631" spans="1:9">
      <c r="A2631" s="246">
        <v>2627</v>
      </c>
      <c r="B2631" s="247" t="s">
        <v>347</v>
      </c>
      <c r="C2631" s="302" t="str">
        <f>"14838"</f>
        <v>14838</v>
      </c>
      <c r="D2631" s="247" t="s">
        <v>18</v>
      </c>
      <c r="E2631" s="248">
        <v>7</v>
      </c>
      <c r="F2631" s="249">
        <v>44711</v>
      </c>
      <c r="G2631" s="249">
        <v>46536</v>
      </c>
      <c r="H2631" s="247" t="s">
        <v>14</v>
      </c>
      <c r="I2631" s="250" t="s">
        <v>79</v>
      </c>
    </row>
    <row r="2632" spans="1:9">
      <c r="A2632" s="246">
        <v>2628</v>
      </c>
      <c r="B2632" s="247" t="s">
        <v>87</v>
      </c>
      <c r="C2632" s="302" t="str">
        <f>"14839"</f>
        <v>14839</v>
      </c>
      <c r="D2632" s="247" t="s">
        <v>21</v>
      </c>
      <c r="E2632" s="248">
        <v>4</v>
      </c>
      <c r="F2632" s="249">
        <v>44195</v>
      </c>
      <c r="G2632" s="249">
        <v>46020</v>
      </c>
      <c r="H2632" s="247" t="s">
        <v>16</v>
      </c>
      <c r="I2632" s="250" t="s">
        <v>79</v>
      </c>
    </row>
    <row r="2633" spans="1:9">
      <c r="A2633" s="246">
        <v>2629</v>
      </c>
      <c r="B2633" s="247" t="s">
        <v>280</v>
      </c>
      <c r="C2633" s="302" t="str">
        <f>"14841"</f>
        <v>14841</v>
      </c>
      <c r="D2633" s="247" t="s">
        <v>18</v>
      </c>
      <c r="E2633" s="248">
        <v>7</v>
      </c>
      <c r="F2633" s="249">
        <v>44077</v>
      </c>
      <c r="G2633" s="249">
        <v>45902</v>
      </c>
      <c r="H2633" s="247" t="s">
        <v>16</v>
      </c>
      <c r="I2633" s="250" t="s">
        <v>79</v>
      </c>
    </row>
    <row r="2634" spans="1:9">
      <c r="A2634" s="246">
        <v>2630</v>
      </c>
      <c r="B2634" s="247" t="s">
        <v>280</v>
      </c>
      <c r="C2634" s="302" t="str">
        <f>"14842"</f>
        <v>14842</v>
      </c>
      <c r="D2634" s="247" t="s">
        <v>18</v>
      </c>
      <c r="E2634" s="248">
        <v>6</v>
      </c>
      <c r="F2634" s="249">
        <v>44077</v>
      </c>
      <c r="G2634" s="249">
        <v>45902</v>
      </c>
      <c r="H2634" s="247" t="s">
        <v>16</v>
      </c>
      <c r="I2634" s="250" t="s">
        <v>79</v>
      </c>
    </row>
    <row r="2635" spans="1:9">
      <c r="A2635" s="246">
        <v>2631</v>
      </c>
      <c r="B2635" s="247" t="s">
        <v>280</v>
      </c>
      <c r="C2635" s="302" t="str">
        <f>"14843"</f>
        <v>14843</v>
      </c>
      <c r="D2635" s="247" t="s">
        <v>18</v>
      </c>
      <c r="E2635" s="248">
        <v>10</v>
      </c>
      <c r="F2635" s="249">
        <v>44077</v>
      </c>
      <c r="G2635" s="249">
        <v>45902</v>
      </c>
      <c r="H2635" s="247" t="s">
        <v>16</v>
      </c>
      <c r="I2635" s="250" t="s">
        <v>79</v>
      </c>
    </row>
    <row r="2636" spans="1:9">
      <c r="A2636" s="246">
        <v>2632</v>
      </c>
      <c r="B2636" s="247" t="s">
        <v>280</v>
      </c>
      <c r="C2636" s="302" t="str">
        <f>"14844"</f>
        <v>14844</v>
      </c>
      <c r="D2636" s="247" t="s">
        <v>18</v>
      </c>
      <c r="E2636" s="248">
        <v>8</v>
      </c>
      <c r="F2636" s="249">
        <v>44077</v>
      </c>
      <c r="G2636" s="249">
        <v>45902</v>
      </c>
      <c r="H2636" s="247" t="s">
        <v>16</v>
      </c>
      <c r="I2636" s="250" t="s">
        <v>79</v>
      </c>
    </row>
    <row r="2637" spans="1:9">
      <c r="A2637" s="246">
        <v>2633</v>
      </c>
      <c r="B2637" s="247" t="s">
        <v>280</v>
      </c>
      <c r="C2637" s="302" t="str">
        <f>"14845"</f>
        <v>14845</v>
      </c>
      <c r="D2637" s="247" t="s">
        <v>18</v>
      </c>
      <c r="E2637" s="248">
        <v>12</v>
      </c>
      <c r="F2637" s="249">
        <v>44077</v>
      </c>
      <c r="G2637" s="249">
        <v>45902</v>
      </c>
      <c r="H2637" s="247" t="s">
        <v>16</v>
      </c>
      <c r="I2637" s="250" t="s">
        <v>79</v>
      </c>
    </row>
    <row r="2638" spans="1:9">
      <c r="A2638" s="246">
        <v>2634</v>
      </c>
      <c r="B2638" s="247" t="s">
        <v>280</v>
      </c>
      <c r="C2638" s="302" t="str">
        <f>"14846"</f>
        <v>14846</v>
      </c>
      <c r="D2638" s="247" t="s">
        <v>18</v>
      </c>
      <c r="E2638" s="248">
        <v>20</v>
      </c>
      <c r="F2638" s="249">
        <v>44077</v>
      </c>
      <c r="G2638" s="249">
        <v>45902</v>
      </c>
      <c r="H2638" s="247" t="s">
        <v>31</v>
      </c>
      <c r="I2638" s="250" t="s">
        <v>79</v>
      </c>
    </row>
    <row r="2639" spans="1:9">
      <c r="A2639" s="246">
        <v>2635</v>
      </c>
      <c r="B2639" s="247" t="s">
        <v>280</v>
      </c>
      <c r="C2639" s="302" t="str">
        <f>"14847"</f>
        <v>14847</v>
      </c>
      <c r="D2639" s="247" t="s">
        <v>18</v>
      </c>
      <c r="E2639" s="248">
        <v>21</v>
      </c>
      <c r="F2639" s="249">
        <v>44077</v>
      </c>
      <c r="G2639" s="249">
        <v>45902</v>
      </c>
      <c r="H2639" s="247" t="s">
        <v>31</v>
      </c>
      <c r="I2639" s="250" t="s">
        <v>79</v>
      </c>
    </row>
    <row r="2640" spans="1:9">
      <c r="A2640" s="246">
        <v>2636</v>
      </c>
      <c r="B2640" s="247" t="s">
        <v>348</v>
      </c>
      <c r="C2640" s="302" t="str">
        <f>"14849"</f>
        <v>14849</v>
      </c>
      <c r="D2640" s="247" t="s">
        <v>18</v>
      </c>
      <c r="E2640" s="248">
        <v>2</v>
      </c>
      <c r="F2640" s="249">
        <v>44232</v>
      </c>
      <c r="G2640" s="249">
        <v>46057</v>
      </c>
      <c r="H2640" s="247" t="s">
        <v>84</v>
      </c>
      <c r="I2640" s="250" t="s">
        <v>79</v>
      </c>
    </row>
    <row r="2641" spans="1:9">
      <c r="A2641" s="246">
        <v>2637</v>
      </c>
      <c r="B2641" s="247" t="s">
        <v>348</v>
      </c>
      <c r="C2641" s="302" t="str">
        <f>"14850"</f>
        <v>14850</v>
      </c>
      <c r="D2641" s="247" t="s">
        <v>18</v>
      </c>
      <c r="E2641" s="248">
        <v>8</v>
      </c>
      <c r="F2641" s="249">
        <v>44232</v>
      </c>
      <c r="G2641" s="249">
        <v>46057</v>
      </c>
      <c r="H2641" s="247" t="s">
        <v>84</v>
      </c>
      <c r="I2641" s="250" t="s">
        <v>79</v>
      </c>
    </row>
    <row r="2642" spans="1:9">
      <c r="A2642" s="246">
        <v>2638</v>
      </c>
      <c r="B2642" s="247" t="s">
        <v>348</v>
      </c>
      <c r="C2642" s="302" t="str">
        <f>"14853"</f>
        <v>14853</v>
      </c>
      <c r="D2642" s="247" t="s">
        <v>18</v>
      </c>
      <c r="E2642" s="248">
        <v>6</v>
      </c>
      <c r="F2642" s="249">
        <v>44232</v>
      </c>
      <c r="G2642" s="249">
        <v>46057</v>
      </c>
      <c r="H2642" s="247" t="s">
        <v>32</v>
      </c>
      <c r="I2642" s="250" t="s">
        <v>79</v>
      </c>
    </row>
    <row r="2643" spans="1:9">
      <c r="A2643" s="246">
        <v>2639</v>
      </c>
      <c r="B2643" s="247" t="s">
        <v>348</v>
      </c>
      <c r="C2643" s="302" t="str">
        <f>"14854"</f>
        <v>14854</v>
      </c>
      <c r="D2643" s="247" t="s">
        <v>18</v>
      </c>
      <c r="E2643" s="248">
        <v>9</v>
      </c>
      <c r="F2643" s="249">
        <v>44232</v>
      </c>
      <c r="G2643" s="249">
        <v>46057</v>
      </c>
      <c r="H2643" s="247" t="s">
        <v>32</v>
      </c>
      <c r="I2643" s="250" t="s">
        <v>79</v>
      </c>
    </row>
    <row r="2644" spans="1:9">
      <c r="A2644" s="246">
        <v>2640</v>
      </c>
      <c r="B2644" s="247" t="s">
        <v>349</v>
      </c>
      <c r="C2644" s="302" t="str">
        <f>"14855"</f>
        <v>14855</v>
      </c>
      <c r="D2644" s="247" t="s">
        <v>18</v>
      </c>
      <c r="E2644" s="248">
        <v>83</v>
      </c>
      <c r="F2644" s="249">
        <v>44553</v>
      </c>
      <c r="G2644" s="249">
        <v>46378</v>
      </c>
      <c r="H2644" s="247" t="s">
        <v>84</v>
      </c>
      <c r="I2644" s="250" t="s">
        <v>79</v>
      </c>
    </row>
    <row r="2645" spans="1:9">
      <c r="A2645" s="246">
        <v>2641</v>
      </c>
      <c r="B2645" s="247" t="s">
        <v>350</v>
      </c>
      <c r="C2645" s="302" t="str">
        <f>"14856"</f>
        <v>14856</v>
      </c>
      <c r="D2645" s="247" t="s">
        <v>18</v>
      </c>
      <c r="E2645" s="248">
        <v>10</v>
      </c>
      <c r="F2645" s="249">
        <v>44104</v>
      </c>
      <c r="G2645" s="249">
        <v>45929</v>
      </c>
      <c r="H2645" s="247" t="s">
        <v>16</v>
      </c>
      <c r="I2645" s="250" t="s">
        <v>79</v>
      </c>
    </row>
    <row r="2646" spans="1:9">
      <c r="A2646" s="246">
        <v>2642</v>
      </c>
      <c r="B2646" s="247" t="s">
        <v>337</v>
      </c>
      <c r="C2646" s="302" t="str">
        <f>"14858"</f>
        <v>14858</v>
      </c>
      <c r="D2646" s="247" t="s">
        <v>18</v>
      </c>
      <c r="E2646" s="248">
        <v>16</v>
      </c>
      <c r="F2646" s="249">
        <v>44349</v>
      </c>
      <c r="G2646" s="249">
        <v>46174</v>
      </c>
      <c r="H2646" s="247" t="s">
        <v>59</v>
      </c>
      <c r="I2646" s="250" t="s">
        <v>79</v>
      </c>
    </row>
    <row r="2647" spans="1:9">
      <c r="A2647" s="246">
        <v>2643</v>
      </c>
      <c r="B2647" s="247" t="s">
        <v>3608</v>
      </c>
      <c r="C2647" s="302" t="str">
        <f>"14859"</f>
        <v>14859</v>
      </c>
      <c r="D2647" s="247" t="s">
        <v>23</v>
      </c>
      <c r="E2647" s="248">
        <v>1</v>
      </c>
      <c r="F2647" s="249">
        <v>44452</v>
      </c>
      <c r="G2647" s="249">
        <v>44816</v>
      </c>
      <c r="H2647" s="247" t="s">
        <v>59</v>
      </c>
      <c r="I2647" s="250" t="s">
        <v>433</v>
      </c>
    </row>
    <row r="2648" spans="1:9">
      <c r="A2648" s="246">
        <v>2644</v>
      </c>
      <c r="B2648" s="247" t="s">
        <v>351</v>
      </c>
      <c r="C2648" s="302" t="str">
        <f>"14860"</f>
        <v>14860</v>
      </c>
      <c r="D2648" s="247" t="s">
        <v>18</v>
      </c>
      <c r="E2648" s="248">
        <v>2</v>
      </c>
      <c r="F2648" s="249">
        <v>44250</v>
      </c>
      <c r="G2648" s="249">
        <v>46075</v>
      </c>
      <c r="H2648" s="247" t="s">
        <v>277</v>
      </c>
      <c r="I2648" s="250" t="s">
        <v>79</v>
      </c>
    </row>
    <row r="2649" spans="1:9">
      <c r="A2649" s="246">
        <v>2645</v>
      </c>
      <c r="B2649" s="247" t="s">
        <v>352</v>
      </c>
      <c r="C2649" s="302" t="str">
        <f>"14863"</f>
        <v>14863</v>
      </c>
      <c r="D2649" s="247" t="s">
        <v>18</v>
      </c>
      <c r="E2649" s="248">
        <v>41</v>
      </c>
      <c r="F2649" s="249">
        <v>44225</v>
      </c>
      <c r="G2649" s="249">
        <v>46050</v>
      </c>
      <c r="H2649" s="247" t="s">
        <v>84</v>
      </c>
      <c r="I2649" s="250" t="s">
        <v>79</v>
      </c>
    </row>
    <row r="2650" spans="1:9">
      <c r="A2650" s="246">
        <v>2646</v>
      </c>
      <c r="B2650" s="247" t="s">
        <v>352</v>
      </c>
      <c r="C2650" s="302" t="str">
        <f>"14866"</f>
        <v>14866</v>
      </c>
      <c r="D2650" s="247" t="s">
        <v>18</v>
      </c>
      <c r="E2650" s="248">
        <v>19</v>
      </c>
      <c r="F2650" s="249">
        <v>44133</v>
      </c>
      <c r="G2650" s="249">
        <v>45958</v>
      </c>
      <c r="H2650" s="247" t="s">
        <v>84</v>
      </c>
      <c r="I2650" s="250" t="s">
        <v>79</v>
      </c>
    </row>
    <row r="2651" spans="1:9">
      <c r="A2651" s="246">
        <v>2647</v>
      </c>
      <c r="B2651" s="247" t="s">
        <v>352</v>
      </c>
      <c r="C2651" s="302" t="str">
        <f>"14867"</f>
        <v>14867</v>
      </c>
      <c r="D2651" s="247" t="s">
        <v>18</v>
      </c>
      <c r="E2651" s="248">
        <v>126</v>
      </c>
      <c r="F2651" s="249">
        <v>44260</v>
      </c>
      <c r="G2651" s="249">
        <v>46085</v>
      </c>
      <c r="H2651" s="247" t="s">
        <v>84</v>
      </c>
      <c r="I2651" s="250" t="s">
        <v>79</v>
      </c>
    </row>
    <row r="2652" spans="1:9">
      <c r="A2652" s="246">
        <v>2648</v>
      </c>
      <c r="B2652" s="247" t="s">
        <v>352</v>
      </c>
      <c r="C2652" s="302" t="str">
        <f>"14868"</f>
        <v>14868</v>
      </c>
      <c r="D2652" s="247" t="s">
        <v>18</v>
      </c>
      <c r="E2652" s="248">
        <v>75</v>
      </c>
      <c r="F2652" s="249">
        <v>44133</v>
      </c>
      <c r="G2652" s="249">
        <v>45958</v>
      </c>
      <c r="H2652" s="247" t="s">
        <v>56</v>
      </c>
      <c r="I2652" s="250" t="s">
        <v>448</v>
      </c>
    </row>
    <row r="2653" spans="1:9">
      <c r="A2653" s="246">
        <v>2649</v>
      </c>
      <c r="B2653" s="247" t="s">
        <v>352</v>
      </c>
      <c r="C2653" s="302" t="str">
        <f>"14869"</f>
        <v>14869</v>
      </c>
      <c r="D2653" s="247" t="s">
        <v>18</v>
      </c>
      <c r="E2653" s="248">
        <v>192</v>
      </c>
      <c r="F2653" s="249">
        <v>44431</v>
      </c>
      <c r="G2653" s="249">
        <v>46256</v>
      </c>
      <c r="H2653" s="247" t="s">
        <v>84</v>
      </c>
      <c r="I2653" s="250" t="s">
        <v>79</v>
      </c>
    </row>
    <row r="2654" spans="1:9">
      <c r="A2654" s="246">
        <v>2650</v>
      </c>
      <c r="B2654" s="247" t="s">
        <v>352</v>
      </c>
      <c r="C2654" s="302" t="str">
        <f>"14870"</f>
        <v>14870</v>
      </c>
      <c r="D2654" s="247" t="s">
        <v>18</v>
      </c>
      <c r="E2654" s="248">
        <v>160</v>
      </c>
      <c r="F2654" s="249">
        <v>44133</v>
      </c>
      <c r="G2654" s="249">
        <v>45958</v>
      </c>
      <c r="H2654" s="247" t="s">
        <v>84</v>
      </c>
      <c r="I2654" s="250" t="s">
        <v>79</v>
      </c>
    </row>
    <row r="2655" spans="1:9">
      <c r="A2655" s="246">
        <v>2651</v>
      </c>
      <c r="B2655" s="247" t="s">
        <v>352</v>
      </c>
      <c r="C2655" s="302" t="str">
        <f>"14871"</f>
        <v>14871</v>
      </c>
      <c r="D2655" s="247" t="s">
        <v>18</v>
      </c>
      <c r="E2655" s="248">
        <v>248</v>
      </c>
      <c r="F2655" s="249">
        <v>44133</v>
      </c>
      <c r="G2655" s="249">
        <v>45958</v>
      </c>
      <c r="H2655" s="247" t="s">
        <v>84</v>
      </c>
      <c r="I2655" s="250" t="s">
        <v>79</v>
      </c>
    </row>
    <row r="2656" spans="1:9">
      <c r="A2656" s="246">
        <v>2652</v>
      </c>
      <c r="B2656" s="247" t="s">
        <v>352</v>
      </c>
      <c r="C2656" s="302" t="str">
        <f>"14872"</f>
        <v>14872</v>
      </c>
      <c r="D2656" s="247" t="s">
        <v>18</v>
      </c>
      <c r="E2656" s="248">
        <v>92</v>
      </c>
      <c r="F2656" s="249">
        <v>44133</v>
      </c>
      <c r="G2656" s="249">
        <v>45958</v>
      </c>
      <c r="H2656" s="247" t="s">
        <v>84</v>
      </c>
      <c r="I2656" s="250" t="s">
        <v>79</v>
      </c>
    </row>
    <row r="2657" spans="1:9">
      <c r="A2657" s="246">
        <v>2653</v>
      </c>
      <c r="B2657" s="247" t="s">
        <v>352</v>
      </c>
      <c r="C2657" s="302" t="str">
        <f>"14873"</f>
        <v>14873</v>
      </c>
      <c r="D2657" s="247" t="s">
        <v>18</v>
      </c>
      <c r="E2657" s="248">
        <v>16</v>
      </c>
      <c r="F2657" s="249">
        <v>44133</v>
      </c>
      <c r="G2657" s="249">
        <v>45958</v>
      </c>
      <c r="H2657" s="247" t="s">
        <v>56</v>
      </c>
      <c r="I2657" s="250" t="s">
        <v>79</v>
      </c>
    </row>
    <row r="2658" spans="1:9">
      <c r="A2658" s="246">
        <v>2654</v>
      </c>
      <c r="B2658" s="247" t="s">
        <v>352</v>
      </c>
      <c r="C2658" s="302" t="str">
        <f>"14874"</f>
        <v>14874</v>
      </c>
      <c r="D2658" s="247" t="s">
        <v>18</v>
      </c>
      <c r="E2658" s="248">
        <v>32</v>
      </c>
      <c r="F2658" s="249">
        <v>44133</v>
      </c>
      <c r="G2658" s="249">
        <v>45958</v>
      </c>
      <c r="H2658" s="247" t="s">
        <v>84</v>
      </c>
      <c r="I2658" s="250" t="s">
        <v>79</v>
      </c>
    </row>
    <row r="2659" spans="1:9">
      <c r="A2659" s="246">
        <v>2655</v>
      </c>
      <c r="B2659" s="247" t="s">
        <v>352</v>
      </c>
      <c r="C2659" s="302" t="str">
        <f>"14875"</f>
        <v>14875</v>
      </c>
      <c r="D2659" s="247" t="s">
        <v>18</v>
      </c>
      <c r="E2659" s="248">
        <v>82</v>
      </c>
      <c r="F2659" s="249">
        <v>44260</v>
      </c>
      <c r="G2659" s="249">
        <v>46085</v>
      </c>
      <c r="H2659" s="247" t="s">
        <v>84</v>
      </c>
      <c r="I2659" s="250" t="s">
        <v>79</v>
      </c>
    </row>
    <row r="2660" spans="1:9">
      <c r="A2660" s="246">
        <v>2656</v>
      </c>
      <c r="B2660" s="247" t="s">
        <v>352</v>
      </c>
      <c r="C2660" s="302" t="str">
        <f>"14876"</f>
        <v>14876</v>
      </c>
      <c r="D2660" s="247" t="s">
        <v>18</v>
      </c>
      <c r="E2660" s="248">
        <v>197</v>
      </c>
      <c r="F2660" s="249">
        <v>44260</v>
      </c>
      <c r="G2660" s="249">
        <v>46085</v>
      </c>
      <c r="H2660" s="247" t="s">
        <v>84</v>
      </c>
      <c r="I2660" s="250" t="s">
        <v>79</v>
      </c>
    </row>
    <row r="2661" spans="1:9">
      <c r="A2661" s="246">
        <v>2657</v>
      </c>
      <c r="B2661" s="247" t="s">
        <v>352</v>
      </c>
      <c r="C2661" s="302" t="str">
        <f>"14877"</f>
        <v>14877</v>
      </c>
      <c r="D2661" s="247" t="s">
        <v>18</v>
      </c>
      <c r="E2661" s="248">
        <v>181</v>
      </c>
      <c r="F2661" s="249">
        <v>44133</v>
      </c>
      <c r="G2661" s="249">
        <v>45958</v>
      </c>
      <c r="H2661" s="247" t="s">
        <v>84</v>
      </c>
      <c r="I2661" s="250" t="s">
        <v>79</v>
      </c>
    </row>
    <row r="2662" spans="1:9">
      <c r="A2662" s="246">
        <v>2658</v>
      </c>
      <c r="B2662" s="247" t="s">
        <v>329</v>
      </c>
      <c r="C2662" s="302" t="str">
        <f>"14880"</f>
        <v>14880</v>
      </c>
      <c r="D2662" s="247" t="s">
        <v>18</v>
      </c>
      <c r="E2662" s="248">
        <v>55</v>
      </c>
      <c r="F2662" s="249">
        <v>44189</v>
      </c>
      <c r="G2662" s="249">
        <v>46014</v>
      </c>
      <c r="H2662" s="247" t="s">
        <v>31</v>
      </c>
      <c r="I2662" s="250" t="s">
        <v>79</v>
      </c>
    </row>
    <row r="2663" spans="1:9">
      <c r="A2663" s="246">
        <v>2659</v>
      </c>
      <c r="B2663" s="247" t="s">
        <v>329</v>
      </c>
      <c r="C2663" s="302" t="str">
        <f>"14881"</f>
        <v>14881</v>
      </c>
      <c r="D2663" s="247" t="s">
        <v>18</v>
      </c>
      <c r="E2663" s="248">
        <v>51</v>
      </c>
      <c r="F2663" s="249">
        <v>44189</v>
      </c>
      <c r="G2663" s="249">
        <v>46014</v>
      </c>
      <c r="H2663" s="247" t="s">
        <v>31</v>
      </c>
      <c r="I2663" s="250" t="s">
        <v>79</v>
      </c>
    </row>
    <row r="2664" spans="1:9">
      <c r="A2664" s="246">
        <v>2660</v>
      </c>
      <c r="B2664" s="247" t="s">
        <v>329</v>
      </c>
      <c r="C2664" s="302" t="str">
        <f>"14883"</f>
        <v>14883</v>
      </c>
      <c r="D2664" s="247" t="s">
        <v>18</v>
      </c>
      <c r="E2664" s="248">
        <v>24</v>
      </c>
      <c r="F2664" s="249">
        <v>44189</v>
      </c>
      <c r="G2664" s="249">
        <v>46014</v>
      </c>
      <c r="H2664" s="247" t="s">
        <v>31</v>
      </c>
      <c r="I2664" s="250" t="s">
        <v>79</v>
      </c>
    </row>
    <row r="2665" spans="1:9">
      <c r="A2665" s="246">
        <v>2661</v>
      </c>
      <c r="B2665" s="247" t="s">
        <v>333</v>
      </c>
      <c r="C2665" s="302" t="str">
        <f>"14884"</f>
        <v>14884</v>
      </c>
      <c r="D2665" s="247" t="s">
        <v>18</v>
      </c>
      <c r="E2665" s="248">
        <v>65</v>
      </c>
      <c r="F2665" s="249">
        <v>44245</v>
      </c>
      <c r="G2665" s="249">
        <v>46070</v>
      </c>
      <c r="H2665" s="247" t="s">
        <v>19</v>
      </c>
      <c r="I2665" s="250" t="s">
        <v>79</v>
      </c>
    </row>
    <row r="2666" spans="1:9">
      <c r="A2666" s="246">
        <v>2662</v>
      </c>
      <c r="B2666" s="247" t="s">
        <v>333</v>
      </c>
      <c r="C2666" s="302" t="str">
        <f>"14885"</f>
        <v>14885</v>
      </c>
      <c r="D2666" s="247" t="s">
        <v>18</v>
      </c>
      <c r="E2666" s="248">
        <v>22</v>
      </c>
      <c r="F2666" s="249">
        <v>44245</v>
      </c>
      <c r="G2666" s="249">
        <v>46070</v>
      </c>
      <c r="H2666" s="247" t="s">
        <v>19</v>
      </c>
      <c r="I2666" s="250" t="s">
        <v>79</v>
      </c>
    </row>
    <row r="2667" spans="1:9">
      <c r="A2667" s="246">
        <v>2663</v>
      </c>
      <c r="B2667" s="247" t="s">
        <v>333</v>
      </c>
      <c r="C2667" s="302" t="str">
        <f>"14886"</f>
        <v>14886</v>
      </c>
      <c r="D2667" s="247" t="s">
        <v>18</v>
      </c>
      <c r="E2667" s="248">
        <v>60</v>
      </c>
      <c r="F2667" s="249">
        <v>44267</v>
      </c>
      <c r="G2667" s="249">
        <v>46092</v>
      </c>
      <c r="H2667" s="247" t="s">
        <v>19</v>
      </c>
      <c r="I2667" s="250" t="s">
        <v>79</v>
      </c>
    </row>
    <row r="2668" spans="1:9">
      <c r="A2668" s="246">
        <v>2664</v>
      </c>
      <c r="B2668" s="247" t="s">
        <v>41</v>
      </c>
      <c r="C2668" s="302" t="str">
        <f>"14891"</f>
        <v>14891</v>
      </c>
      <c r="D2668" s="247" t="s">
        <v>18</v>
      </c>
      <c r="E2668" s="248">
        <v>2</v>
      </c>
      <c r="F2668" s="249">
        <v>44182</v>
      </c>
      <c r="G2668" s="249">
        <v>46007</v>
      </c>
      <c r="H2668" s="247" t="s">
        <v>16</v>
      </c>
      <c r="I2668" s="250" t="s">
        <v>448</v>
      </c>
    </row>
    <row r="2669" spans="1:9">
      <c r="A2669" s="246">
        <v>2665</v>
      </c>
      <c r="B2669" s="247" t="s">
        <v>41</v>
      </c>
      <c r="C2669" s="302" t="str">
        <f>"14892"</f>
        <v>14892</v>
      </c>
      <c r="D2669" s="247" t="s">
        <v>18</v>
      </c>
      <c r="E2669" s="248">
        <v>2</v>
      </c>
      <c r="F2669" s="249">
        <v>44182</v>
      </c>
      <c r="G2669" s="249">
        <v>46007</v>
      </c>
      <c r="H2669" s="247" t="s">
        <v>16</v>
      </c>
      <c r="I2669" s="250" t="s">
        <v>448</v>
      </c>
    </row>
    <row r="2670" spans="1:9">
      <c r="A2670" s="246">
        <v>2666</v>
      </c>
      <c r="B2670" s="247" t="s">
        <v>329</v>
      </c>
      <c r="C2670" s="302" t="str">
        <f>"14893"</f>
        <v>14893</v>
      </c>
      <c r="D2670" s="247" t="s">
        <v>18</v>
      </c>
      <c r="E2670" s="248">
        <v>85</v>
      </c>
      <c r="F2670" s="249">
        <v>44189</v>
      </c>
      <c r="G2670" s="249">
        <v>46014</v>
      </c>
      <c r="H2670" s="247" t="s">
        <v>24</v>
      </c>
      <c r="I2670" s="250" t="s">
        <v>79</v>
      </c>
    </row>
    <row r="2671" spans="1:9">
      <c r="A2671" s="246">
        <v>2667</v>
      </c>
      <c r="B2671" s="247" t="s">
        <v>352</v>
      </c>
      <c r="C2671" s="302" t="str">
        <f>"14897"</f>
        <v>14897</v>
      </c>
      <c r="D2671" s="247" t="s">
        <v>18</v>
      </c>
      <c r="E2671" s="248">
        <v>11</v>
      </c>
      <c r="F2671" s="249">
        <v>44260</v>
      </c>
      <c r="G2671" s="249">
        <v>46085</v>
      </c>
      <c r="H2671" s="247" t="s">
        <v>84</v>
      </c>
      <c r="I2671" s="250" t="s">
        <v>79</v>
      </c>
    </row>
    <row r="2672" spans="1:9">
      <c r="A2672" s="246">
        <v>2668</v>
      </c>
      <c r="B2672" s="247" t="s">
        <v>352</v>
      </c>
      <c r="C2672" s="302" t="str">
        <f>"14898"</f>
        <v>14898</v>
      </c>
      <c r="D2672" s="247" t="s">
        <v>18</v>
      </c>
      <c r="E2672" s="248">
        <v>43</v>
      </c>
      <c r="F2672" s="249">
        <v>44260</v>
      </c>
      <c r="G2672" s="249">
        <v>46085</v>
      </c>
      <c r="H2672" s="247" t="s">
        <v>84</v>
      </c>
      <c r="I2672" s="250" t="s">
        <v>79</v>
      </c>
    </row>
    <row r="2673" spans="1:9">
      <c r="A2673" s="246">
        <v>2669</v>
      </c>
      <c r="B2673" s="247" t="s">
        <v>99</v>
      </c>
      <c r="C2673" s="302" t="str">
        <f>"14899"</f>
        <v>14899</v>
      </c>
      <c r="D2673" s="247" t="s">
        <v>18</v>
      </c>
      <c r="E2673" s="248">
        <v>31</v>
      </c>
      <c r="F2673" s="249">
        <v>44225</v>
      </c>
      <c r="G2673" s="249">
        <v>46050</v>
      </c>
      <c r="H2673" s="247" t="s">
        <v>16</v>
      </c>
      <c r="I2673" s="250" t="s">
        <v>79</v>
      </c>
    </row>
    <row r="2674" spans="1:9">
      <c r="A2674" s="246">
        <v>2670</v>
      </c>
      <c r="B2674" s="247" t="s">
        <v>99</v>
      </c>
      <c r="C2674" s="302" t="str">
        <f>"14900"</f>
        <v>14900</v>
      </c>
      <c r="D2674" s="247" t="s">
        <v>18</v>
      </c>
      <c r="E2674" s="248">
        <v>22</v>
      </c>
      <c r="F2674" s="249">
        <v>44236</v>
      </c>
      <c r="G2674" s="249">
        <v>46061</v>
      </c>
      <c r="H2674" s="247" t="s">
        <v>16</v>
      </c>
      <c r="I2674" s="250" t="s">
        <v>79</v>
      </c>
    </row>
    <row r="2675" spans="1:9">
      <c r="A2675" s="246">
        <v>2671</v>
      </c>
      <c r="B2675" s="247" t="s">
        <v>3597</v>
      </c>
      <c r="C2675" s="302" t="str">
        <f>"14903"</f>
        <v>14903</v>
      </c>
      <c r="D2675" s="247" t="s">
        <v>23</v>
      </c>
      <c r="E2675" s="248">
        <v>4</v>
      </c>
      <c r="F2675" s="249">
        <v>44330</v>
      </c>
      <c r="G2675" s="249">
        <v>44694</v>
      </c>
      <c r="H2675" s="247" t="s">
        <v>14</v>
      </c>
      <c r="I2675" s="250" t="s">
        <v>3413</v>
      </c>
    </row>
    <row r="2676" spans="1:9">
      <c r="A2676" s="246">
        <v>2672</v>
      </c>
      <c r="B2676" s="247" t="s">
        <v>3597</v>
      </c>
      <c r="C2676" s="302" t="str">
        <f>"14904"</f>
        <v>14904</v>
      </c>
      <c r="D2676" s="247" t="s">
        <v>23</v>
      </c>
      <c r="E2676" s="248">
        <v>4</v>
      </c>
      <c r="F2676" s="249">
        <v>44330</v>
      </c>
      <c r="G2676" s="249">
        <v>44694</v>
      </c>
      <c r="H2676" s="247" t="s">
        <v>14</v>
      </c>
      <c r="I2676" s="250" t="s">
        <v>3413</v>
      </c>
    </row>
    <row r="2677" spans="1:9">
      <c r="A2677" s="246">
        <v>2673</v>
      </c>
      <c r="B2677" s="247" t="s">
        <v>316</v>
      </c>
      <c r="C2677" s="302" t="str">
        <f>"14905"</f>
        <v>14905</v>
      </c>
      <c r="D2677" s="247" t="s">
        <v>23</v>
      </c>
      <c r="E2677" s="248">
        <v>4</v>
      </c>
      <c r="F2677" s="249">
        <v>44124</v>
      </c>
      <c r="G2677" s="249">
        <v>44488</v>
      </c>
      <c r="H2677" s="247" t="s">
        <v>16</v>
      </c>
      <c r="I2677" s="250" t="s">
        <v>3544</v>
      </c>
    </row>
    <row r="2678" spans="1:9">
      <c r="A2678" s="246">
        <v>2674</v>
      </c>
      <c r="B2678" s="247" t="s">
        <v>353</v>
      </c>
      <c r="C2678" s="302" t="str">
        <f>"14906"</f>
        <v>14906</v>
      </c>
      <c r="D2678" s="247" t="s">
        <v>18</v>
      </c>
      <c r="E2678" s="248">
        <v>12</v>
      </c>
      <c r="F2678" s="249">
        <v>44217</v>
      </c>
      <c r="G2678" s="249">
        <v>46042</v>
      </c>
      <c r="H2678" s="247" t="s">
        <v>16</v>
      </c>
      <c r="I2678" s="250" t="s">
        <v>79</v>
      </c>
    </row>
    <row r="2679" spans="1:9">
      <c r="A2679" s="246">
        <v>2675</v>
      </c>
      <c r="B2679" s="247" t="s">
        <v>354</v>
      </c>
      <c r="C2679" s="302" t="str">
        <f>"14907"</f>
        <v>14907</v>
      </c>
      <c r="D2679" s="247" t="s">
        <v>18</v>
      </c>
      <c r="E2679" s="248">
        <v>129</v>
      </c>
      <c r="F2679" s="249">
        <v>44274</v>
      </c>
      <c r="G2679" s="249">
        <v>46099</v>
      </c>
      <c r="H2679" s="247" t="s">
        <v>59</v>
      </c>
      <c r="I2679" s="250" t="s">
        <v>79</v>
      </c>
    </row>
    <row r="2680" spans="1:9">
      <c r="A2680" s="246">
        <v>2676</v>
      </c>
      <c r="B2680" s="247" t="s">
        <v>3609</v>
      </c>
      <c r="C2680" s="302" t="str">
        <f>"14910"</f>
        <v>14910</v>
      </c>
      <c r="D2680" s="247" t="s">
        <v>23</v>
      </c>
      <c r="E2680" s="248">
        <v>4</v>
      </c>
      <c r="F2680" s="249">
        <v>44249</v>
      </c>
      <c r="G2680" s="249">
        <v>44613</v>
      </c>
      <c r="H2680" s="247" t="s">
        <v>16</v>
      </c>
      <c r="I2680" s="250" t="s">
        <v>3413</v>
      </c>
    </row>
    <row r="2681" spans="1:9">
      <c r="A2681" s="246">
        <v>2677</v>
      </c>
      <c r="B2681" s="247" t="s">
        <v>242</v>
      </c>
      <c r="C2681" s="302" t="str">
        <f>"14916"</f>
        <v>14916</v>
      </c>
      <c r="D2681" s="247" t="s">
        <v>18</v>
      </c>
      <c r="E2681" s="248">
        <v>10</v>
      </c>
      <c r="F2681" s="249">
        <v>44300</v>
      </c>
      <c r="G2681" s="249">
        <v>46125</v>
      </c>
      <c r="H2681" s="247" t="s">
        <v>14</v>
      </c>
      <c r="I2681" s="250" t="s">
        <v>79</v>
      </c>
    </row>
    <row r="2682" spans="1:9">
      <c r="A2682" s="246">
        <v>2678</v>
      </c>
      <c r="B2682" s="247" t="s">
        <v>355</v>
      </c>
      <c r="C2682" s="302" t="str">
        <f>"14919"</f>
        <v>14919</v>
      </c>
      <c r="D2682" s="247" t="s">
        <v>18</v>
      </c>
      <c r="E2682" s="248">
        <v>4</v>
      </c>
      <c r="F2682" s="249">
        <v>44326</v>
      </c>
      <c r="G2682" s="249">
        <v>46151</v>
      </c>
      <c r="H2682" s="247" t="s">
        <v>22</v>
      </c>
      <c r="I2682" s="250" t="s">
        <v>79</v>
      </c>
    </row>
    <row r="2683" spans="1:9">
      <c r="A2683" s="246">
        <v>2679</v>
      </c>
      <c r="B2683" s="247" t="s">
        <v>352</v>
      </c>
      <c r="C2683" s="302" t="str">
        <f>"14920"</f>
        <v>14920</v>
      </c>
      <c r="D2683" s="247" t="s">
        <v>18</v>
      </c>
      <c r="E2683" s="248">
        <v>150</v>
      </c>
      <c r="F2683" s="249">
        <v>44431</v>
      </c>
      <c r="G2683" s="249">
        <v>46256</v>
      </c>
      <c r="H2683" s="247" t="s">
        <v>24</v>
      </c>
      <c r="I2683" s="250" t="s">
        <v>79</v>
      </c>
    </row>
    <row r="2684" spans="1:9">
      <c r="A2684" s="246">
        <v>2680</v>
      </c>
      <c r="B2684" s="247" t="s">
        <v>352</v>
      </c>
      <c r="C2684" s="302" t="str">
        <f>"14921"</f>
        <v>14921</v>
      </c>
      <c r="D2684" s="247" t="s">
        <v>18</v>
      </c>
      <c r="E2684" s="248">
        <v>141</v>
      </c>
      <c r="F2684" s="249">
        <v>44431</v>
      </c>
      <c r="G2684" s="249">
        <v>46256</v>
      </c>
      <c r="H2684" s="247" t="s">
        <v>24</v>
      </c>
      <c r="I2684" s="250" t="s">
        <v>79</v>
      </c>
    </row>
    <row r="2685" spans="1:9">
      <c r="A2685" s="246">
        <v>2681</v>
      </c>
      <c r="B2685" s="247" t="s">
        <v>324</v>
      </c>
      <c r="C2685" s="302" t="str">
        <f>"14922"</f>
        <v>14922</v>
      </c>
      <c r="D2685" s="247" t="s">
        <v>18</v>
      </c>
      <c r="E2685" s="248">
        <v>1</v>
      </c>
      <c r="F2685" s="249">
        <v>44329</v>
      </c>
      <c r="G2685" s="249">
        <v>46154</v>
      </c>
      <c r="H2685" s="247" t="s">
        <v>70</v>
      </c>
      <c r="I2685" s="250" t="s">
        <v>79</v>
      </c>
    </row>
    <row r="2686" spans="1:9">
      <c r="A2686" s="246">
        <v>2682</v>
      </c>
      <c r="B2686" s="247" t="s">
        <v>356</v>
      </c>
      <c r="C2686" s="302" t="str">
        <f>"14923"</f>
        <v>14923</v>
      </c>
      <c r="D2686" s="247" t="s">
        <v>18</v>
      </c>
      <c r="E2686" s="248">
        <v>4</v>
      </c>
      <c r="F2686" s="249">
        <v>44253</v>
      </c>
      <c r="G2686" s="249">
        <v>46078</v>
      </c>
      <c r="H2686" s="247" t="s">
        <v>19</v>
      </c>
      <c r="I2686" s="250" t="s">
        <v>79</v>
      </c>
    </row>
    <row r="2687" spans="1:9">
      <c r="A2687" s="246">
        <v>2683</v>
      </c>
      <c r="B2687" s="247" t="s">
        <v>357</v>
      </c>
      <c r="C2687" s="302" t="str">
        <f>"14924"</f>
        <v>14924</v>
      </c>
      <c r="D2687" s="247" t="s">
        <v>18</v>
      </c>
      <c r="E2687" s="248">
        <v>2</v>
      </c>
      <c r="F2687" s="249">
        <v>44251</v>
      </c>
      <c r="G2687" s="249">
        <v>46076</v>
      </c>
      <c r="H2687" s="247" t="s">
        <v>59</v>
      </c>
      <c r="I2687" s="250" t="s">
        <v>79</v>
      </c>
    </row>
    <row r="2688" spans="1:9">
      <c r="A2688" s="246">
        <v>2684</v>
      </c>
      <c r="B2688" s="247" t="s">
        <v>357</v>
      </c>
      <c r="C2688" s="302" t="str">
        <f>"14925"</f>
        <v>14925</v>
      </c>
      <c r="D2688" s="247" t="s">
        <v>18</v>
      </c>
      <c r="E2688" s="248">
        <v>2</v>
      </c>
      <c r="F2688" s="249">
        <v>44663</v>
      </c>
      <c r="G2688" s="249">
        <v>46488</v>
      </c>
      <c r="H2688" s="247" t="s">
        <v>59</v>
      </c>
      <c r="I2688" s="250" t="s">
        <v>79</v>
      </c>
    </row>
    <row r="2689" spans="1:9">
      <c r="A2689" s="246">
        <v>2685</v>
      </c>
      <c r="B2689" s="247" t="s">
        <v>1066</v>
      </c>
      <c r="C2689" s="302" t="str">
        <f>"14927"</f>
        <v>14927</v>
      </c>
      <c r="D2689" s="247" t="s">
        <v>18</v>
      </c>
      <c r="E2689" s="248">
        <v>1</v>
      </c>
      <c r="F2689" s="249">
        <v>44300</v>
      </c>
      <c r="G2689" s="249">
        <v>46125</v>
      </c>
      <c r="H2689" s="247" t="s">
        <v>14</v>
      </c>
      <c r="I2689" s="250" t="s">
        <v>448</v>
      </c>
    </row>
    <row r="2690" spans="1:9">
      <c r="A2690" s="246">
        <v>2686</v>
      </c>
      <c r="B2690" s="247" t="s">
        <v>358</v>
      </c>
      <c r="C2690" s="302" t="str">
        <f>"14928"</f>
        <v>14928</v>
      </c>
      <c r="D2690" s="247" t="s">
        <v>18</v>
      </c>
      <c r="E2690" s="248">
        <v>10</v>
      </c>
      <c r="F2690" s="249">
        <v>44272</v>
      </c>
      <c r="G2690" s="249">
        <v>46097</v>
      </c>
      <c r="H2690" s="247" t="s">
        <v>24</v>
      </c>
      <c r="I2690" s="250" t="s">
        <v>79</v>
      </c>
    </row>
    <row r="2691" spans="1:9">
      <c r="A2691" s="246">
        <v>2687</v>
      </c>
      <c r="B2691" s="247" t="s">
        <v>242</v>
      </c>
      <c r="C2691" s="302" t="str">
        <f>"14929"</f>
        <v>14929</v>
      </c>
      <c r="D2691" s="247" t="s">
        <v>18</v>
      </c>
      <c r="E2691" s="248">
        <v>4</v>
      </c>
      <c r="F2691" s="249">
        <v>44300</v>
      </c>
      <c r="G2691" s="249">
        <v>46125</v>
      </c>
      <c r="H2691" s="247" t="s">
        <v>14</v>
      </c>
      <c r="I2691" s="250" t="s">
        <v>79</v>
      </c>
    </row>
    <row r="2692" spans="1:9">
      <c r="A2692" s="246">
        <v>2688</v>
      </c>
      <c r="B2692" s="247" t="s">
        <v>359</v>
      </c>
      <c r="C2692" s="302" t="str">
        <f>"14933"</f>
        <v>14933</v>
      </c>
      <c r="D2692" s="247" t="s">
        <v>18</v>
      </c>
      <c r="E2692" s="248">
        <v>2</v>
      </c>
      <c r="F2692" s="249">
        <v>44280</v>
      </c>
      <c r="G2692" s="249">
        <v>46105</v>
      </c>
      <c r="H2692" s="247" t="s">
        <v>14</v>
      </c>
      <c r="I2692" s="250" t="s">
        <v>79</v>
      </c>
    </row>
    <row r="2693" spans="1:9">
      <c r="A2693" s="246">
        <v>2689</v>
      </c>
      <c r="B2693" s="247" t="s">
        <v>359</v>
      </c>
      <c r="C2693" s="302" t="str">
        <f>"14934"</f>
        <v>14934</v>
      </c>
      <c r="D2693" s="247" t="s">
        <v>18</v>
      </c>
      <c r="E2693" s="248">
        <v>4</v>
      </c>
      <c r="F2693" s="249">
        <v>44280</v>
      </c>
      <c r="G2693" s="249">
        <v>46105</v>
      </c>
      <c r="H2693" s="247" t="s">
        <v>14</v>
      </c>
      <c r="I2693" s="250" t="s">
        <v>79</v>
      </c>
    </row>
    <row r="2694" spans="1:9">
      <c r="A2694" s="246">
        <v>2690</v>
      </c>
      <c r="B2694" s="247" t="s">
        <v>360</v>
      </c>
      <c r="C2694" s="302" t="str">
        <f>"14935"</f>
        <v>14935</v>
      </c>
      <c r="D2694" s="247" t="s">
        <v>18</v>
      </c>
      <c r="E2694" s="248">
        <v>5</v>
      </c>
      <c r="F2694" s="249">
        <v>44271</v>
      </c>
      <c r="G2694" s="249">
        <v>46096</v>
      </c>
      <c r="H2694" s="247" t="s">
        <v>14</v>
      </c>
      <c r="I2694" s="250" t="s">
        <v>79</v>
      </c>
    </row>
    <row r="2695" spans="1:9">
      <c r="A2695" s="246">
        <v>2691</v>
      </c>
      <c r="B2695" s="247" t="s">
        <v>154</v>
      </c>
      <c r="C2695" s="302" t="str">
        <f>"14936"</f>
        <v>14936</v>
      </c>
      <c r="D2695" s="247" t="s">
        <v>18</v>
      </c>
      <c r="E2695" s="248">
        <v>4</v>
      </c>
      <c r="F2695" s="249">
        <v>44281</v>
      </c>
      <c r="G2695" s="249">
        <v>46106</v>
      </c>
      <c r="H2695" s="247" t="s">
        <v>16</v>
      </c>
      <c r="I2695" s="250" t="s">
        <v>79</v>
      </c>
    </row>
    <row r="2696" spans="1:9">
      <c r="A2696" s="246">
        <v>2692</v>
      </c>
      <c r="B2696" s="247" t="s">
        <v>361</v>
      </c>
      <c r="C2696" s="302" t="str">
        <f>"14937"</f>
        <v>14937</v>
      </c>
      <c r="D2696" s="247" t="s">
        <v>18</v>
      </c>
      <c r="E2696" s="248">
        <v>20</v>
      </c>
      <c r="F2696" s="249">
        <v>44342</v>
      </c>
      <c r="G2696" s="249">
        <v>46167</v>
      </c>
      <c r="H2696" s="247" t="s">
        <v>84</v>
      </c>
      <c r="I2696" s="250" t="s">
        <v>79</v>
      </c>
    </row>
    <row r="2697" spans="1:9">
      <c r="A2697" s="246">
        <v>2693</v>
      </c>
      <c r="B2697" s="247" t="s">
        <v>318</v>
      </c>
      <c r="C2697" s="302" t="str">
        <f>"14940"</f>
        <v>14940</v>
      </c>
      <c r="D2697" s="247" t="s">
        <v>23</v>
      </c>
      <c r="E2697" s="248">
        <v>3</v>
      </c>
      <c r="F2697" s="249">
        <v>44309</v>
      </c>
      <c r="G2697" s="249">
        <v>44673</v>
      </c>
      <c r="H2697" s="247" t="s">
        <v>14</v>
      </c>
      <c r="I2697" s="250" t="s">
        <v>3413</v>
      </c>
    </row>
    <row r="2698" spans="1:9">
      <c r="A2698" s="246">
        <v>2694</v>
      </c>
      <c r="B2698" s="247" t="s">
        <v>3610</v>
      </c>
      <c r="C2698" s="302" t="str">
        <f>"14942"</f>
        <v>14942</v>
      </c>
      <c r="D2698" s="247" t="s">
        <v>18</v>
      </c>
      <c r="E2698" s="248">
        <v>20</v>
      </c>
      <c r="F2698" s="249">
        <v>44243</v>
      </c>
      <c r="G2698" s="249">
        <v>46068</v>
      </c>
      <c r="H2698" s="247" t="s">
        <v>84</v>
      </c>
      <c r="I2698" s="250" t="s">
        <v>3369</v>
      </c>
    </row>
    <row r="2699" spans="1:9">
      <c r="A2699" s="246">
        <v>2695</v>
      </c>
      <c r="B2699" s="247" t="s">
        <v>362</v>
      </c>
      <c r="C2699" s="302" t="str">
        <f>"14943"</f>
        <v>14943</v>
      </c>
      <c r="D2699" s="247" t="s">
        <v>18</v>
      </c>
      <c r="E2699" s="248">
        <v>8</v>
      </c>
      <c r="F2699" s="249">
        <v>44544</v>
      </c>
      <c r="G2699" s="249">
        <v>46369</v>
      </c>
      <c r="H2699" s="247" t="s">
        <v>84</v>
      </c>
      <c r="I2699" s="250" t="s">
        <v>79</v>
      </c>
    </row>
    <row r="2700" spans="1:9">
      <c r="A2700" s="246">
        <v>2696</v>
      </c>
      <c r="B2700" s="247" t="s">
        <v>362</v>
      </c>
      <c r="C2700" s="302" t="str">
        <f>"14944"</f>
        <v>14944</v>
      </c>
      <c r="D2700" s="247" t="s">
        <v>18</v>
      </c>
      <c r="E2700" s="248">
        <v>5</v>
      </c>
      <c r="F2700" s="249">
        <v>44643</v>
      </c>
      <c r="G2700" s="249">
        <v>46468</v>
      </c>
      <c r="H2700" s="247" t="s">
        <v>16</v>
      </c>
      <c r="I2700" s="250" t="s">
        <v>79</v>
      </c>
    </row>
    <row r="2701" spans="1:9">
      <c r="A2701" s="246">
        <v>2697</v>
      </c>
      <c r="B2701" s="247" t="s">
        <v>362</v>
      </c>
      <c r="C2701" s="302" t="str">
        <f>"14945"</f>
        <v>14945</v>
      </c>
      <c r="D2701" s="247" t="s">
        <v>18</v>
      </c>
      <c r="E2701" s="248">
        <v>5</v>
      </c>
      <c r="F2701" s="249">
        <v>44265</v>
      </c>
      <c r="G2701" s="249">
        <v>46090</v>
      </c>
      <c r="H2701" s="247" t="s">
        <v>14</v>
      </c>
      <c r="I2701" s="250" t="s">
        <v>79</v>
      </c>
    </row>
    <row r="2702" spans="1:9">
      <c r="A2702" s="246">
        <v>2698</v>
      </c>
      <c r="B2702" s="247" t="s">
        <v>362</v>
      </c>
      <c r="C2702" s="302" t="str">
        <f>"14946"</f>
        <v>14946</v>
      </c>
      <c r="D2702" s="247" t="s">
        <v>18</v>
      </c>
      <c r="E2702" s="248">
        <v>7</v>
      </c>
      <c r="F2702" s="249">
        <v>44265</v>
      </c>
      <c r="G2702" s="249">
        <v>46090</v>
      </c>
      <c r="H2702" s="247" t="s">
        <v>84</v>
      </c>
      <c r="I2702" s="250" t="s">
        <v>79</v>
      </c>
    </row>
    <row r="2703" spans="1:9">
      <c r="A2703" s="246">
        <v>2699</v>
      </c>
      <c r="B2703" s="247" t="s">
        <v>360</v>
      </c>
      <c r="C2703" s="302" t="str">
        <f>"14948"</f>
        <v>14948</v>
      </c>
      <c r="D2703" s="247" t="s">
        <v>18</v>
      </c>
      <c r="E2703" s="248">
        <v>5</v>
      </c>
      <c r="F2703" s="249">
        <v>44298</v>
      </c>
      <c r="G2703" s="249">
        <v>46123</v>
      </c>
      <c r="H2703" s="247" t="s">
        <v>22</v>
      </c>
      <c r="I2703" s="250" t="s">
        <v>79</v>
      </c>
    </row>
    <row r="2704" spans="1:9">
      <c r="A2704" s="246">
        <v>2700</v>
      </c>
      <c r="B2704" s="247" t="s">
        <v>360</v>
      </c>
      <c r="C2704" s="302" t="str">
        <f>"14949"</f>
        <v>14949</v>
      </c>
      <c r="D2704" s="247" t="s">
        <v>18</v>
      </c>
      <c r="E2704" s="248">
        <v>5</v>
      </c>
      <c r="F2704" s="249">
        <v>44298</v>
      </c>
      <c r="G2704" s="249">
        <v>46123</v>
      </c>
      <c r="H2704" s="247" t="s">
        <v>22</v>
      </c>
      <c r="I2704" s="250" t="s">
        <v>79</v>
      </c>
    </row>
    <row r="2705" spans="1:9">
      <c r="A2705" s="246">
        <v>2701</v>
      </c>
      <c r="B2705" s="247" t="s">
        <v>360</v>
      </c>
      <c r="C2705" s="302" t="str">
        <f>"14950"</f>
        <v>14950</v>
      </c>
      <c r="D2705" s="247" t="s">
        <v>18</v>
      </c>
      <c r="E2705" s="248">
        <v>5</v>
      </c>
      <c r="F2705" s="249">
        <v>44298</v>
      </c>
      <c r="G2705" s="249">
        <v>46123</v>
      </c>
      <c r="H2705" s="247" t="s">
        <v>22</v>
      </c>
      <c r="I2705" s="250" t="s">
        <v>79</v>
      </c>
    </row>
    <row r="2706" spans="1:9">
      <c r="A2706" s="246">
        <v>2702</v>
      </c>
      <c r="B2706" s="247" t="s">
        <v>3611</v>
      </c>
      <c r="C2706" s="302" t="str">
        <f>"14951"</f>
        <v>14951</v>
      </c>
      <c r="D2706" s="247" t="s">
        <v>18</v>
      </c>
      <c r="E2706" s="248">
        <v>8</v>
      </c>
      <c r="F2706" s="249">
        <v>44281</v>
      </c>
      <c r="G2706" s="249">
        <v>46106</v>
      </c>
      <c r="H2706" s="247" t="s">
        <v>32</v>
      </c>
      <c r="I2706" s="250" t="s">
        <v>437</v>
      </c>
    </row>
    <row r="2707" spans="1:9">
      <c r="A2707" s="246">
        <v>2703</v>
      </c>
      <c r="B2707" s="247" t="s">
        <v>363</v>
      </c>
      <c r="C2707" s="302" t="str">
        <f>"14952"</f>
        <v>14952</v>
      </c>
      <c r="D2707" s="247" t="s">
        <v>18</v>
      </c>
      <c r="E2707" s="248">
        <v>36</v>
      </c>
      <c r="F2707" s="249">
        <v>44237</v>
      </c>
      <c r="G2707" s="249">
        <v>45578</v>
      </c>
      <c r="H2707" s="247" t="s">
        <v>14</v>
      </c>
      <c r="I2707" s="250" t="s">
        <v>79</v>
      </c>
    </row>
    <row r="2708" spans="1:9">
      <c r="A2708" s="246">
        <v>2704</v>
      </c>
      <c r="B2708" s="247" t="s">
        <v>350</v>
      </c>
      <c r="C2708" s="302" t="str">
        <f>"14956"</f>
        <v>14956</v>
      </c>
      <c r="D2708" s="247" t="s">
        <v>18</v>
      </c>
      <c r="E2708" s="248">
        <v>10</v>
      </c>
      <c r="F2708" s="249">
        <v>44253</v>
      </c>
      <c r="G2708" s="249">
        <v>46078</v>
      </c>
      <c r="H2708" s="247" t="s">
        <v>16</v>
      </c>
      <c r="I2708" s="250" t="s">
        <v>448</v>
      </c>
    </row>
    <row r="2709" spans="1:9">
      <c r="A2709" s="246">
        <v>2705</v>
      </c>
      <c r="B2709" s="247" t="s">
        <v>362</v>
      </c>
      <c r="C2709" s="302" t="str">
        <f>"14958"</f>
        <v>14958</v>
      </c>
      <c r="D2709" s="247" t="s">
        <v>18</v>
      </c>
      <c r="E2709" s="248">
        <v>10</v>
      </c>
      <c r="F2709" s="249">
        <v>44265</v>
      </c>
      <c r="G2709" s="249">
        <v>46090</v>
      </c>
      <c r="H2709" s="247" t="s">
        <v>56</v>
      </c>
      <c r="I2709" s="250" t="s">
        <v>79</v>
      </c>
    </row>
    <row r="2710" spans="1:9">
      <c r="A2710" s="246">
        <v>2706</v>
      </c>
      <c r="B2710" s="247" t="s">
        <v>364</v>
      </c>
      <c r="C2710" s="302" t="str">
        <f>"14960"</f>
        <v>14960</v>
      </c>
      <c r="D2710" s="247" t="s">
        <v>18</v>
      </c>
      <c r="E2710" s="248">
        <v>1</v>
      </c>
      <c r="F2710" s="249">
        <v>44299</v>
      </c>
      <c r="G2710" s="249">
        <v>46124</v>
      </c>
      <c r="H2710" s="247" t="s">
        <v>277</v>
      </c>
      <c r="I2710" s="250" t="s">
        <v>79</v>
      </c>
    </row>
    <row r="2711" spans="1:9">
      <c r="A2711" s="246">
        <v>2707</v>
      </c>
      <c r="B2711" s="247" t="s">
        <v>133</v>
      </c>
      <c r="C2711" s="302" t="str">
        <f>"14961"</f>
        <v>14961</v>
      </c>
      <c r="D2711" s="247" t="s">
        <v>18</v>
      </c>
      <c r="E2711" s="248">
        <v>3</v>
      </c>
      <c r="F2711" s="249">
        <v>44342</v>
      </c>
      <c r="G2711" s="249">
        <v>46167</v>
      </c>
      <c r="H2711" s="247" t="s">
        <v>14</v>
      </c>
      <c r="I2711" s="250" t="s">
        <v>79</v>
      </c>
    </row>
    <row r="2712" spans="1:9">
      <c r="A2712" s="246">
        <v>2708</v>
      </c>
      <c r="B2712" s="247" t="s">
        <v>365</v>
      </c>
      <c r="C2712" s="302" t="str">
        <f>"14963"</f>
        <v>14963</v>
      </c>
      <c r="D2712" s="247" t="s">
        <v>18</v>
      </c>
      <c r="E2712" s="248">
        <v>2</v>
      </c>
      <c r="F2712" s="249">
        <v>44309</v>
      </c>
      <c r="G2712" s="249">
        <v>46134</v>
      </c>
      <c r="H2712" s="247" t="s">
        <v>219</v>
      </c>
      <c r="I2712" s="250" t="s">
        <v>79</v>
      </c>
    </row>
    <row r="2713" spans="1:9">
      <c r="A2713" s="246">
        <v>2709</v>
      </c>
      <c r="B2713" s="247" t="s">
        <v>366</v>
      </c>
      <c r="C2713" s="302" t="str">
        <f>"14964"</f>
        <v>14964</v>
      </c>
      <c r="D2713" s="247" t="s">
        <v>18</v>
      </c>
      <c r="E2713" s="248">
        <v>4</v>
      </c>
      <c r="F2713" s="249">
        <v>44341</v>
      </c>
      <c r="G2713" s="249">
        <v>46166</v>
      </c>
      <c r="H2713" s="247" t="s">
        <v>16</v>
      </c>
      <c r="I2713" s="250" t="s">
        <v>79</v>
      </c>
    </row>
    <row r="2714" spans="1:9">
      <c r="A2714" s="246">
        <v>2710</v>
      </c>
      <c r="B2714" s="247" t="s">
        <v>367</v>
      </c>
      <c r="C2714" s="302" t="str">
        <f>"14965"</f>
        <v>14965</v>
      </c>
      <c r="D2714" s="247" t="s">
        <v>18</v>
      </c>
      <c r="E2714" s="248">
        <v>8</v>
      </c>
      <c r="F2714" s="249">
        <v>44294</v>
      </c>
      <c r="G2714" s="249">
        <v>46119</v>
      </c>
      <c r="H2714" s="247" t="s">
        <v>14</v>
      </c>
      <c r="I2714" s="250" t="s">
        <v>79</v>
      </c>
    </row>
    <row r="2715" spans="1:9">
      <c r="A2715" s="246">
        <v>2711</v>
      </c>
      <c r="B2715" s="247" t="s">
        <v>368</v>
      </c>
      <c r="C2715" s="302" t="str">
        <f>"14966"</f>
        <v>14966</v>
      </c>
      <c r="D2715" s="247" t="s">
        <v>18</v>
      </c>
      <c r="E2715" s="248">
        <v>3</v>
      </c>
      <c r="F2715" s="249">
        <v>44242</v>
      </c>
      <c r="G2715" s="249">
        <v>46067</v>
      </c>
      <c r="H2715" s="247" t="s">
        <v>14</v>
      </c>
      <c r="I2715" s="250" t="s">
        <v>79</v>
      </c>
    </row>
    <row r="2716" spans="1:9">
      <c r="A2716" s="246">
        <v>2712</v>
      </c>
      <c r="B2716" s="247" t="s">
        <v>368</v>
      </c>
      <c r="C2716" s="302" t="str">
        <f>"14967"</f>
        <v>14967</v>
      </c>
      <c r="D2716" s="247" t="s">
        <v>18</v>
      </c>
      <c r="E2716" s="248">
        <v>13</v>
      </c>
      <c r="F2716" s="249">
        <v>44242</v>
      </c>
      <c r="G2716" s="249">
        <v>46067</v>
      </c>
      <c r="H2716" s="247" t="s">
        <v>16</v>
      </c>
      <c r="I2716" s="250" t="s">
        <v>79</v>
      </c>
    </row>
    <row r="2717" spans="1:9">
      <c r="A2717" s="246">
        <v>2713</v>
      </c>
      <c r="B2717" s="247" t="s">
        <v>368</v>
      </c>
      <c r="C2717" s="302" t="str">
        <f>"14968"</f>
        <v>14968</v>
      </c>
      <c r="D2717" s="247" t="s">
        <v>18</v>
      </c>
      <c r="E2717" s="248">
        <v>16</v>
      </c>
      <c r="F2717" s="249">
        <v>44242</v>
      </c>
      <c r="G2717" s="249">
        <v>46067</v>
      </c>
      <c r="H2717" s="247" t="s">
        <v>14</v>
      </c>
      <c r="I2717" s="250" t="s">
        <v>79</v>
      </c>
    </row>
    <row r="2718" spans="1:9">
      <c r="A2718" s="246">
        <v>2714</v>
      </c>
      <c r="B2718" s="247" t="s">
        <v>368</v>
      </c>
      <c r="C2718" s="302" t="str">
        <f>"14969"</f>
        <v>14969</v>
      </c>
      <c r="D2718" s="247" t="s">
        <v>18</v>
      </c>
      <c r="E2718" s="248">
        <v>47</v>
      </c>
      <c r="F2718" s="249">
        <v>44270</v>
      </c>
      <c r="G2718" s="249">
        <v>46095</v>
      </c>
      <c r="H2718" s="247" t="s">
        <v>70</v>
      </c>
      <c r="I2718" s="250" t="s">
        <v>79</v>
      </c>
    </row>
    <row r="2719" spans="1:9">
      <c r="A2719" s="246">
        <v>2715</v>
      </c>
      <c r="B2719" s="247" t="s">
        <v>369</v>
      </c>
      <c r="C2719" s="302" t="str">
        <f>"14971"</f>
        <v>14971</v>
      </c>
      <c r="D2719" s="247" t="s">
        <v>18</v>
      </c>
      <c r="E2719" s="248">
        <v>10</v>
      </c>
      <c r="F2719" s="249">
        <v>44236</v>
      </c>
      <c r="G2719" s="249">
        <v>46061</v>
      </c>
      <c r="H2719" s="247" t="s">
        <v>16</v>
      </c>
      <c r="I2719" s="250" t="s">
        <v>79</v>
      </c>
    </row>
    <row r="2720" spans="1:9">
      <c r="A2720" s="246">
        <v>2716</v>
      </c>
      <c r="B2720" s="247" t="s">
        <v>369</v>
      </c>
      <c r="C2720" s="302" t="str">
        <f>"14972"</f>
        <v>14972</v>
      </c>
      <c r="D2720" s="247" t="s">
        <v>18</v>
      </c>
      <c r="E2720" s="248">
        <v>5</v>
      </c>
      <c r="F2720" s="249">
        <v>44236</v>
      </c>
      <c r="G2720" s="249">
        <v>46061</v>
      </c>
      <c r="H2720" s="247" t="s">
        <v>219</v>
      </c>
      <c r="I2720" s="250" t="s">
        <v>79</v>
      </c>
    </row>
    <row r="2721" spans="1:9">
      <c r="A2721" s="246">
        <v>2717</v>
      </c>
      <c r="B2721" s="247" t="s">
        <v>369</v>
      </c>
      <c r="C2721" s="302" t="str">
        <f>"14973"</f>
        <v>14973</v>
      </c>
      <c r="D2721" s="247" t="s">
        <v>18</v>
      </c>
      <c r="E2721" s="248">
        <v>23</v>
      </c>
      <c r="F2721" s="249">
        <v>44236</v>
      </c>
      <c r="G2721" s="249">
        <v>46061</v>
      </c>
      <c r="H2721" s="247" t="s">
        <v>16</v>
      </c>
      <c r="I2721" s="250" t="s">
        <v>79</v>
      </c>
    </row>
    <row r="2722" spans="1:9">
      <c r="A2722" s="246">
        <v>2718</v>
      </c>
      <c r="B2722" s="247" t="s">
        <v>369</v>
      </c>
      <c r="C2722" s="302" t="str">
        <f>"14974"</f>
        <v>14974</v>
      </c>
      <c r="D2722" s="247" t="s">
        <v>18</v>
      </c>
      <c r="E2722" s="248">
        <v>3</v>
      </c>
      <c r="F2722" s="249">
        <v>44236</v>
      </c>
      <c r="G2722" s="249">
        <v>46061</v>
      </c>
      <c r="H2722" s="247" t="s">
        <v>14</v>
      </c>
      <c r="I2722" s="250" t="s">
        <v>79</v>
      </c>
    </row>
    <row r="2723" spans="1:9">
      <c r="A2723" s="246">
        <v>2719</v>
      </c>
      <c r="B2723" s="247" t="s">
        <v>269</v>
      </c>
      <c r="C2723" s="302" t="str">
        <f>"14977"</f>
        <v>14977</v>
      </c>
      <c r="D2723" s="247" t="s">
        <v>23</v>
      </c>
      <c r="E2723" s="248">
        <v>4</v>
      </c>
      <c r="F2723" s="249">
        <v>44288</v>
      </c>
      <c r="G2723" s="249">
        <v>44652</v>
      </c>
      <c r="H2723" s="247" t="s">
        <v>14</v>
      </c>
      <c r="I2723" s="250" t="s">
        <v>3413</v>
      </c>
    </row>
    <row r="2724" spans="1:9">
      <c r="A2724" s="246">
        <v>2720</v>
      </c>
      <c r="B2724" s="247" t="s">
        <v>269</v>
      </c>
      <c r="C2724" s="302" t="str">
        <f>"14978"</f>
        <v>14978</v>
      </c>
      <c r="D2724" s="247" t="s">
        <v>23</v>
      </c>
      <c r="E2724" s="248">
        <v>2</v>
      </c>
      <c r="F2724" s="249">
        <v>44288</v>
      </c>
      <c r="G2724" s="249">
        <v>44652</v>
      </c>
      <c r="H2724" s="247" t="s">
        <v>14</v>
      </c>
      <c r="I2724" s="250" t="s">
        <v>3413</v>
      </c>
    </row>
    <row r="2725" spans="1:9">
      <c r="A2725" s="252">
        <v>2721</v>
      </c>
      <c r="B2725" s="253" t="s">
        <v>550</v>
      </c>
      <c r="C2725" s="303" t="str">
        <f>"14980"</f>
        <v>14980</v>
      </c>
      <c r="D2725" s="253" t="s">
        <v>18</v>
      </c>
      <c r="E2725" s="254">
        <v>1</v>
      </c>
      <c r="F2725" s="253"/>
      <c r="G2725" s="253"/>
      <c r="H2725" s="253" t="s">
        <v>16</v>
      </c>
      <c r="I2725" s="256" t="s">
        <v>540</v>
      </c>
    </row>
    <row r="2726" spans="1:9">
      <c r="A2726" s="246">
        <v>2722</v>
      </c>
      <c r="B2726" s="247" t="s">
        <v>120</v>
      </c>
      <c r="C2726" s="302" t="str">
        <f>"14981"</f>
        <v>14981</v>
      </c>
      <c r="D2726" s="247" t="s">
        <v>23</v>
      </c>
      <c r="E2726" s="248">
        <v>3</v>
      </c>
      <c r="F2726" s="249">
        <v>44307</v>
      </c>
      <c r="G2726" s="249">
        <v>44671</v>
      </c>
      <c r="H2726" s="247" t="s">
        <v>16</v>
      </c>
      <c r="I2726" s="250" t="s">
        <v>433</v>
      </c>
    </row>
    <row r="2727" spans="1:9">
      <c r="A2727" s="246">
        <v>2723</v>
      </c>
      <c r="B2727" s="247" t="s">
        <v>120</v>
      </c>
      <c r="C2727" s="302" t="str">
        <f>"14982"</f>
        <v>14982</v>
      </c>
      <c r="D2727" s="247" t="s">
        <v>23</v>
      </c>
      <c r="E2727" s="248">
        <v>2</v>
      </c>
      <c r="F2727" s="249">
        <v>44307</v>
      </c>
      <c r="G2727" s="249">
        <v>44671</v>
      </c>
      <c r="H2727" s="247" t="s">
        <v>16</v>
      </c>
      <c r="I2727" s="250" t="s">
        <v>433</v>
      </c>
    </row>
    <row r="2728" spans="1:9">
      <c r="A2728" s="246">
        <v>2724</v>
      </c>
      <c r="B2728" s="247" t="s">
        <v>2020</v>
      </c>
      <c r="C2728" s="302" t="str">
        <f>"14983"</f>
        <v>14983</v>
      </c>
      <c r="D2728" s="247" t="s">
        <v>23</v>
      </c>
      <c r="E2728" s="248">
        <v>1</v>
      </c>
      <c r="F2728" s="249">
        <v>44473</v>
      </c>
      <c r="G2728" s="249">
        <v>44837</v>
      </c>
      <c r="H2728" s="247" t="s">
        <v>14</v>
      </c>
      <c r="I2728" s="250" t="s">
        <v>3413</v>
      </c>
    </row>
    <row r="2729" spans="1:9">
      <c r="A2729" s="246">
        <v>2725</v>
      </c>
      <c r="B2729" s="247" t="s">
        <v>368</v>
      </c>
      <c r="C2729" s="302" t="str">
        <f>"14985"</f>
        <v>14985</v>
      </c>
      <c r="D2729" s="247" t="s">
        <v>18</v>
      </c>
      <c r="E2729" s="248">
        <v>8</v>
      </c>
      <c r="F2729" s="249">
        <v>44252</v>
      </c>
      <c r="G2729" s="249">
        <v>46077</v>
      </c>
      <c r="H2729" s="247" t="s">
        <v>16</v>
      </c>
      <c r="I2729" s="250" t="s">
        <v>79</v>
      </c>
    </row>
    <row r="2730" spans="1:9">
      <c r="A2730" s="246">
        <v>2726</v>
      </c>
      <c r="B2730" s="247" t="s">
        <v>370</v>
      </c>
      <c r="C2730" s="302" t="str">
        <f>"14986"</f>
        <v>14986</v>
      </c>
      <c r="D2730" s="247" t="s">
        <v>18</v>
      </c>
      <c r="E2730" s="248">
        <v>2</v>
      </c>
      <c r="F2730" s="249">
        <v>44252</v>
      </c>
      <c r="G2730" s="249">
        <v>46077</v>
      </c>
      <c r="H2730" s="247" t="s">
        <v>31</v>
      </c>
      <c r="I2730" s="250" t="s">
        <v>79</v>
      </c>
    </row>
    <row r="2731" spans="1:9">
      <c r="A2731" s="246">
        <v>2727</v>
      </c>
      <c r="B2731" s="247" t="s">
        <v>370</v>
      </c>
      <c r="C2731" s="302" t="str">
        <f>"14987"</f>
        <v>14987</v>
      </c>
      <c r="D2731" s="247" t="s">
        <v>18</v>
      </c>
      <c r="E2731" s="248">
        <v>6</v>
      </c>
      <c r="F2731" s="249">
        <v>44252</v>
      </c>
      <c r="G2731" s="249">
        <v>46077</v>
      </c>
      <c r="H2731" s="247" t="s">
        <v>32</v>
      </c>
      <c r="I2731" s="250" t="s">
        <v>79</v>
      </c>
    </row>
    <row r="2732" spans="1:9">
      <c r="A2732" s="246">
        <v>2728</v>
      </c>
      <c r="B2732" s="247" t="s">
        <v>370</v>
      </c>
      <c r="C2732" s="302" t="str">
        <f>"14988"</f>
        <v>14988</v>
      </c>
      <c r="D2732" s="247" t="s">
        <v>18</v>
      </c>
      <c r="E2732" s="248">
        <v>2</v>
      </c>
      <c r="F2732" s="249">
        <v>44252</v>
      </c>
      <c r="G2732" s="249">
        <v>46077</v>
      </c>
      <c r="H2732" s="247" t="s">
        <v>31</v>
      </c>
      <c r="I2732" s="250" t="s">
        <v>79</v>
      </c>
    </row>
    <row r="2733" spans="1:9">
      <c r="A2733" s="246">
        <v>2729</v>
      </c>
      <c r="B2733" s="247" t="s">
        <v>371</v>
      </c>
      <c r="C2733" s="302" t="str">
        <f>"14990"</f>
        <v>14990</v>
      </c>
      <c r="D2733" s="247" t="s">
        <v>18</v>
      </c>
      <c r="E2733" s="248">
        <v>7</v>
      </c>
      <c r="F2733" s="249">
        <v>44231</v>
      </c>
      <c r="G2733" s="249">
        <v>46056</v>
      </c>
      <c r="H2733" s="247" t="s">
        <v>14</v>
      </c>
      <c r="I2733" s="250" t="s">
        <v>79</v>
      </c>
    </row>
    <row r="2734" spans="1:9">
      <c r="A2734" s="246">
        <v>2730</v>
      </c>
      <c r="B2734" s="247" t="s">
        <v>358</v>
      </c>
      <c r="C2734" s="302" t="str">
        <f>"14991"</f>
        <v>14991</v>
      </c>
      <c r="D2734" s="247" t="s">
        <v>18</v>
      </c>
      <c r="E2734" s="248">
        <v>24</v>
      </c>
      <c r="F2734" s="249">
        <v>44239</v>
      </c>
      <c r="G2734" s="249">
        <v>46064</v>
      </c>
      <c r="H2734" s="247" t="s">
        <v>24</v>
      </c>
      <c r="I2734" s="250" t="s">
        <v>79</v>
      </c>
    </row>
    <row r="2735" spans="1:9">
      <c r="A2735" s="246">
        <v>2731</v>
      </c>
      <c r="B2735" s="247" t="s">
        <v>372</v>
      </c>
      <c r="C2735" s="302" t="str">
        <f>"14992"</f>
        <v>14992</v>
      </c>
      <c r="D2735" s="247" t="s">
        <v>18</v>
      </c>
      <c r="E2735" s="248">
        <v>15</v>
      </c>
      <c r="F2735" s="249">
        <v>44253</v>
      </c>
      <c r="G2735" s="249">
        <v>46078</v>
      </c>
      <c r="H2735" s="247" t="s">
        <v>22</v>
      </c>
      <c r="I2735" s="250" t="s">
        <v>79</v>
      </c>
    </row>
    <row r="2736" spans="1:9">
      <c r="A2736" s="246">
        <v>2732</v>
      </c>
      <c r="B2736" s="247" t="s">
        <v>372</v>
      </c>
      <c r="C2736" s="302" t="str">
        <f>"14993"</f>
        <v>14993</v>
      </c>
      <c r="D2736" s="247" t="s">
        <v>18</v>
      </c>
      <c r="E2736" s="248">
        <v>10</v>
      </c>
      <c r="F2736" s="249">
        <v>44253</v>
      </c>
      <c r="G2736" s="249">
        <v>46078</v>
      </c>
      <c r="H2736" s="247" t="s">
        <v>22</v>
      </c>
      <c r="I2736" s="250" t="s">
        <v>79</v>
      </c>
    </row>
    <row r="2737" spans="1:9">
      <c r="A2737" s="246">
        <v>2733</v>
      </c>
      <c r="B2737" s="247" t="s">
        <v>373</v>
      </c>
      <c r="C2737" s="302" t="str">
        <f>"14994"</f>
        <v>14994</v>
      </c>
      <c r="D2737" s="247" t="s">
        <v>18</v>
      </c>
      <c r="E2737" s="248">
        <v>39</v>
      </c>
      <c r="F2737" s="249">
        <v>44309</v>
      </c>
      <c r="G2737" s="249">
        <v>46134</v>
      </c>
      <c r="H2737" s="247" t="s">
        <v>84</v>
      </c>
      <c r="I2737" s="250" t="s">
        <v>79</v>
      </c>
    </row>
    <row r="2738" spans="1:9">
      <c r="A2738" s="246">
        <v>2734</v>
      </c>
      <c r="B2738" s="247" t="s">
        <v>374</v>
      </c>
      <c r="C2738" s="302" t="str">
        <f>"14995"</f>
        <v>14995</v>
      </c>
      <c r="D2738" s="247" t="s">
        <v>18</v>
      </c>
      <c r="E2738" s="248">
        <v>8</v>
      </c>
      <c r="F2738" s="249">
        <v>44239</v>
      </c>
      <c r="G2738" s="249">
        <v>46064</v>
      </c>
      <c r="H2738" s="247" t="s">
        <v>14</v>
      </c>
      <c r="I2738" s="250" t="s">
        <v>79</v>
      </c>
    </row>
    <row r="2739" spans="1:9">
      <c r="A2739" s="246">
        <v>2735</v>
      </c>
      <c r="B2739" s="247" t="s">
        <v>267</v>
      </c>
      <c r="C2739" s="302" t="str">
        <f>"14997"</f>
        <v>14997</v>
      </c>
      <c r="D2739" s="247" t="s">
        <v>18</v>
      </c>
      <c r="E2739" s="248">
        <v>4</v>
      </c>
      <c r="F2739" s="249">
        <v>44299</v>
      </c>
      <c r="G2739" s="249">
        <v>46124</v>
      </c>
      <c r="H2739" s="247" t="s">
        <v>16</v>
      </c>
      <c r="I2739" s="250" t="s">
        <v>79</v>
      </c>
    </row>
    <row r="2740" spans="1:9">
      <c r="A2740" s="246">
        <v>2736</v>
      </c>
      <c r="B2740" s="247" t="s">
        <v>375</v>
      </c>
      <c r="C2740" s="302" t="str">
        <f>"15001"</f>
        <v>15001</v>
      </c>
      <c r="D2740" s="247" t="s">
        <v>18</v>
      </c>
      <c r="E2740" s="248">
        <v>54</v>
      </c>
      <c r="F2740" s="249">
        <v>44299</v>
      </c>
      <c r="G2740" s="249">
        <v>46124</v>
      </c>
      <c r="H2740" s="247" t="s">
        <v>56</v>
      </c>
      <c r="I2740" s="250" t="s">
        <v>79</v>
      </c>
    </row>
    <row r="2741" spans="1:9">
      <c r="A2741" s="246">
        <v>2737</v>
      </c>
      <c r="B2741" s="247" t="s">
        <v>376</v>
      </c>
      <c r="C2741" s="302" t="str">
        <f>"15002"</f>
        <v>15002</v>
      </c>
      <c r="D2741" s="247" t="s">
        <v>18</v>
      </c>
      <c r="E2741" s="248">
        <v>2</v>
      </c>
      <c r="F2741" s="249">
        <v>44309</v>
      </c>
      <c r="G2741" s="249">
        <v>46134</v>
      </c>
      <c r="H2741" s="247" t="s">
        <v>19</v>
      </c>
      <c r="I2741" s="250" t="s">
        <v>79</v>
      </c>
    </row>
    <row r="2742" spans="1:9">
      <c r="A2742" s="246">
        <v>2738</v>
      </c>
      <c r="B2742" s="247" t="s">
        <v>308</v>
      </c>
      <c r="C2742" s="302" t="str">
        <f>"15003"</f>
        <v>15003</v>
      </c>
      <c r="D2742" s="247" t="s">
        <v>18</v>
      </c>
      <c r="E2742" s="248">
        <v>9</v>
      </c>
      <c r="F2742" s="249">
        <v>44299</v>
      </c>
      <c r="G2742" s="249">
        <v>46124</v>
      </c>
      <c r="H2742" s="247" t="s">
        <v>84</v>
      </c>
      <c r="I2742" s="250" t="s">
        <v>79</v>
      </c>
    </row>
    <row r="2743" spans="1:9">
      <c r="A2743" s="246">
        <v>2739</v>
      </c>
      <c r="B2743" s="247" t="s">
        <v>3612</v>
      </c>
      <c r="C2743" s="302" t="str">
        <f>"15004"</f>
        <v>15004</v>
      </c>
      <c r="D2743" s="247" t="s">
        <v>18</v>
      </c>
      <c r="E2743" s="248">
        <v>2</v>
      </c>
      <c r="F2743" s="249">
        <v>44300</v>
      </c>
      <c r="G2743" s="249">
        <v>46125</v>
      </c>
      <c r="H2743" s="247" t="s">
        <v>22</v>
      </c>
      <c r="I2743" s="250" t="s">
        <v>437</v>
      </c>
    </row>
    <row r="2744" spans="1:9">
      <c r="A2744" s="246">
        <v>2740</v>
      </c>
      <c r="B2744" s="247" t="s">
        <v>377</v>
      </c>
      <c r="C2744" s="302" t="str">
        <f>"15005"</f>
        <v>15005</v>
      </c>
      <c r="D2744" s="247" t="s">
        <v>18</v>
      </c>
      <c r="E2744" s="248">
        <v>3</v>
      </c>
      <c r="F2744" s="249">
        <v>44560</v>
      </c>
      <c r="G2744" s="249">
        <v>46385</v>
      </c>
      <c r="H2744" s="247" t="s">
        <v>16</v>
      </c>
      <c r="I2744" s="250" t="s">
        <v>79</v>
      </c>
    </row>
    <row r="2745" spans="1:9">
      <c r="A2745" s="246">
        <v>2741</v>
      </c>
      <c r="B2745" s="247" t="s">
        <v>377</v>
      </c>
      <c r="C2745" s="302" t="str">
        <f>"15006"</f>
        <v>15006</v>
      </c>
      <c r="D2745" s="247" t="s">
        <v>23</v>
      </c>
      <c r="E2745" s="248">
        <v>3</v>
      </c>
      <c r="F2745" s="249">
        <v>44762</v>
      </c>
      <c r="G2745" s="249">
        <v>45126</v>
      </c>
      <c r="H2745" s="247" t="s">
        <v>16</v>
      </c>
      <c r="I2745" s="250" t="s">
        <v>79</v>
      </c>
    </row>
    <row r="2746" spans="1:9">
      <c r="A2746" s="252">
        <v>2742</v>
      </c>
      <c r="B2746" s="253" t="s">
        <v>551</v>
      </c>
      <c r="C2746" s="303" t="str">
        <f>"15007"</f>
        <v>15007</v>
      </c>
      <c r="D2746" s="253" t="s">
        <v>18</v>
      </c>
      <c r="E2746" s="254">
        <v>2</v>
      </c>
      <c r="F2746" s="253"/>
      <c r="G2746" s="253"/>
      <c r="H2746" s="253" t="s">
        <v>22</v>
      </c>
      <c r="I2746" s="256" t="s">
        <v>540</v>
      </c>
    </row>
    <row r="2747" spans="1:9">
      <c r="A2747" s="246">
        <v>2743</v>
      </c>
      <c r="B2747" s="247" t="s">
        <v>378</v>
      </c>
      <c r="C2747" s="302" t="str">
        <f>"15008"</f>
        <v>15008</v>
      </c>
      <c r="D2747" s="247" t="s">
        <v>23</v>
      </c>
      <c r="E2747" s="248">
        <v>4</v>
      </c>
      <c r="F2747" s="249">
        <v>44411</v>
      </c>
      <c r="G2747" s="249">
        <v>44775</v>
      </c>
      <c r="H2747" s="247" t="s">
        <v>14</v>
      </c>
      <c r="I2747" s="250" t="s">
        <v>433</v>
      </c>
    </row>
    <row r="2748" spans="1:9">
      <c r="A2748" s="246">
        <v>2744</v>
      </c>
      <c r="B2748" s="247" t="s">
        <v>378</v>
      </c>
      <c r="C2748" s="302" t="str">
        <f>"15009"</f>
        <v>15009</v>
      </c>
      <c r="D2748" s="247" t="s">
        <v>23</v>
      </c>
      <c r="E2748" s="248">
        <v>4</v>
      </c>
      <c r="F2748" s="249">
        <v>44655</v>
      </c>
      <c r="G2748" s="249">
        <v>45019</v>
      </c>
      <c r="H2748" s="247" t="s">
        <v>16</v>
      </c>
      <c r="I2748" s="250" t="s">
        <v>79</v>
      </c>
    </row>
    <row r="2749" spans="1:9">
      <c r="A2749" s="246">
        <v>2745</v>
      </c>
      <c r="B2749" s="247" t="s">
        <v>378</v>
      </c>
      <c r="C2749" s="302" t="str">
        <f>"15010"</f>
        <v>15010</v>
      </c>
      <c r="D2749" s="247" t="s">
        <v>18</v>
      </c>
      <c r="E2749" s="248">
        <v>4</v>
      </c>
      <c r="F2749" s="249">
        <v>44299</v>
      </c>
      <c r="G2749" s="249">
        <v>46124</v>
      </c>
      <c r="H2749" s="247" t="s">
        <v>16</v>
      </c>
      <c r="I2749" s="250" t="s">
        <v>79</v>
      </c>
    </row>
    <row r="2750" spans="1:9">
      <c r="A2750" s="246">
        <v>2746</v>
      </c>
      <c r="B2750" s="247" t="s">
        <v>378</v>
      </c>
      <c r="C2750" s="302" t="str">
        <f>"15011"</f>
        <v>15011</v>
      </c>
      <c r="D2750" s="247" t="s">
        <v>18</v>
      </c>
      <c r="E2750" s="248">
        <v>10</v>
      </c>
      <c r="F2750" s="249">
        <v>44299</v>
      </c>
      <c r="G2750" s="249">
        <v>46124</v>
      </c>
      <c r="H2750" s="247" t="s">
        <v>16</v>
      </c>
      <c r="I2750" s="250" t="s">
        <v>79</v>
      </c>
    </row>
    <row r="2751" spans="1:9">
      <c r="A2751" s="246">
        <v>2747</v>
      </c>
      <c r="B2751" s="247" t="s">
        <v>379</v>
      </c>
      <c r="C2751" s="302" t="str">
        <f>"15012"</f>
        <v>15012</v>
      </c>
      <c r="D2751" s="247" t="s">
        <v>18</v>
      </c>
      <c r="E2751" s="248">
        <v>5</v>
      </c>
      <c r="F2751" s="249">
        <v>44309</v>
      </c>
      <c r="G2751" s="249">
        <v>46134</v>
      </c>
      <c r="H2751" s="247" t="s">
        <v>14</v>
      </c>
      <c r="I2751" s="250" t="s">
        <v>79</v>
      </c>
    </row>
    <row r="2752" spans="1:9">
      <c r="A2752" s="246">
        <v>2748</v>
      </c>
      <c r="B2752" s="247" t="s">
        <v>380</v>
      </c>
      <c r="C2752" s="302" t="str">
        <f>"15013"</f>
        <v>15013</v>
      </c>
      <c r="D2752" s="247" t="s">
        <v>18</v>
      </c>
      <c r="E2752" s="248">
        <v>12</v>
      </c>
      <c r="F2752" s="249">
        <v>44270</v>
      </c>
      <c r="G2752" s="249">
        <v>46095</v>
      </c>
      <c r="H2752" s="247" t="s">
        <v>16</v>
      </c>
      <c r="I2752" s="250" t="s">
        <v>79</v>
      </c>
    </row>
    <row r="2753" spans="1:9">
      <c r="A2753" s="246">
        <v>2749</v>
      </c>
      <c r="B2753" s="247" t="s">
        <v>380</v>
      </c>
      <c r="C2753" s="302" t="str">
        <f>"15014"</f>
        <v>15014</v>
      </c>
      <c r="D2753" s="247" t="s">
        <v>18</v>
      </c>
      <c r="E2753" s="248">
        <v>6</v>
      </c>
      <c r="F2753" s="249">
        <v>44270</v>
      </c>
      <c r="G2753" s="249">
        <v>46095</v>
      </c>
      <c r="H2753" s="247" t="s">
        <v>16</v>
      </c>
      <c r="I2753" s="250" t="s">
        <v>79</v>
      </c>
    </row>
    <row r="2754" spans="1:9">
      <c r="A2754" s="246">
        <v>2750</v>
      </c>
      <c r="B2754" s="247" t="s">
        <v>555</v>
      </c>
      <c r="C2754" s="302" t="str">
        <f>"15015"</f>
        <v>15015</v>
      </c>
      <c r="D2754" s="247" t="s">
        <v>18</v>
      </c>
      <c r="E2754" s="248">
        <v>32</v>
      </c>
      <c r="F2754" s="249">
        <v>44313</v>
      </c>
      <c r="G2754" s="249">
        <v>46138</v>
      </c>
      <c r="H2754" s="247" t="s">
        <v>56</v>
      </c>
      <c r="I2754" s="250" t="s">
        <v>448</v>
      </c>
    </row>
    <row r="2755" spans="1:9">
      <c r="A2755" s="246">
        <v>2751</v>
      </c>
      <c r="B2755" s="247" t="s">
        <v>307</v>
      </c>
      <c r="C2755" s="302" t="str">
        <f>"15019"</f>
        <v>15019</v>
      </c>
      <c r="D2755" s="247" t="s">
        <v>18</v>
      </c>
      <c r="E2755" s="248">
        <v>4</v>
      </c>
      <c r="F2755" s="249">
        <v>44308</v>
      </c>
      <c r="G2755" s="249">
        <v>46133</v>
      </c>
      <c r="H2755" s="247" t="s">
        <v>14</v>
      </c>
      <c r="I2755" s="250" t="s">
        <v>79</v>
      </c>
    </row>
    <row r="2756" spans="1:9">
      <c r="A2756" s="246">
        <v>2752</v>
      </c>
      <c r="B2756" s="247" t="s">
        <v>356</v>
      </c>
      <c r="C2756" s="302" t="str">
        <f>"15021"</f>
        <v>15021</v>
      </c>
      <c r="D2756" s="247" t="s">
        <v>18</v>
      </c>
      <c r="E2756" s="248">
        <v>1</v>
      </c>
      <c r="F2756" s="249">
        <v>44299</v>
      </c>
      <c r="G2756" s="249">
        <v>46124</v>
      </c>
      <c r="H2756" s="247" t="s">
        <v>19</v>
      </c>
      <c r="I2756" s="250" t="s">
        <v>79</v>
      </c>
    </row>
    <row r="2757" spans="1:9">
      <c r="A2757" s="246">
        <v>2753</v>
      </c>
      <c r="B2757" s="247" t="s">
        <v>356</v>
      </c>
      <c r="C2757" s="302" t="str">
        <f>"15022"</f>
        <v>15022</v>
      </c>
      <c r="D2757" s="247" t="s">
        <v>18</v>
      </c>
      <c r="E2757" s="248">
        <v>2</v>
      </c>
      <c r="F2757" s="249">
        <v>44294</v>
      </c>
      <c r="G2757" s="249">
        <v>46119</v>
      </c>
      <c r="H2757" s="247" t="s">
        <v>19</v>
      </c>
      <c r="I2757" s="250" t="s">
        <v>79</v>
      </c>
    </row>
    <row r="2758" spans="1:9">
      <c r="A2758" s="246">
        <v>2754</v>
      </c>
      <c r="B2758" s="247" t="s">
        <v>356</v>
      </c>
      <c r="C2758" s="302" t="str">
        <f>"15023"</f>
        <v>15023</v>
      </c>
      <c r="D2758" s="247" t="s">
        <v>18</v>
      </c>
      <c r="E2758" s="248">
        <v>2</v>
      </c>
      <c r="F2758" s="249">
        <v>44294</v>
      </c>
      <c r="G2758" s="249">
        <v>46119</v>
      </c>
      <c r="H2758" s="247" t="s">
        <v>19</v>
      </c>
      <c r="I2758" s="250" t="s">
        <v>79</v>
      </c>
    </row>
    <row r="2759" spans="1:9">
      <c r="A2759" s="246">
        <v>2755</v>
      </c>
      <c r="B2759" s="247" t="s">
        <v>356</v>
      </c>
      <c r="C2759" s="302" t="str">
        <f>"15024"</f>
        <v>15024</v>
      </c>
      <c r="D2759" s="247" t="s">
        <v>18</v>
      </c>
      <c r="E2759" s="248">
        <v>1</v>
      </c>
      <c r="F2759" s="249">
        <v>44301</v>
      </c>
      <c r="G2759" s="249">
        <v>46126</v>
      </c>
      <c r="H2759" s="247" t="s">
        <v>19</v>
      </c>
      <c r="I2759" s="250" t="s">
        <v>79</v>
      </c>
    </row>
    <row r="2760" spans="1:9">
      <c r="A2760" s="246">
        <v>2756</v>
      </c>
      <c r="B2760" s="247" t="s">
        <v>356</v>
      </c>
      <c r="C2760" s="302" t="str">
        <f>"15025"</f>
        <v>15025</v>
      </c>
      <c r="D2760" s="247" t="s">
        <v>18</v>
      </c>
      <c r="E2760" s="248">
        <v>1</v>
      </c>
      <c r="F2760" s="249">
        <v>44301</v>
      </c>
      <c r="G2760" s="249">
        <v>46126</v>
      </c>
      <c r="H2760" s="247" t="s">
        <v>19</v>
      </c>
      <c r="I2760" s="250" t="s">
        <v>79</v>
      </c>
    </row>
    <row r="2761" spans="1:9">
      <c r="A2761" s="246">
        <v>2757</v>
      </c>
      <c r="B2761" s="247" t="s">
        <v>381</v>
      </c>
      <c r="C2761" s="302" t="str">
        <f>"15026"</f>
        <v>15026</v>
      </c>
      <c r="D2761" s="247" t="s">
        <v>18</v>
      </c>
      <c r="E2761" s="248">
        <v>3</v>
      </c>
      <c r="F2761" s="249">
        <v>44327</v>
      </c>
      <c r="G2761" s="249">
        <v>46152</v>
      </c>
      <c r="H2761" s="247" t="s">
        <v>14</v>
      </c>
      <c r="I2761" s="250" t="s">
        <v>79</v>
      </c>
    </row>
    <row r="2762" spans="1:9">
      <c r="A2762" s="246">
        <v>2758</v>
      </c>
      <c r="B2762" s="247" t="s">
        <v>381</v>
      </c>
      <c r="C2762" s="302" t="str">
        <f>"15027"</f>
        <v>15027</v>
      </c>
      <c r="D2762" s="247" t="s">
        <v>18</v>
      </c>
      <c r="E2762" s="248">
        <v>3</v>
      </c>
      <c r="F2762" s="249">
        <v>44327</v>
      </c>
      <c r="G2762" s="249">
        <v>46152</v>
      </c>
      <c r="H2762" s="247" t="s">
        <v>14</v>
      </c>
      <c r="I2762" s="250" t="s">
        <v>79</v>
      </c>
    </row>
    <row r="2763" spans="1:9">
      <c r="A2763" s="246">
        <v>2759</v>
      </c>
      <c r="B2763" s="247" t="s">
        <v>382</v>
      </c>
      <c r="C2763" s="302" t="str">
        <f>"15029"</f>
        <v>15029</v>
      </c>
      <c r="D2763" s="247" t="s">
        <v>18</v>
      </c>
      <c r="E2763" s="248">
        <v>21</v>
      </c>
      <c r="F2763" s="249">
        <v>44322</v>
      </c>
      <c r="G2763" s="249">
        <v>46147</v>
      </c>
      <c r="H2763" s="247" t="s">
        <v>16</v>
      </c>
      <c r="I2763" s="250" t="s">
        <v>79</v>
      </c>
    </row>
    <row r="2764" spans="1:9">
      <c r="A2764" s="246">
        <v>2760</v>
      </c>
      <c r="B2764" s="247" t="s">
        <v>380</v>
      </c>
      <c r="C2764" s="302" t="str">
        <f>"15032"</f>
        <v>15032</v>
      </c>
      <c r="D2764" s="247" t="s">
        <v>18</v>
      </c>
      <c r="E2764" s="248">
        <v>12</v>
      </c>
      <c r="F2764" s="249">
        <v>44299</v>
      </c>
      <c r="G2764" s="249">
        <v>46124</v>
      </c>
      <c r="H2764" s="247" t="s">
        <v>14</v>
      </c>
      <c r="I2764" s="250" t="s">
        <v>79</v>
      </c>
    </row>
    <row r="2765" spans="1:9">
      <c r="A2765" s="246">
        <v>2761</v>
      </c>
      <c r="B2765" s="247" t="s">
        <v>383</v>
      </c>
      <c r="C2765" s="302" t="str">
        <f>"15033"</f>
        <v>15033</v>
      </c>
      <c r="D2765" s="247" t="s">
        <v>18</v>
      </c>
      <c r="E2765" s="248">
        <v>33</v>
      </c>
      <c r="F2765" s="249">
        <v>44322</v>
      </c>
      <c r="G2765" s="249">
        <v>46147</v>
      </c>
      <c r="H2765" s="247" t="s">
        <v>24</v>
      </c>
      <c r="I2765" s="250" t="s">
        <v>79</v>
      </c>
    </row>
    <row r="2766" spans="1:9">
      <c r="A2766" s="246">
        <v>2762</v>
      </c>
      <c r="B2766" s="247" t="s">
        <v>384</v>
      </c>
      <c r="C2766" s="302" t="str">
        <f>"15034"</f>
        <v>15034</v>
      </c>
      <c r="D2766" s="247" t="s">
        <v>18</v>
      </c>
      <c r="E2766" s="248">
        <v>2</v>
      </c>
      <c r="F2766" s="249">
        <v>44326</v>
      </c>
      <c r="G2766" s="249">
        <v>46151</v>
      </c>
      <c r="H2766" s="247" t="s">
        <v>14</v>
      </c>
      <c r="I2766" s="250" t="s">
        <v>79</v>
      </c>
    </row>
    <row r="2767" spans="1:9">
      <c r="A2767" s="246">
        <v>2763</v>
      </c>
      <c r="B2767" s="247" t="s">
        <v>385</v>
      </c>
      <c r="C2767" s="302" t="str">
        <f>"15036"</f>
        <v>15036</v>
      </c>
      <c r="D2767" s="247" t="s">
        <v>18</v>
      </c>
      <c r="E2767" s="248">
        <v>4</v>
      </c>
      <c r="F2767" s="249">
        <v>44309</v>
      </c>
      <c r="G2767" s="249">
        <v>46134</v>
      </c>
      <c r="H2767" s="247" t="s">
        <v>70</v>
      </c>
      <c r="I2767" s="250" t="s">
        <v>79</v>
      </c>
    </row>
    <row r="2768" spans="1:9">
      <c r="A2768" s="246">
        <v>2764</v>
      </c>
      <c r="B2768" s="247" t="s">
        <v>385</v>
      </c>
      <c r="C2768" s="302" t="str">
        <f>"15037"</f>
        <v>15037</v>
      </c>
      <c r="D2768" s="247" t="s">
        <v>18</v>
      </c>
      <c r="E2768" s="248">
        <v>2</v>
      </c>
      <c r="F2768" s="249">
        <v>44309</v>
      </c>
      <c r="G2768" s="249">
        <v>46134</v>
      </c>
      <c r="H2768" s="247" t="s">
        <v>14</v>
      </c>
      <c r="I2768" s="250" t="s">
        <v>79</v>
      </c>
    </row>
    <row r="2769" spans="1:9">
      <c r="A2769" s="246">
        <v>2765</v>
      </c>
      <c r="B2769" s="247" t="s">
        <v>386</v>
      </c>
      <c r="C2769" s="302" t="str">
        <f>"15038"</f>
        <v>15038</v>
      </c>
      <c r="D2769" s="247" t="s">
        <v>18</v>
      </c>
      <c r="E2769" s="248">
        <v>2</v>
      </c>
      <c r="F2769" s="249">
        <v>44739</v>
      </c>
      <c r="G2769" s="249">
        <v>46564</v>
      </c>
      <c r="H2769" s="247" t="s">
        <v>84</v>
      </c>
      <c r="I2769" s="250" t="s">
        <v>79</v>
      </c>
    </row>
    <row r="2770" spans="1:9">
      <c r="A2770" s="246">
        <v>2766</v>
      </c>
      <c r="B2770" s="247" t="s">
        <v>387</v>
      </c>
      <c r="C2770" s="302" t="str">
        <f>"15042"</f>
        <v>15042</v>
      </c>
      <c r="D2770" s="247" t="s">
        <v>18</v>
      </c>
      <c r="E2770" s="248">
        <v>63</v>
      </c>
      <c r="F2770" s="249">
        <v>44454</v>
      </c>
      <c r="G2770" s="249">
        <v>46279</v>
      </c>
      <c r="H2770" s="247" t="s">
        <v>31</v>
      </c>
      <c r="I2770" s="250" t="s">
        <v>79</v>
      </c>
    </row>
    <row r="2771" spans="1:9">
      <c r="A2771" s="246">
        <v>2767</v>
      </c>
      <c r="B2771" s="247" t="s">
        <v>265</v>
      </c>
      <c r="C2771" s="302" t="str">
        <f>"15043"</f>
        <v>15043</v>
      </c>
      <c r="D2771" s="247" t="s">
        <v>18</v>
      </c>
      <c r="E2771" s="248">
        <v>59</v>
      </c>
      <c r="F2771" s="249">
        <v>44592</v>
      </c>
      <c r="G2771" s="249">
        <v>46417</v>
      </c>
      <c r="H2771" s="247" t="s">
        <v>16</v>
      </c>
      <c r="I2771" s="250" t="s">
        <v>79</v>
      </c>
    </row>
    <row r="2772" spans="1:9">
      <c r="A2772" s="246">
        <v>2768</v>
      </c>
      <c r="B2772" s="247" t="s">
        <v>111</v>
      </c>
      <c r="C2772" s="302" t="str">
        <f>"15046"</f>
        <v>15046</v>
      </c>
      <c r="D2772" s="247" t="s">
        <v>18</v>
      </c>
      <c r="E2772" s="248">
        <v>1</v>
      </c>
      <c r="F2772" s="249">
        <v>44515</v>
      </c>
      <c r="G2772" s="249">
        <v>46340</v>
      </c>
      <c r="H2772" s="247" t="s">
        <v>16</v>
      </c>
      <c r="I2772" s="250" t="s">
        <v>79</v>
      </c>
    </row>
    <row r="2773" spans="1:9">
      <c r="A2773" s="246">
        <v>2769</v>
      </c>
      <c r="B2773" s="247" t="s">
        <v>388</v>
      </c>
      <c r="C2773" s="302" t="str">
        <f>"15047"</f>
        <v>15047</v>
      </c>
      <c r="D2773" s="247" t="s">
        <v>18</v>
      </c>
      <c r="E2773" s="248">
        <v>4</v>
      </c>
      <c r="F2773" s="249">
        <v>44769</v>
      </c>
      <c r="G2773" s="249">
        <v>46594</v>
      </c>
      <c r="H2773" s="247" t="s">
        <v>14</v>
      </c>
      <c r="I2773" s="250" t="s">
        <v>79</v>
      </c>
    </row>
    <row r="2774" spans="1:9">
      <c r="A2774" s="246">
        <v>2770</v>
      </c>
      <c r="B2774" s="247" t="s">
        <v>388</v>
      </c>
      <c r="C2774" s="302" t="str">
        <f>"15049"</f>
        <v>15049</v>
      </c>
      <c r="D2774" s="247" t="s">
        <v>18</v>
      </c>
      <c r="E2774" s="248">
        <v>4</v>
      </c>
      <c r="F2774" s="249">
        <v>44769</v>
      </c>
      <c r="G2774" s="249">
        <v>46594</v>
      </c>
      <c r="H2774" s="247" t="s">
        <v>14</v>
      </c>
      <c r="I2774" s="250" t="s">
        <v>79</v>
      </c>
    </row>
    <row r="2775" spans="1:9">
      <c r="A2775" s="246">
        <v>2771</v>
      </c>
      <c r="B2775" s="247" t="s">
        <v>389</v>
      </c>
      <c r="C2775" s="302" t="str">
        <f>"15053"</f>
        <v>15053</v>
      </c>
      <c r="D2775" s="247" t="s">
        <v>18</v>
      </c>
      <c r="E2775" s="248">
        <v>23</v>
      </c>
      <c r="F2775" s="249">
        <v>44566</v>
      </c>
      <c r="G2775" s="249">
        <v>46391</v>
      </c>
      <c r="H2775" s="247" t="s">
        <v>84</v>
      </c>
      <c r="I2775" s="250" t="s">
        <v>79</v>
      </c>
    </row>
    <row r="2776" spans="1:9">
      <c r="A2776" s="246">
        <v>2772</v>
      </c>
      <c r="B2776" s="247" t="s">
        <v>389</v>
      </c>
      <c r="C2776" s="302" t="str">
        <f>"15054"</f>
        <v>15054</v>
      </c>
      <c r="D2776" s="247" t="s">
        <v>18</v>
      </c>
      <c r="E2776" s="248">
        <v>10</v>
      </c>
      <c r="F2776" s="249">
        <v>44566</v>
      </c>
      <c r="G2776" s="249">
        <v>46391</v>
      </c>
      <c r="H2776" s="247" t="s">
        <v>84</v>
      </c>
      <c r="I2776" s="250" t="s">
        <v>79</v>
      </c>
    </row>
    <row r="2777" spans="1:9">
      <c r="A2777" s="246">
        <v>2773</v>
      </c>
      <c r="B2777" s="247" t="s">
        <v>389</v>
      </c>
      <c r="C2777" s="302" t="str">
        <f>"15055"</f>
        <v>15055</v>
      </c>
      <c r="D2777" s="247" t="s">
        <v>18</v>
      </c>
      <c r="E2777" s="248">
        <v>28</v>
      </c>
      <c r="F2777" s="249">
        <v>44566</v>
      </c>
      <c r="G2777" s="249">
        <v>46391</v>
      </c>
      <c r="H2777" s="247" t="s">
        <v>84</v>
      </c>
      <c r="I2777" s="250" t="s">
        <v>79</v>
      </c>
    </row>
    <row r="2778" spans="1:9">
      <c r="A2778" s="246">
        <v>2774</v>
      </c>
      <c r="B2778" s="247" t="s">
        <v>389</v>
      </c>
      <c r="C2778" s="302" t="str">
        <f>"15056"</f>
        <v>15056</v>
      </c>
      <c r="D2778" s="247" t="s">
        <v>18</v>
      </c>
      <c r="E2778" s="248">
        <v>2</v>
      </c>
      <c r="F2778" s="249">
        <v>44566</v>
      </c>
      <c r="G2778" s="249">
        <v>46391</v>
      </c>
      <c r="H2778" s="247" t="s">
        <v>84</v>
      </c>
      <c r="I2778" s="250" t="s">
        <v>79</v>
      </c>
    </row>
    <row r="2779" spans="1:9">
      <c r="A2779" s="246">
        <v>2775</v>
      </c>
      <c r="B2779" s="247" t="s">
        <v>389</v>
      </c>
      <c r="C2779" s="302" t="str">
        <f>"15057"</f>
        <v>15057</v>
      </c>
      <c r="D2779" s="247" t="s">
        <v>18</v>
      </c>
      <c r="E2779" s="248">
        <v>2</v>
      </c>
      <c r="F2779" s="249">
        <v>44566</v>
      </c>
      <c r="G2779" s="249">
        <v>46391</v>
      </c>
      <c r="H2779" s="247" t="s">
        <v>84</v>
      </c>
      <c r="I2779" s="250" t="s">
        <v>79</v>
      </c>
    </row>
    <row r="2780" spans="1:9">
      <c r="A2780" s="246">
        <v>2776</v>
      </c>
      <c r="B2780" s="247" t="s">
        <v>233</v>
      </c>
      <c r="C2780" s="302" t="str">
        <f>"15058"</f>
        <v>15058</v>
      </c>
      <c r="D2780" s="247" t="s">
        <v>18</v>
      </c>
      <c r="E2780" s="248">
        <v>8</v>
      </c>
      <c r="F2780" s="249">
        <v>44552</v>
      </c>
      <c r="G2780" s="249">
        <v>46377</v>
      </c>
      <c r="H2780" s="247" t="s">
        <v>31</v>
      </c>
      <c r="I2780" s="250" t="s">
        <v>79</v>
      </c>
    </row>
    <row r="2781" spans="1:9">
      <c r="A2781" s="246">
        <v>2777</v>
      </c>
      <c r="B2781" s="247" t="s">
        <v>390</v>
      </c>
      <c r="C2781" s="302" t="str">
        <f>"15059"</f>
        <v>15059</v>
      </c>
      <c r="D2781" s="247" t="s">
        <v>23</v>
      </c>
      <c r="E2781" s="248">
        <v>4</v>
      </c>
      <c r="F2781" s="249">
        <v>44796</v>
      </c>
      <c r="G2781" s="249">
        <v>45160</v>
      </c>
      <c r="H2781" s="247" t="s">
        <v>16</v>
      </c>
      <c r="I2781" s="250" t="s">
        <v>79</v>
      </c>
    </row>
    <row r="2782" spans="1:9">
      <c r="A2782" s="246">
        <v>2778</v>
      </c>
      <c r="B2782" s="247" t="s">
        <v>391</v>
      </c>
      <c r="C2782" s="302" t="str">
        <f>"15062"</f>
        <v>15062</v>
      </c>
      <c r="D2782" s="247" t="s">
        <v>18</v>
      </c>
      <c r="E2782" s="248">
        <v>10</v>
      </c>
      <c r="F2782" s="249">
        <v>44449</v>
      </c>
      <c r="G2782" s="249">
        <v>46274</v>
      </c>
      <c r="H2782" s="247" t="s">
        <v>16</v>
      </c>
      <c r="I2782" s="250" t="s">
        <v>79</v>
      </c>
    </row>
    <row r="2783" spans="1:9">
      <c r="A2783" s="246">
        <v>2779</v>
      </c>
      <c r="B2783" s="247" t="s">
        <v>392</v>
      </c>
      <c r="C2783" s="302" t="str">
        <f>"15063"</f>
        <v>15063</v>
      </c>
      <c r="D2783" s="247" t="s">
        <v>18</v>
      </c>
      <c r="E2783" s="248">
        <v>5</v>
      </c>
      <c r="F2783" s="249">
        <v>44592</v>
      </c>
      <c r="G2783" s="249">
        <v>46417</v>
      </c>
      <c r="H2783" s="247" t="s">
        <v>16</v>
      </c>
      <c r="I2783" s="250" t="s">
        <v>79</v>
      </c>
    </row>
    <row r="2784" spans="1:9">
      <c r="A2784" s="246">
        <v>2780</v>
      </c>
      <c r="B2784" s="247" t="s">
        <v>392</v>
      </c>
      <c r="C2784" s="302" t="str">
        <f>"15064"</f>
        <v>15064</v>
      </c>
      <c r="D2784" s="247" t="s">
        <v>18</v>
      </c>
      <c r="E2784" s="248">
        <v>2</v>
      </c>
      <c r="F2784" s="249">
        <v>44592</v>
      </c>
      <c r="G2784" s="249">
        <v>46417</v>
      </c>
      <c r="H2784" s="247" t="s">
        <v>16</v>
      </c>
      <c r="I2784" s="250" t="s">
        <v>79</v>
      </c>
    </row>
    <row r="2785" spans="1:9">
      <c r="A2785" s="246">
        <v>2781</v>
      </c>
      <c r="B2785" s="247" t="s">
        <v>392</v>
      </c>
      <c r="C2785" s="302" t="str">
        <f>"15065"</f>
        <v>15065</v>
      </c>
      <c r="D2785" s="247" t="s">
        <v>18</v>
      </c>
      <c r="E2785" s="248">
        <v>3</v>
      </c>
      <c r="F2785" s="249">
        <v>44592</v>
      </c>
      <c r="G2785" s="249">
        <v>46417</v>
      </c>
      <c r="H2785" s="247" t="s">
        <v>16</v>
      </c>
      <c r="I2785" s="250" t="s">
        <v>79</v>
      </c>
    </row>
    <row r="2786" spans="1:9">
      <c r="A2786" s="246">
        <v>2782</v>
      </c>
      <c r="B2786" s="247" t="s">
        <v>392</v>
      </c>
      <c r="C2786" s="302" t="str">
        <f>"15066"</f>
        <v>15066</v>
      </c>
      <c r="D2786" s="247" t="s">
        <v>23</v>
      </c>
      <c r="E2786" s="248">
        <v>1</v>
      </c>
      <c r="F2786" s="249">
        <v>44592</v>
      </c>
      <c r="G2786" s="249">
        <v>44956</v>
      </c>
      <c r="H2786" s="247" t="s">
        <v>14</v>
      </c>
      <c r="I2786" s="250" t="s">
        <v>79</v>
      </c>
    </row>
    <row r="2787" spans="1:9">
      <c r="A2787" s="246">
        <v>2783</v>
      </c>
      <c r="B2787" s="247" t="s">
        <v>416</v>
      </c>
      <c r="C2787" s="302" t="str">
        <f>"15067"</f>
        <v>15067</v>
      </c>
      <c r="D2787" s="247" t="s">
        <v>23</v>
      </c>
      <c r="E2787" s="248">
        <v>2</v>
      </c>
      <c r="F2787" s="249">
        <v>44449</v>
      </c>
      <c r="G2787" s="249">
        <v>44813</v>
      </c>
      <c r="H2787" s="247" t="s">
        <v>84</v>
      </c>
      <c r="I2787" s="250" t="s">
        <v>3413</v>
      </c>
    </row>
    <row r="2788" spans="1:9">
      <c r="A2788" s="246">
        <v>2784</v>
      </c>
      <c r="B2788" s="247" t="s">
        <v>393</v>
      </c>
      <c r="C2788" s="302" t="str">
        <f>"15068"</f>
        <v>15068</v>
      </c>
      <c r="D2788" s="247" t="s">
        <v>23</v>
      </c>
      <c r="E2788" s="248">
        <v>2</v>
      </c>
      <c r="F2788" s="249">
        <v>44624</v>
      </c>
      <c r="G2788" s="249">
        <v>44988</v>
      </c>
      <c r="H2788" s="247" t="s">
        <v>16</v>
      </c>
      <c r="I2788" s="250" t="s">
        <v>79</v>
      </c>
    </row>
    <row r="2789" spans="1:9">
      <c r="A2789" s="246">
        <v>2785</v>
      </c>
      <c r="B2789" s="247" t="s">
        <v>394</v>
      </c>
      <c r="C2789" s="302" t="str">
        <f>"15069"</f>
        <v>15069</v>
      </c>
      <c r="D2789" s="247" t="s">
        <v>18</v>
      </c>
      <c r="E2789" s="248">
        <v>4</v>
      </c>
      <c r="F2789" s="249">
        <v>44461</v>
      </c>
      <c r="G2789" s="249">
        <v>46286</v>
      </c>
      <c r="H2789" s="247" t="s">
        <v>16</v>
      </c>
      <c r="I2789" s="250" t="s">
        <v>79</v>
      </c>
    </row>
    <row r="2790" spans="1:9">
      <c r="A2790" s="246">
        <v>2786</v>
      </c>
      <c r="B2790" s="247" t="s">
        <v>375</v>
      </c>
      <c r="C2790" s="302" t="str">
        <f>"15070"</f>
        <v>15070</v>
      </c>
      <c r="D2790" s="247" t="s">
        <v>18</v>
      </c>
      <c r="E2790" s="248">
        <v>54</v>
      </c>
      <c r="F2790" s="249">
        <v>44677</v>
      </c>
      <c r="G2790" s="249">
        <v>46502</v>
      </c>
      <c r="H2790" s="247" t="s">
        <v>24</v>
      </c>
      <c r="I2790" s="250" t="s">
        <v>79</v>
      </c>
    </row>
    <row r="2791" spans="1:9">
      <c r="A2791" s="246">
        <v>2787</v>
      </c>
      <c r="B2791" s="247" t="s">
        <v>395</v>
      </c>
      <c r="C2791" s="302" t="str">
        <f>"15071"</f>
        <v>15071</v>
      </c>
      <c r="D2791" s="247" t="s">
        <v>18</v>
      </c>
      <c r="E2791" s="248">
        <v>50</v>
      </c>
      <c r="F2791" s="249">
        <v>44560</v>
      </c>
      <c r="G2791" s="249">
        <v>46385</v>
      </c>
      <c r="H2791" s="247" t="s">
        <v>59</v>
      </c>
      <c r="I2791" s="250" t="s">
        <v>79</v>
      </c>
    </row>
    <row r="2792" spans="1:9">
      <c r="A2792" s="246">
        <v>2788</v>
      </c>
      <c r="B2792" s="247" t="s">
        <v>389</v>
      </c>
      <c r="C2792" s="302" t="str">
        <f>"15075"</f>
        <v>15075</v>
      </c>
      <c r="D2792" s="247" t="s">
        <v>18</v>
      </c>
      <c r="E2792" s="248">
        <v>6</v>
      </c>
      <c r="F2792" s="249">
        <v>44566</v>
      </c>
      <c r="G2792" s="249">
        <v>46391</v>
      </c>
      <c r="H2792" s="247" t="s">
        <v>84</v>
      </c>
      <c r="I2792" s="250" t="s">
        <v>79</v>
      </c>
    </row>
    <row r="2793" spans="1:9">
      <c r="A2793" s="246">
        <v>2789</v>
      </c>
      <c r="B2793" s="247" t="s">
        <v>389</v>
      </c>
      <c r="C2793" s="302" t="str">
        <f>"15076"</f>
        <v>15076</v>
      </c>
      <c r="D2793" s="247" t="s">
        <v>18</v>
      </c>
      <c r="E2793" s="248">
        <v>2</v>
      </c>
      <c r="F2793" s="249">
        <v>44566</v>
      </c>
      <c r="G2793" s="249">
        <v>46391</v>
      </c>
      <c r="H2793" s="247" t="s">
        <v>84</v>
      </c>
      <c r="I2793" s="250" t="s">
        <v>79</v>
      </c>
    </row>
    <row r="2794" spans="1:9">
      <c r="A2794" s="246">
        <v>2790</v>
      </c>
      <c r="B2794" s="247" t="s">
        <v>389</v>
      </c>
      <c r="C2794" s="302" t="str">
        <f>"15077"</f>
        <v>15077</v>
      </c>
      <c r="D2794" s="247" t="s">
        <v>18</v>
      </c>
      <c r="E2794" s="248">
        <v>12</v>
      </c>
      <c r="F2794" s="249">
        <v>44566</v>
      </c>
      <c r="G2794" s="249">
        <v>46391</v>
      </c>
      <c r="H2794" s="247" t="s">
        <v>84</v>
      </c>
      <c r="I2794" s="250" t="s">
        <v>79</v>
      </c>
    </row>
    <row r="2795" spans="1:9">
      <c r="A2795" s="246">
        <v>2791</v>
      </c>
      <c r="B2795" s="247" t="s">
        <v>396</v>
      </c>
      <c r="C2795" s="302" t="str">
        <f>"15081"</f>
        <v>15081</v>
      </c>
      <c r="D2795" s="247" t="s">
        <v>18</v>
      </c>
      <c r="E2795" s="248">
        <v>5</v>
      </c>
      <c r="F2795" s="249">
        <v>44775</v>
      </c>
      <c r="G2795" s="249">
        <v>46600</v>
      </c>
      <c r="H2795" s="247" t="s">
        <v>26</v>
      </c>
      <c r="I2795" s="250" t="s">
        <v>79</v>
      </c>
    </row>
    <row r="2796" spans="1:9">
      <c r="A2796" s="246">
        <v>2792</v>
      </c>
      <c r="B2796" s="247" t="s">
        <v>397</v>
      </c>
      <c r="C2796" s="302" t="str">
        <f>"15082"</f>
        <v>15082</v>
      </c>
      <c r="D2796" s="247" t="s">
        <v>18</v>
      </c>
      <c r="E2796" s="248">
        <v>4</v>
      </c>
      <c r="F2796" s="249">
        <v>44545</v>
      </c>
      <c r="G2796" s="249">
        <v>46370</v>
      </c>
      <c r="H2796" s="247" t="s">
        <v>59</v>
      </c>
      <c r="I2796" s="250" t="s">
        <v>79</v>
      </c>
    </row>
    <row r="2797" spans="1:9">
      <c r="A2797" s="246">
        <v>2793</v>
      </c>
      <c r="B2797" s="247" t="s">
        <v>1994</v>
      </c>
      <c r="C2797" s="302" t="str">
        <f>"15085"</f>
        <v>15085</v>
      </c>
      <c r="D2797" s="247" t="s">
        <v>23</v>
      </c>
      <c r="E2797" s="248">
        <v>4</v>
      </c>
      <c r="F2797" s="249">
        <v>44412</v>
      </c>
      <c r="G2797" s="249">
        <v>44776</v>
      </c>
      <c r="H2797" s="247" t="s">
        <v>16</v>
      </c>
      <c r="I2797" s="250" t="s">
        <v>3413</v>
      </c>
    </row>
    <row r="2798" spans="1:9">
      <c r="A2798" s="246">
        <v>2794</v>
      </c>
      <c r="B2798" s="247" t="s">
        <v>1994</v>
      </c>
      <c r="C2798" s="302" t="str">
        <f>"15086"</f>
        <v>15086</v>
      </c>
      <c r="D2798" s="247" t="s">
        <v>23</v>
      </c>
      <c r="E2798" s="248">
        <v>4</v>
      </c>
      <c r="F2798" s="249">
        <v>44412</v>
      </c>
      <c r="G2798" s="249">
        <v>44776</v>
      </c>
      <c r="H2798" s="247" t="s">
        <v>16</v>
      </c>
      <c r="I2798" s="250" t="s">
        <v>3413</v>
      </c>
    </row>
    <row r="2799" spans="1:9">
      <c r="A2799" s="246">
        <v>2795</v>
      </c>
      <c r="B2799" s="247" t="s">
        <v>398</v>
      </c>
      <c r="C2799" s="302" t="str">
        <f>"15090"</f>
        <v>15090</v>
      </c>
      <c r="D2799" s="247" t="s">
        <v>18</v>
      </c>
      <c r="E2799" s="248">
        <v>10</v>
      </c>
      <c r="F2799" s="249">
        <v>44649</v>
      </c>
      <c r="G2799" s="249">
        <v>46474</v>
      </c>
      <c r="H2799" s="247" t="s">
        <v>84</v>
      </c>
      <c r="I2799" s="250" t="s">
        <v>79</v>
      </c>
    </row>
    <row r="2800" spans="1:9">
      <c r="A2800" s="246">
        <v>2796</v>
      </c>
      <c r="B2800" s="247" t="s">
        <v>398</v>
      </c>
      <c r="C2800" s="302" t="str">
        <f>"15091"</f>
        <v>15091</v>
      </c>
      <c r="D2800" s="247" t="s">
        <v>18</v>
      </c>
      <c r="E2800" s="248">
        <v>22</v>
      </c>
      <c r="F2800" s="249">
        <v>44649</v>
      </c>
      <c r="G2800" s="249">
        <v>46474</v>
      </c>
      <c r="H2800" s="247" t="s">
        <v>84</v>
      </c>
      <c r="I2800" s="250" t="s">
        <v>79</v>
      </c>
    </row>
    <row r="2801" spans="1:9">
      <c r="A2801" s="246">
        <v>2797</v>
      </c>
      <c r="B2801" s="247" t="s">
        <v>416</v>
      </c>
      <c r="C2801" s="302" t="str">
        <f>"15092"</f>
        <v>15092</v>
      </c>
      <c r="D2801" s="247" t="s">
        <v>23</v>
      </c>
      <c r="E2801" s="248">
        <v>4</v>
      </c>
      <c r="F2801" s="249">
        <v>44449</v>
      </c>
      <c r="G2801" s="249">
        <v>44813</v>
      </c>
      <c r="H2801" s="247" t="s">
        <v>84</v>
      </c>
      <c r="I2801" s="250" t="s">
        <v>3413</v>
      </c>
    </row>
    <row r="2802" spans="1:9">
      <c r="A2802" s="246">
        <v>2798</v>
      </c>
      <c r="B2802" s="247" t="s">
        <v>351</v>
      </c>
      <c r="C2802" s="302" t="str">
        <f>"15094"</f>
        <v>15094</v>
      </c>
      <c r="D2802" s="247" t="s">
        <v>18</v>
      </c>
      <c r="E2802" s="248">
        <v>4</v>
      </c>
      <c r="F2802" s="249">
        <v>44467</v>
      </c>
      <c r="G2802" s="249">
        <v>46292</v>
      </c>
      <c r="H2802" s="247" t="s">
        <v>14</v>
      </c>
      <c r="I2802" s="250" t="s">
        <v>79</v>
      </c>
    </row>
    <row r="2803" spans="1:9">
      <c r="A2803" s="246">
        <v>2799</v>
      </c>
      <c r="B2803" s="247" t="s">
        <v>304</v>
      </c>
      <c r="C2803" s="302" t="str">
        <f>"15096"</f>
        <v>15096</v>
      </c>
      <c r="D2803" s="247" t="s">
        <v>23</v>
      </c>
      <c r="E2803" s="248">
        <v>4</v>
      </c>
      <c r="F2803" s="249">
        <v>44684</v>
      </c>
      <c r="G2803" s="249">
        <v>45048</v>
      </c>
      <c r="H2803" s="247" t="s">
        <v>22</v>
      </c>
      <c r="I2803" s="250" t="s">
        <v>79</v>
      </c>
    </row>
    <row r="2804" spans="1:9">
      <c r="A2804" s="246">
        <v>2800</v>
      </c>
      <c r="B2804" s="247" t="s">
        <v>304</v>
      </c>
      <c r="C2804" s="302" t="str">
        <f>"15097"</f>
        <v>15097</v>
      </c>
      <c r="D2804" s="247" t="s">
        <v>23</v>
      </c>
      <c r="E2804" s="248">
        <v>4</v>
      </c>
      <c r="F2804" s="249">
        <v>44684</v>
      </c>
      <c r="G2804" s="249">
        <v>45048</v>
      </c>
      <c r="H2804" s="247" t="s">
        <v>22</v>
      </c>
      <c r="I2804" s="250" t="s">
        <v>79</v>
      </c>
    </row>
    <row r="2805" spans="1:9">
      <c r="A2805" s="246">
        <v>2801</v>
      </c>
      <c r="B2805" s="247" t="s">
        <v>2038</v>
      </c>
      <c r="C2805" s="302" t="str">
        <f>"15099"</f>
        <v>15099</v>
      </c>
      <c r="D2805" s="247" t="s">
        <v>18</v>
      </c>
      <c r="E2805" s="248">
        <v>3</v>
      </c>
      <c r="F2805" s="249">
        <v>44495</v>
      </c>
      <c r="G2805" s="249">
        <v>46320</v>
      </c>
      <c r="H2805" s="247" t="s">
        <v>22</v>
      </c>
      <c r="I2805" s="250" t="s">
        <v>540</v>
      </c>
    </row>
    <row r="2806" spans="1:9">
      <c r="A2806" s="246">
        <v>2802</v>
      </c>
      <c r="B2806" s="247" t="s">
        <v>394</v>
      </c>
      <c r="C2806" s="302" t="str">
        <f>"15102"</f>
        <v>15102</v>
      </c>
      <c r="D2806" s="247" t="s">
        <v>18</v>
      </c>
      <c r="E2806" s="248">
        <v>4</v>
      </c>
      <c r="F2806" s="249">
        <v>44461</v>
      </c>
      <c r="G2806" s="249">
        <v>46286</v>
      </c>
      <c r="H2806" s="247" t="s">
        <v>14</v>
      </c>
      <c r="I2806" s="250" t="s">
        <v>79</v>
      </c>
    </row>
    <row r="2807" spans="1:9">
      <c r="A2807" s="246">
        <v>2803</v>
      </c>
      <c r="B2807" s="247" t="s">
        <v>394</v>
      </c>
      <c r="C2807" s="302" t="str">
        <f>"15103"</f>
        <v>15103</v>
      </c>
      <c r="D2807" s="247" t="s">
        <v>18</v>
      </c>
      <c r="E2807" s="248">
        <v>4</v>
      </c>
      <c r="F2807" s="249">
        <v>44461</v>
      </c>
      <c r="G2807" s="249">
        <v>46286</v>
      </c>
      <c r="H2807" s="247" t="s">
        <v>14</v>
      </c>
      <c r="I2807" s="250" t="s">
        <v>79</v>
      </c>
    </row>
    <row r="2808" spans="1:9">
      <c r="A2808" s="246">
        <v>2804</v>
      </c>
      <c r="B2808" s="247" t="s">
        <v>399</v>
      </c>
      <c r="C2808" s="302" t="str">
        <f>"15104"</f>
        <v>15104</v>
      </c>
      <c r="D2808" s="247" t="s">
        <v>18</v>
      </c>
      <c r="E2808" s="248">
        <v>54</v>
      </c>
      <c r="F2808" s="249">
        <v>44523</v>
      </c>
      <c r="G2808" s="249">
        <v>46348</v>
      </c>
      <c r="H2808" s="247" t="s">
        <v>32</v>
      </c>
      <c r="I2808" s="250" t="s">
        <v>79</v>
      </c>
    </row>
    <row r="2809" spans="1:9">
      <c r="A2809" s="246">
        <v>2805</v>
      </c>
      <c r="B2809" s="247" t="s">
        <v>399</v>
      </c>
      <c r="C2809" s="302" t="str">
        <f>"15105"</f>
        <v>15105</v>
      </c>
      <c r="D2809" s="247" t="s">
        <v>18</v>
      </c>
      <c r="E2809" s="248">
        <v>54</v>
      </c>
      <c r="F2809" s="249">
        <v>44523</v>
      </c>
      <c r="G2809" s="249">
        <v>46348</v>
      </c>
      <c r="H2809" s="247" t="s">
        <v>32</v>
      </c>
      <c r="I2809" s="250" t="s">
        <v>79</v>
      </c>
    </row>
    <row r="2810" spans="1:9">
      <c r="A2810" s="246">
        <v>2806</v>
      </c>
      <c r="B2810" s="247" t="s">
        <v>400</v>
      </c>
      <c r="C2810" s="302" t="str">
        <f>"15106"</f>
        <v>15106</v>
      </c>
      <c r="D2810" s="247" t="s">
        <v>18</v>
      </c>
      <c r="E2810" s="248">
        <v>56</v>
      </c>
      <c r="F2810" s="249">
        <v>44523</v>
      </c>
      <c r="G2810" s="249">
        <v>46348</v>
      </c>
      <c r="H2810" s="247" t="s">
        <v>32</v>
      </c>
      <c r="I2810" s="250" t="s">
        <v>79</v>
      </c>
    </row>
    <row r="2811" spans="1:9">
      <c r="A2811" s="246">
        <v>2807</v>
      </c>
      <c r="B2811" s="247" t="s">
        <v>400</v>
      </c>
      <c r="C2811" s="302" t="str">
        <f>"15107"</f>
        <v>15107</v>
      </c>
      <c r="D2811" s="247" t="s">
        <v>18</v>
      </c>
      <c r="E2811" s="248">
        <v>36</v>
      </c>
      <c r="F2811" s="249">
        <v>44523</v>
      </c>
      <c r="G2811" s="249">
        <v>46348</v>
      </c>
      <c r="H2811" s="247" t="s">
        <v>32</v>
      </c>
      <c r="I2811" s="250" t="s">
        <v>79</v>
      </c>
    </row>
    <row r="2812" spans="1:9">
      <c r="A2812" s="246">
        <v>2808</v>
      </c>
      <c r="B2812" s="247" t="s">
        <v>245</v>
      </c>
      <c r="C2812" s="302" t="str">
        <f>"15108"</f>
        <v>15108</v>
      </c>
      <c r="D2812" s="247" t="s">
        <v>13</v>
      </c>
      <c r="E2812" s="248">
        <v>2</v>
      </c>
      <c r="F2812" s="249">
        <v>44776</v>
      </c>
      <c r="G2812" s="249">
        <v>51013</v>
      </c>
      <c r="H2812" s="247" t="s">
        <v>16</v>
      </c>
      <c r="I2812" s="250" t="s">
        <v>79</v>
      </c>
    </row>
    <row r="2813" spans="1:9">
      <c r="A2813" s="246">
        <v>2809</v>
      </c>
      <c r="B2813" s="247" t="s">
        <v>401</v>
      </c>
      <c r="C2813" s="302" t="str">
        <f>"15111"</f>
        <v>15111</v>
      </c>
      <c r="D2813" s="247" t="s">
        <v>18</v>
      </c>
      <c r="E2813" s="248">
        <v>6</v>
      </c>
      <c r="F2813" s="249">
        <v>44442</v>
      </c>
      <c r="G2813" s="249">
        <v>46267</v>
      </c>
      <c r="H2813" s="247" t="s">
        <v>16</v>
      </c>
      <c r="I2813" s="250" t="s">
        <v>79</v>
      </c>
    </row>
    <row r="2814" spans="1:9">
      <c r="A2814" s="246">
        <v>2810</v>
      </c>
      <c r="B2814" s="247" t="s">
        <v>401</v>
      </c>
      <c r="C2814" s="302" t="str">
        <f>"15112"</f>
        <v>15112</v>
      </c>
      <c r="D2814" s="247" t="s">
        <v>18</v>
      </c>
      <c r="E2814" s="248">
        <v>17</v>
      </c>
      <c r="F2814" s="249">
        <v>44552</v>
      </c>
      <c r="G2814" s="249">
        <v>46377</v>
      </c>
      <c r="H2814" s="247" t="s">
        <v>16</v>
      </c>
      <c r="I2814" s="250" t="s">
        <v>79</v>
      </c>
    </row>
    <row r="2815" spans="1:9">
      <c r="A2815" s="246">
        <v>2811</v>
      </c>
      <c r="B2815" s="247" t="s">
        <v>401</v>
      </c>
      <c r="C2815" s="302" t="str">
        <f>"15113"</f>
        <v>15113</v>
      </c>
      <c r="D2815" s="247" t="s">
        <v>18</v>
      </c>
      <c r="E2815" s="248">
        <v>12</v>
      </c>
      <c r="F2815" s="249">
        <v>44442</v>
      </c>
      <c r="G2815" s="249">
        <v>46267</v>
      </c>
      <c r="H2815" s="247" t="s">
        <v>16</v>
      </c>
      <c r="I2815" s="250" t="s">
        <v>79</v>
      </c>
    </row>
    <row r="2816" spans="1:9">
      <c r="A2816" s="246">
        <v>2812</v>
      </c>
      <c r="B2816" s="247" t="s">
        <v>1961</v>
      </c>
      <c r="C2816" s="302" t="str">
        <f>"15114"</f>
        <v>15114</v>
      </c>
      <c r="D2816" s="247" t="s">
        <v>23</v>
      </c>
      <c r="E2816" s="248">
        <v>4</v>
      </c>
      <c r="F2816" s="249">
        <v>44624</v>
      </c>
      <c r="G2816" s="249">
        <v>44988</v>
      </c>
      <c r="H2816" s="247" t="s">
        <v>16</v>
      </c>
      <c r="I2816" s="250" t="s">
        <v>3413</v>
      </c>
    </row>
    <row r="2817" spans="1:9">
      <c r="A2817" s="246">
        <v>2813</v>
      </c>
      <c r="B2817" s="247" t="s">
        <v>402</v>
      </c>
      <c r="C2817" s="302" t="str">
        <f>"15115"</f>
        <v>15115</v>
      </c>
      <c r="D2817" s="247" t="s">
        <v>18</v>
      </c>
      <c r="E2817" s="248">
        <v>30</v>
      </c>
      <c r="F2817" s="249">
        <v>44517</v>
      </c>
      <c r="G2817" s="249">
        <v>46342</v>
      </c>
      <c r="H2817" s="247" t="s">
        <v>31</v>
      </c>
      <c r="I2817" s="250" t="s">
        <v>79</v>
      </c>
    </row>
    <row r="2818" spans="1:9">
      <c r="A2818" s="246">
        <v>2814</v>
      </c>
      <c r="B2818" s="247" t="s">
        <v>403</v>
      </c>
      <c r="C2818" s="302" t="str">
        <f>"15116"</f>
        <v>15116</v>
      </c>
      <c r="D2818" s="247" t="s">
        <v>23</v>
      </c>
      <c r="E2818" s="248">
        <v>4</v>
      </c>
      <c r="F2818" s="249">
        <v>44505</v>
      </c>
      <c r="G2818" s="249">
        <v>44869</v>
      </c>
      <c r="H2818" s="247" t="s">
        <v>22</v>
      </c>
      <c r="I2818" s="250" t="s">
        <v>79</v>
      </c>
    </row>
    <row r="2819" spans="1:9">
      <c r="A2819" s="246">
        <v>2815</v>
      </c>
      <c r="B2819" s="247" t="s">
        <v>403</v>
      </c>
      <c r="C2819" s="302" t="str">
        <f>"15117"</f>
        <v>15117</v>
      </c>
      <c r="D2819" s="247" t="s">
        <v>23</v>
      </c>
      <c r="E2819" s="248">
        <v>4</v>
      </c>
      <c r="F2819" s="249">
        <v>44505</v>
      </c>
      <c r="G2819" s="249">
        <v>44869</v>
      </c>
      <c r="H2819" s="247" t="s">
        <v>22</v>
      </c>
      <c r="I2819" s="250" t="s">
        <v>79</v>
      </c>
    </row>
    <row r="2820" spans="1:9">
      <c r="A2820" s="246">
        <v>2816</v>
      </c>
      <c r="B2820" s="247" t="s">
        <v>404</v>
      </c>
      <c r="C2820" s="302" t="str">
        <f>"15118"</f>
        <v>15118</v>
      </c>
      <c r="D2820" s="247" t="s">
        <v>18</v>
      </c>
      <c r="E2820" s="248">
        <v>9</v>
      </c>
      <c r="F2820" s="249">
        <v>44718</v>
      </c>
      <c r="G2820" s="249">
        <v>46543</v>
      </c>
      <c r="H2820" s="247" t="s">
        <v>31</v>
      </c>
      <c r="I2820" s="250" t="s">
        <v>79</v>
      </c>
    </row>
    <row r="2821" spans="1:9">
      <c r="A2821" s="246">
        <v>2817</v>
      </c>
      <c r="B2821" s="247" t="s">
        <v>404</v>
      </c>
      <c r="C2821" s="302" t="str">
        <f>"15120"</f>
        <v>15120</v>
      </c>
      <c r="D2821" s="247" t="s">
        <v>18</v>
      </c>
      <c r="E2821" s="248">
        <v>7</v>
      </c>
      <c r="F2821" s="249">
        <v>44690</v>
      </c>
      <c r="G2821" s="249">
        <v>46515</v>
      </c>
      <c r="H2821" s="247" t="s">
        <v>31</v>
      </c>
      <c r="I2821" s="250" t="s">
        <v>433</v>
      </c>
    </row>
    <row r="2822" spans="1:9">
      <c r="A2822" s="246">
        <v>2818</v>
      </c>
      <c r="B2822" s="247" t="s">
        <v>404</v>
      </c>
      <c r="C2822" s="302" t="str">
        <f>"15121"</f>
        <v>15121</v>
      </c>
      <c r="D2822" s="247" t="s">
        <v>18</v>
      </c>
      <c r="E2822" s="248">
        <v>6</v>
      </c>
      <c r="F2822" s="249">
        <v>44690</v>
      </c>
      <c r="G2822" s="249">
        <v>46515</v>
      </c>
      <c r="H2822" s="247" t="s">
        <v>31</v>
      </c>
      <c r="I2822" s="250" t="s">
        <v>79</v>
      </c>
    </row>
    <row r="2823" spans="1:9">
      <c r="A2823" s="246">
        <v>2819</v>
      </c>
      <c r="B2823" s="247" t="s">
        <v>404</v>
      </c>
      <c r="C2823" s="302" t="str">
        <f>"15122"</f>
        <v>15122</v>
      </c>
      <c r="D2823" s="247" t="s">
        <v>18</v>
      </c>
      <c r="E2823" s="248">
        <v>9</v>
      </c>
      <c r="F2823" s="249">
        <v>44690</v>
      </c>
      <c r="G2823" s="249">
        <v>46515</v>
      </c>
      <c r="H2823" s="247" t="s">
        <v>31</v>
      </c>
      <c r="I2823" s="250" t="s">
        <v>79</v>
      </c>
    </row>
    <row r="2824" spans="1:9">
      <c r="A2824" s="246">
        <v>2820</v>
      </c>
      <c r="B2824" s="247" t="s">
        <v>405</v>
      </c>
      <c r="C2824" s="302" t="str">
        <f>"15124"</f>
        <v>15124</v>
      </c>
      <c r="D2824" s="247" t="s">
        <v>18</v>
      </c>
      <c r="E2824" s="248">
        <v>1</v>
      </c>
      <c r="F2824" s="249">
        <v>44515</v>
      </c>
      <c r="G2824" s="249">
        <v>46340</v>
      </c>
      <c r="H2824" s="247" t="s">
        <v>14</v>
      </c>
      <c r="I2824" s="250" t="s">
        <v>79</v>
      </c>
    </row>
    <row r="2825" spans="1:9">
      <c r="A2825" s="246">
        <v>2821</v>
      </c>
      <c r="B2825" s="247" t="s">
        <v>378</v>
      </c>
      <c r="C2825" s="302" t="str">
        <f>"15127"</f>
        <v>15127</v>
      </c>
      <c r="D2825" s="247" t="s">
        <v>23</v>
      </c>
      <c r="E2825" s="248">
        <v>2</v>
      </c>
      <c r="F2825" s="249">
        <v>44655</v>
      </c>
      <c r="G2825" s="249">
        <v>45019</v>
      </c>
      <c r="H2825" s="247" t="s">
        <v>16</v>
      </c>
      <c r="I2825" s="250" t="s">
        <v>79</v>
      </c>
    </row>
    <row r="2826" spans="1:9">
      <c r="A2826" s="246">
        <v>2822</v>
      </c>
      <c r="B2826" s="247" t="s">
        <v>378</v>
      </c>
      <c r="C2826" s="302" t="str">
        <f>"15128"</f>
        <v>15128</v>
      </c>
      <c r="D2826" s="247" t="s">
        <v>23</v>
      </c>
      <c r="E2826" s="248">
        <v>4</v>
      </c>
      <c r="F2826" s="249">
        <v>44655</v>
      </c>
      <c r="G2826" s="249">
        <v>45019</v>
      </c>
      <c r="H2826" s="247" t="s">
        <v>16</v>
      </c>
      <c r="I2826" s="250" t="s">
        <v>79</v>
      </c>
    </row>
    <row r="2827" spans="1:9">
      <c r="A2827" s="246">
        <v>2823</v>
      </c>
      <c r="B2827" s="247" t="s">
        <v>368</v>
      </c>
      <c r="C2827" s="302" t="str">
        <f>"15129"</f>
        <v>15129</v>
      </c>
      <c r="D2827" s="247" t="s">
        <v>18</v>
      </c>
      <c r="E2827" s="248">
        <v>8</v>
      </c>
      <c r="F2827" s="249">
        <v>44566</v>
      </c>
      <c r="G2827" s="249">
        <v>46391</v>
      </c>
      <c r="H2827" s="247" t="s">
        <v>16</v>
      </c>
      <c r="I2827" s="250" t="s">
        <v>79</v>
      </c>
    </row>
    <row r="2828" spans="1:9">
      <c r="A2828" s="246">
        <v>2824</v>
      </c>
      <c r="B2828" s="247" t="s">
        <v>406</v>
      </c>
      <c r="C2828" s="302" t="str">
        <f>"15130"</f>
        <v>15130</v>
      </c>
      <c r="D2828" s="247" t="s">
        <v>18</v>
      </c>
      <c r="E2828" s="248">
        <v>9</v>
      </c>
      <c r="F2828" s="249">
        <v>44545</v>
      </c>
      <c r="G2828" s="249">
        <v>46370</v>
      </c>
      <c r="H2828" s="247" t="s">
        <v>19</v>
      </c>
      <c r="I2828" s="250" t="s">
        <v>79</v>
      </c>
    </row>
    <row r="2829" spans="1:9">
      <c r="A2829" s="246">
        <v>2825</v>
      </c>
      <c r="B2829" s="247" t="s">
        <v>416</v>
      </c>
      <c r="C2829" s="302" t="str">
        <f>"15137"</f>
        <v>15137</v>
      </c>
      <c r="D2829" s="247" t="s">
        <v>23</v>
      </c>
      <c r="E2829" s="248">
        <v>1</v>
      </c>
      <c r="F2829" s="249">
        <v>44614</v>
      </c>
      <c r="G2829" s="249">
        <v>44978</v>
      </c>
      <c r="H2829" s="247" t="s">
        <v>84</v>
      </c>
      <c r="I2829" s="250" t="s">
        <v>3413</v>
      </c>
    </row>
    <row r="2830" spans="1:9">
      <c r="A2830" s="246">
        <v>2826</v>
      </c>
      <c r="B2830" s="247" t="s">
        <v>416</v>
      </c>
      <c r="C2830" s="302" t="str">
        <f>"15138"</f>
        <v>15138</v>
      </c>
      <c r="D2830" s="247" t="s">
        <v>23</v>
      </c>
      <c r="E2830" s="248">
        <v>4</v>
      </c>
      <c r="F2830" s="249">
        <v>44614</v>
      </c>
      <c r="G2830" s="249">
        <v>44978</v>
      </c>
      <c r="H2830" s="247" t="s">
        <v>84</v>
      </c>
      <c r="I2830" s="250" t="s">
        <v>3413</v>
      </c>
    </row>
    <row r="2831" spans="1:9">
      <c r="A2831" s="246">
        <v>2827</v>
      </c>
      <c r="B2831" s="247" t="s">
        <v>360</v>
      </c>
      <c r="C2831" s="302" t="str">
        <f>"15140"</f>
        <v>15140</v>
      </c>
      <c r="D2831" s="247" t="s">
        <v>23</v>
      </c>
      <c r="E2831" s="248">
        <v>2</v>
      </c>
      <c r="F2831" s="249">
        <v>44813</v>
      </c>
      <c r="G2831" s="249">
        <v>45177</v>
      </c>
      <c r="H2831" s="247" t="s">
        <v>22</v>
      </c>
      <c r="I2831" s="250" t="s">
        <v>79</v>
      </c>
    </row>
    <row r="2832" spans="1:9">
      <c r="A2832" s="246">
        <v>2828</v>
      </c>
      <c r="B2832" s="247" t="s">
        <v>360</v>
      </c>
      <c r="C2832" s="302" t="str">
        <f>"15141"</f>
        <v>15141</v>
      </c>
      <c r="D2832" s="247" t="s">
        <v>23</v>
      </c>
      <c r="E2832" s="248">
        <v>2</v>
      </c>
      <c r="F2832" s="249">
        <v>44813</v>
      </c>
      <c r="G2832" s="249">
        <v>45177</v>
      </c>
      <c r="H2832" s="247" t="s">
        <v>22</v>
      </c>
      <c r="I2832" s="250" t="s">
        <v>79</v>
      </c>
    </row>
    <row r="2833" spans="1:9">
      <c r="A2833" s="246">
        <v>2829</v>
      </c>
      <c r="B2833" s="247" t="s">
        <v>407</v>
      </c>
      <c r="C2833" s="302" t="str">
        <f>"15143"</f>
        <v>15143</v>
      </c>
      <c r="D2833" s="247" t="s">
        <v>18</v>
      </c>
      <c r="E2833" s="248">
        <v>25</v>
      </c>
      <c r="F2833" s="249">
        <v>44531</v>
      </c>
      <c r="G2833" s="249">
        <v>46356</v>
      </c>
      <c r="H2833" s="247" t="s">
        <v>59</v>
      </c>
      <c r="I2833" s="250" t="s">
        <v>79</v>
      </c>
    </row>
    <row r="2834" spans="1:9">
      <c r="A2834" s="246">
        <v>2830</v>
      </c>
      <c r="B2834" s="247" t="s">
        <v>256</v>
      </c>
      <c r="C2834" s="302" t="str">
        <f>"15144"</f>
        <v>15144</v>
      </c>
      <c r="D2834" s="247" t="s">
        <v>18</v>
      </c>
      <c r="E2834" s="248">
        <v>11</v>
      </c>
      <c r="F2834" s="249">
        <v>44706</v>
      </c>
      <c r="G2834" s="249">
        <v>46531</v>
      </c>
      <c r="H2834" s="247" t="s">
        <v>84</v>
      </c>
      <c r="I2834" s="250" t="s">
        <v>79</v>
      </c>
    </row>
    <row r="2835" spans="1:9">
      <c r="A2835" s="246">
        <v>2831</v>
      </c>
      <c r="B2835" s="247" t="s">
        <v>408</v>
      </c>
      <c r="C2835" s="302" t="str">
        <f>"15146"</f>
        <v>15146</v>
      </c>
      <c r="D2835" s="247" t="s">
        <v>18</v>
      </c>
      <c r="E2835" s="248">
        <v>31</v>
      </c>
      <c r="F2835" s="249">
        <v>44659</v>
      </c>
      <c r="G2835" s="249">
        <v>46484</v>
      </c>
      <c r="H2835" s="247" t="s">
        <v>32</v>
      </c>
      <c r="I2835" s="250" t="s">
        <v>79</v>
      </c>
    </row>
    <row r="2836" spans="1:9">
      <c r="A2836" s="246">
        <v>2832</v>
      </c>
      <c r="B2836" s="247" t="s">
        <v>409</v>
      </c>
      <c r="C2836" s="302" t="str">
        <f>"15149"</f>
        <v>15149</v>
      </c>
      <c r="D2836" s="247" t="s">
        <v>18</v>
      </c>
      <c r="E2836" s="248">
        <v>8</v>
      </c>
      <c r="F2836" s="249">
        <v>44739</v>
      </c>
      <c r="G2836" s="249">
        <v>46564</v>
      </c>
      <c r="H2836" s="247" t="s">
        <v>16</v>
      </c>
      <c r="I2836" s="250" t="s">
        <v>79</v>
      </c>
    </row>
    <row r="2837" spans="1:9">
      <c r="A2837" s="246">
        <v>2833</v>
      </c>
      <c r="B2837" s="247" t="s">
        <v>409</v>
      </c>
      <c r="C2837" s="302" t="str">
        <f>"15150"</f>
        <v>15150</v>
      </c>
      <c r="D2837" s="247" t="s">
        <v>18</v>
      </c>
      <c r="E2837" s="248">
        <v>4</v>
      </c>
      <c r="F2837" s="249">
        <v>44739</v>
      </c>
      <c r="G2837" s="249">
        <v>46564</v>
      </c>
      <c r="H2837" s="247" t="s">
        <v>16</v>
      </c>
      <c r="I2837" s="250" t="s">
        <v>79</v>
      </c>
    </row>
    <row r="2838" spans="1:9">
      <c r="A2838" s="246">
        <v>2834</v>
      </c>
      <c r="B2838" s="247" t="s">
        <v>410</v>
      </c>
      <c r="C2838" s="302" t="str">
        <f>"15154"</f>
        <v>15154</v>
      </c>
      <c r="D2838" s="247" t="s">
        <v>18</v>
      </c>
      <c r="E2838" s="248">
        <v>4</v>
      </c>
      <c r="F2838" s="249">
        <v>44707</v>
      </c>
      <c r="G2838" s="249">
        <v>46532</v>
      </c>
      <c r="H2838" s="247" t="s">
        <v>59</v>
      </c>
      <c r="I2838" s="250" t="s">
        <v>79</v>
      </c>
    </row>
    <row r="2839" spans="1:9">
      <c r="A2839" s="252">
        <v>2835</v>
      </c>
      <c r="B2839" s="253" t="s">
        <v>410</v>
      </c>
      <c r="C2839" s="303" t="str">
        <f>"15155"</f>
        <v>15155</v>
      </c>
      <c r="D2839" s="253" t="s">
        <v>18</v>
      </c>
      <c r="E2839" s="254">
        <v>4</v>
      </c>
      <c r="F2839" s="253"/>
      <c r="G2839" s="253"/>
      <c r="H2839" s="253" t="s">
        <v>59</v>
      </c>
      <c r="I2839" s="256" t="s">
        <v>433</v>
      </c>
    </row>
    <row r="2840" spans="1:9">
      <c r="A2840" s="246">
        <v>2836</v>
      </c>
      <c r="B2840" s="247" t="s">
        <v>410</v>
      </c>
      <c r="C2840" s="302" t="str">
        <f>"15156"</f>
        <v>15156</v>
      </c>
      <c r="D2840" s="247" t="s">
        <v>18</v>
      </c>
      <c r="E2840" s="248">
        <v>4</v>
      </c>
      <c r="F2840" s="249">
        <v>44707</v>
      </c>
      <c r="G2840" s="249">
        <v>46532</v>
      </c>
      <c r="H2840" s="247" t="s">
        <v>59</v>
      </c>
      <c r="I2840" s="250" t="s">
        <v>79</v>
      </c>
    </row>
    <row r="2841" spans="1:9">
      <c r="A2841" s="246">
        <v>2837</v>
      </c>
      <c r="B2841" s="247" t="s">
        <v>410</v>
      </c>
      <c r="C2841" s="302" t="str">
        <f>"15157"</f>
        <v>15157</v>
      </c>
      <c r="D2841" s="247" t="s">
        <v>18</v>
      </c>
      <c r="E2841" s="248">
        <v>2</v>
      </c>
      <c r="F2841" s="249">
        <v>44707</v>
      </c>
      <c r="G2841" s="249">
        <v>46532</v>
      </c>
      <c r="H2841" s="247" t="s">
        <v>59</v>
      </c>
      <c r="I2841" s="250" t="s">
        <v>79</v>
      </c>
    </row>
    <row r="2842" spans="1:9">
      <c r="A2842" s="246">
        <v>2838</v>
      </c>
      <c r="B2842" s="247" t="s">
        <v>411</v>
      </c>
      <c r="C2842" s="302" t="str">
        <f>"15158"</f>
        <v>15158</v>
      </c>
      <c r="D2842" s="247" t="s">
        <v>18</v>
      </c>
      <c r="E2842" s="248">
        <v>22</v>
      </c>
      <c r="F2842" s="249">
        <v>44862</v>
      </c>
      <c r="G2842" s="249">
        <v>46687</v>
      </c>
      <c r="H2842" s="247" t="s">
        <v>56</v>
      </c>
      <c r="I2842" s="250" t="s">
        <v>79</v>
      </c>
    </row>
    <row r="2843" spans="1:9">
      <c r="A2843" s="246">
        <v>2839</v>
      </c>
      <c r="B2843" s="247" t="s">
        <v>411</v>
      </c>
      <c r="C2843" s="302" t="str">
        <f>"15159"</f>
        <v>15159</v>
      </c>
      <c r="D2843" s="247" t="s">
        <v>18</v>
      </c>
      <c r="E2843" s="248">
        <v>10</v>
      </c>
      <c r="F2843" s="249">
        <v>44862</v>
      </c>
      <c r="G2843" s="249">
        <v>46687</v>
      </c>
      <c r="H2843" s="247" t="s">
        <v>56</v>
      </c>
      <c r="I2843" s="250" t="s">
        <v>79</v>
      </c>
    </row>
    <row r="2844" spans="1:9">
      <c r="A2844" s="246">
        <v>2840</v>
      </c>
      <c r="B2844" s="247" t="s">
        <v>412</v>
      </c>
      <c r="C2844" s="302" t="str">
        <f>"15163"</f>
        <v>15163</v>
      </c>
      <c r="D2844" s="247" t="s">
        <v>18</v>
      </c>
      <c r="E2844" s="248">
        <v>7</v>
      </c>
      <c r="F2844" s="249">
        <v>44738</v>
      </c>
      <c r="G2844" s="249">
        <v>46563</v>
      </c>
      <c r="H2844" s="247" t="s">
        <v>16</v>
      </c>
      <c r="I2844" s="250" t="s">
        <v>79</v>
      </c>
    </row>
    <row r="2845" spans="1:9">
      <c r="A2845" s="246">
        <v>2841</v>
      </c>
      <c r="B2845" s="247" t="s">
        <v>413</v>
      </c>
      <c r="C2845" s="302" t="str">
        <f>"15164"</f>
        <v>15164</v>
      </c>
      <c r="D2845" s="247" t="s">
        <v>18</v>
      </c>
      <c r="E2845" s="248">
        <v>30</v>
      </c>
      <c r="F2845" s="249">
        <v>44533</v>
      </c>
      <c r="G2845" s="249">
        <v>46358</v>
      </c>
      <c r="H2845" s="247" t="s">
        <v>14</v>
      </c>
      <c r="I2845" s="250" t="s">
        <v>79</v>
      </c>
    </row>
    <row r="2846" spans="1:9">
      <c r="A2846" s="246">
        <v>2842</v>
      </c>
      <c r="B2846" s="247" t="s">
        <v>413</v>
      </c>
      <c r="C2846" s="302" t="str">
        <f>"15165"</f>
        <v>15165</v>
      </c>
      <c r="D2846" s="247" t="s">
        <v>18</v>
      </c>
      <c r="E2846" s="248">
        <v>77</v>
      </c>
      <c r="F2846" s="249">
        <v>44533</v>
      </c>
      <c r="G2846" s="249">
        <v>46358</v>
      </c>
      <c r="H2846" s="247" t="s">
        <v>14</v>
      </c>
      <c r="I2846" s="250" t="s">
        <v>79</v>
      </c>
    </row>
    <row r="2847" spans="1:9">
      <c r="A2847" s="246">
        <v>2843</v>
      </c>
      <c r="B2847" s="247" t="s">
        <v>384</v>
      </c>
      <c r="C2847" s="302" t="str">
        <f>"15166"</f>
        <v>15166</v>
      </c>
      <c r="D2847" s="247" t="s">
        <v>18</v>
      </c>
      <c r="E2847" s="248">
        <v>11</v>
      </c>
      <c r="F2847" s="249">
        <v>44657</v>
      </c>
      <c r="G2847" s="249">
        <v>46482</v>
      </c>
      <c r="H2847" s="247" t="s">
        <v>14</v>
      </c>
      <c r="I2847" s="250" t="s">
        <v>79</v>
      </c>
    </row>
    <row r="2848" spans="1:9">
      <c r="A2848" s="246">
        <v>2844</v>
      </c>
      <c r="B2848" s="247" t="s">
        <v>414</v>
      </c>
      <c r="C2848" s="302" t="str">
        <f>"15172"</f>
        <v>15172</v>
      </c>
      <c r="D2848" s="247" t="s">
        <v>18</v>
      </c>
      <c r="E2848" s="248">
        <v>9</v>
      </c>
      <c r="F2848" s="249">
        <v>44474</v>
      </c>
      <c r="G2848" s="249">
        <v>46299</v>
      </c>
      <c r="H2848" s="247" t="s">
        <v>94</v>
      </c>
      <c r="I2848" s="250" t="s">
        <v>79</v>
      </c>
    </row>
    <row r="2849" spans="1:9">
      <c r="A2849" s="246">
        <v>2845</v>
      </c>
      <c r="B2849" s="247" t="s">
        <v>368</v>
      </c>
      <c r="C2849" s="302" t="str">
        <f>"15173"</f>
        <v>15173</v>
      </c>
      <c r="D2849" s="247" t="s">
        <v>18</v>
      </c>
      <c r="E2849" s="248">
        <v>5</v>
      </c>
      <c r="F2849" s="249">
        <v>44566</v>
      </c>
      <c r="G2849" s="249">
        <v>46391</v>
      </c>
      <c r="H2849" s="247" t="s">
        <v>59</v>
      </c>
      <c r="I2849" s="250" t="s">
        <v>79</v>
      </c>
    </row>
    <row r="2850" spans="1:9">
      <c r="A2850" s="246">
        <v>2846</v>
      </c>
      <c r="B2850" s="247" t="s">
        <v>415</v>
      </c>
      <c r="C2850" s="302" t="str">
        <f>"15174"</f>
        <v>15174</v>
      </c>
      <c r="D2850" s="247" t="s">
        <v>18</v>
      </c>
      <c r="E2850" s="248">
        <v>41</v>
      </c>
      <c r="F2850" s="249">
        <v>44592</v>
      </c>
      <c r="G2850" s="249">
        <v>46417</v>
      </c>
      <c r="H2850" s="247" t="s">
        <v>31</v>
      </c>
      <c r="I2850" s="250" t="s">
        <v>79</v>
      </c>
    </row>
    <row r="2851" spans="1:9">
      <c r="A2851" s="246">
        <v>2847</v>
      </c>
      <c r="B2851" s="247" t="s">
        <v>415</v>
      </c>
      <c r="C2851" s="302" t="str">
        <f>"15175"</f>
        <v>15175</v>
      </c>
      <c r="D2851" s="247" t="s">
        <v>18</v>
      </c>
      <c r="E2851" s="248">
        <v>130</v>
      </c>
      <c r="F2851" s="249">
        <v>44592</v>
      </c>
      <c r="G2851" s="249">
        <v>46417</v>
      </c>
      <c r="H2851" s="247" t="s">
        <v>32</v>
      </c>
      <c r="I2851" s="250" t="s">
        <v>79</v>
      </c>
    </row>
    <row r="2852" spans="1:9">
      <c r="A2852" s="252">
        <v>2848</v>
      </c>
      <c r="B2852" s="253" t="s">
        <v>416</v>
      </c>
      <c r="C2852" s="303" t="str">
        <f>"15178"</f>
        <v>15178</v>
      </c>
      <c r="D2852" s="253" t="s">
        <v>23</v>
      </c>
      <c r="E2852" s="254">
        <v>1</v>
      </c>
      <c r="F2852" s="253"/>
      <c r="G2852" s="253"/>
      <c r="H2852" s="253" t="s">
        <v>84</v>
      </c>
      <c r="I2852" s="256" t="s">
        <v>540</v>
      </c>
    </row>
    <row r="2853" spans="1:9">
      <c r="A2853" s="246">
        <v>2849</v>
      </c>
      <c r="B2853" s="247" t="s">
        <v>416</v>
      </c>
      <c r="C2853" s="302" t="str">
        <f>"15179"</f>
        <v>15179</v>
      </c>
      <c r="D2853" s="247" t="s">
        <v>18</v>
      </c>
      <c r="E2853" s="248">
        <v>3</v>
      </c>
      <c r="F2853" s="249">
        <v>44741</v>
      </c>
      <c r="G2853" s="249">
        <v>46566</v>
      </c>
      <c r="H2853" s="247" t="s">
        <v>84</v>
      </c>
      <c r="I2853" s="250" t="s">
        <v>79</v>
      </c>
    </row>
    <row r="2854" spans="1:9">
      <c r="A2854" s="246">
        <v>2850</v>
      </c>
      <c r="B2854" s="247" t="s">
        <v>416</v>
      </c>
      <c r="C2854" s="302" t="str">
        <f>"15180"</f>
        <v>15180</v>
      </c>
      <c r="D2854" s="247" t="s">
        <v>18</v>
      </c>
      <c r="E2854" s="248">
        <v>6</v>
      </c>
      <c r="F2854" s="249">
        <v>44741</v>
      </c>
      <c r="G2854" s="249">
        <v>46566</v>
      </c>
      <c r="H2854" s="247" t="s">
        <v>84</v>
      </c>
      <c r="I2854" s="250" t="s">
        <v>79</v>
      </c>
    </row>
    <row r="2855" spans="1:9">
      <c r="A2855" s="246">
        <v>2851</v>
      </c>
      <c r="B2855" s="247" t="s">
        <v>416</v>
      </c>
      <c r="C2855" s="302" t="str">
        <f>"15181"</f>
        <v>15181</v>
      </c>
      <c r="D2855" s="247" t="s">
        <v>18</v>
      </c>
      <c r="E2855" s="248">
        <v>19</v>
      </c>
      <c r="F2855" s="249">
        <v>44511</v>
      </c>
      <c r="G2855" s="249">
        <v>46336</v>
      </c>
      <c r="H2855" s="247" t="s">
        <v>84</v>
      </c>
      <c r="I2855" s="250" t="s">
        <v>79</v>
      </c>
    </row>
    <row r="2856" spans="1:9">
      <c r="A2856" s="246">
        <v>2852</v>
      </c>
      <c r="B2856" s="247" t="s">
        <v>416</v>
      </c>
      <c r="C2856" s="302" t="str">
        <f>"15182"</f>
        <v>15182</v>
      </c>
      <c r="D2856" s="247" t="s">
        <v>18</v>
      </c>
      <c r="E2856" s="248">
        <v>72</v>
      </c>
      <c r="F2856" s="249">
        <v>44614</v>
      </c>
      <c r="G2856" s="249">
        <v>46439</v>
      </c>
      <c r="H2856" s="247" t="s">
        <v>84</v>
      </c>
      <c r="I2856" s="250" t="s">
        <v>79</v>
      </c>
    </row>
    <row r="2857" spans="1:9">
      <c r="A2857" s="246">
        <v>2853</v>
      </c>
      <c r="B2857" s="247" t="s">
        <v>416</v>
      </c>
      <c r="C2857" s="302" t="str">
        <f>"15183"</f>
        <v>15183</v>
      </c>
      <c r="D2857" s="247" t="s">
        <v>18</v>
      </c>
      <c r="E2857" s="248">
        <v>112</v>
      </c>
      <c r="F2857" s="249">
        <v>44511</v>
      </c>
      <c r="G2857" s="249">
        <v>46336</v>
      </c>
      <c r="H2857" s="247" t="s">
        <v>84</v>
      </c>
      <c r="I2857" s="250" t="s">
        <v>79</v>
      </c>
    </row>
    <row r="2858" spans="1:9">
      <c r="A2858" s="246">
        <v>2854</v>
      </c>
      <c r="B2858" s="247" t="s">
        <v>152</v>
      </c>
      <c r="C2858" s="302" t="str">
        <f>"15185"</f>
        <v>15185</v>
      </c>
      <c r="D2858" s="247" t="s">
        <v>18</v>
      </c>
      <c r="E2858" s="248">
        <v>107</v>
      </c>
      <c r="F2858" s="249">
        <v>44566</v>
      </c>
      <c r="G2858" s="249">
        <v>46391</v>
      </c>
      <c r="H2858" s="247" t="s">
        <v>84</v>
      </c>
      <c r="I2858" s="250" t="s">
        <v>3369</v>
      </c>
    </row>
    <row r="2859" spans="1:9">
      <c r="A2859" s="246">
        <v>2855</v>
      </c>
      <c r="B2859" s="247" t="s">
        <v>352</v>
      </c>
      <c r="C2859" s="302" t="str">
        <f>"15186"</f>
        <v>15186</v>
      </c>
      <c r="D2859" s="247" t="s">
        <v>18</v>
      </c>
      <c r="E2859" s="248">
        <v>104</v>
      </c>
      <c r="F2859" s="249">
        <v>44566</v>
      </c>
      <c r="G2859" s="249">
        <v>46391</v>
      </c>
      <c r="H2859" s="247" t="s">
        <v>84</v>
      </c>
      <c r="I2859" s="250" t="s">
        <v>79</v>
      </c>
    </row>
    <row r="2860" spans="1:9">
      <c r="A2860" s="246">
        <v>2856</v>
      </c>
      <c r="B2860" s="247" t="s">
        <v>352</v>
      </c>
      <c r="C2860" s="302" t="str">
        <f>"15187"</f>
        <v>15187</v>
      </c>
      <c r="D2860" s="247" t="s">
        <v>18</v>
      </c>
      <c r="E2860" s="248">
        <v>59</v>
      </c>
      <c r="F2860" s="249">
        <v>44566</v>
      </c>
      <c r="G2860" s="249">
        <v>46391</v>
      </c>
      <c r="H2860" s="247" t="s">
        <v>84</v>
      </c>
      <c r="I2860" s="250" t="s">
        <v>79</v>
      </c>
    </row>
    <row r="2861" spans="1:9">
      <c r="A2861" s="246">
        <v>2857</v>
      </c>
      <c r="B2861" s="247" t="s">
        <v>417</v>
      </c>
      <c r="C2861" s="302" t="str">
        <f>"15188"</f>
        <v>15188</v>
      </c>
      <c r="D2861" s="247" t="s">
        <v>18</v>
      </c>
      <c r="E2861" s="248">
        <v>72</v>
      </c>
      <c r="F2861" s="249">
        <v>44558</v>
      </c>
      <c r="G2861" s="249">
        <v>46383</v>
      </c>
      <c r="H2861" s="247" t="s">
        <v>84</v>
      </c>
      <c r="I2861" s="250" t="s">
        <v>79</v>
      </c>
    </row>
    <row r="2862" spans="1:9">
      <c r="A2862" s="246">
        <v>2858</v>
      </c>
      <c r="B2862" s="247" t="s">
        <v>417</v>
      </c>
      <c r="C2862" s="302" t="str">
        <f>"15189"</f>
        <v>15189</v>
      </c>
      <c r="D2862" s="247" t="s">
        <v>18</v>
      </c>
      <c r="E2862" s="248">
        <v>55</v>
      </c>
      <c r="F2862" s="249">
        <v>44558</v>
      </c>
      <c r="G2862" s="249">
        <v>46383</v>
      </c>
      <c r="H2862" s="247" t="s">
        <v>84</v>
      </c>
      <c r="I2862" s="250" t="s">
        <v>79</v>
      </c>
    </row>
    <row r="2863" spans="1:9">
      <c r="A2863" s="246">
        <v>2859</v>
      </c>
      <c r="B2863" s="247" t="s">
        <v>417</v>
      </c>
      <c r="C2863" s="302" t="str">
        <f>"15190"</f>
        <v>15190</v>
      </c>
      <c r="D2863" s="247" t="s">
        <v>18</v>
      </c>
      <c r="E2863" s="248">
        <v>29</v>
      </c>
      <c r="F2863" s="249">
        <v>44558</v>
      </c>
      <c r="G2863" s="249">
        <v>46383</v>
      </c>
      <c r="H2863" s="247" t="s">
        <v>84</v>
      </c>
      <c r="I2863" s="250" t="s">
        <v>79</v>
      </c>
    </row>
    <row r="2864" spans="1:9">
      <c r="A2864" s="246">
        <v>2860</v>
      </c>
      <c r="B2864" s="247" t="s">
        <v>399</v>
      </c>
      <c r="C2864" s="302" t="str">
        <f>"15192"</f>
        <v>15192</v>
      </c>
      <c r="D2864" s="247" t="s">
        <v>18</v>
      </c>
      <c r="E2864" s="248">
        <v>21</v>
      </c>
      <c r="F2864" s="249">
        <v>44670</v>
      </c>
      <c r="G2864" s="249">
        <v>46495</v>
      </c>
      <c r="H2864" s="247" t="s">
        <v>32</v>
      </c>
      <c r="I2864" s="250" t="s">
        <v>79</v>
      </c>
    </row>
    <row r="2865" spans="1:9">
      <c r="A2865" s="246">
        <v>2861</v>
      </c>
      <c r="B2865" s="247" t="s">
        <v>400</v>
      </c>
      <c r="C2865" s="302" t="str">
        <f>"15193"</f>
        <v>15193</v>
      </c>
      <c r="D2865" s="247" t="s">
        <v>18</v>
      </c>
      <c r="E2865" s="248">
        <v>45</v>
      </c>
      <c r="F2865" s="249">
        <v>44659</v>
      </c>
      <c r="G2865" s="249">
        <v>46484</v>
      </c>
      <c r="H2865" s="247" t="s">
        <v>32</v>
      </c>
      <c r="I2865" s="250" t="s">
        <v>79</v>
      </c>
    </row>
    <row r="2866" spans="1:9">
      <c r="A2866" s="246">
        <v>2862</v>
      </c>
      <c r="B2866" s="247" t="s">
        <v>400</v>
      </c>
      <c r="C2866" s="302" t="str">
        <f>"15194"</f>
        <v>15194</v>
      </c>
      <c r="D2866" s="247" t="s">
        <v>18</v>
      </c>
      <c r="E2866" s="248">
        <v>18</v>
      </c>
      <c r="F2866" s="249">
        <v>44659</v>
      </c>
      <c r="G2866" s="249">
        <v>46484</v>
      </c>
      <c r="H2866" s="247" t="s">
        <v>32</v>
      </c>
      <c r="I2866" s="250" t="s">
        <v>79</v>
      </c>
    </row>
    <row r="2867" spans="1:9">
      <c r="A2867" s="246">
        <v>2863</v>
      </c>
      <c r="B2867" s="247" t="s">
        <v>416</v>
      </c>
      <c r="C2867" s="302" t="str">
        <f>"15198"</f>
        <v>15198</v>
      </c>
      <c r="D2867" s="247" t="s">
        <v>23</v>
      </c>
      <c r="E2867" s="248">
        <v>2</v>
      </c>
      <c r="F2867" s="249">
        <v>44614</v>
      </c>
      <c r="G2867" s="249">
        <v>44978</v>
      </c>
      <c r="H2867" s="247" t="s">
        <v>84</v>
      </c>
      <c r="I2867" s="250" t="s">
        <v>3413</v>
      </c>
    </row>
    <row r="2868" spans="1:9">
      <c r="A2868" s="246">
        <v>2864</v>
      </c>
      <c r="B2868" s="247" t="s">
        <v>418</v>
      </c>
      <c r="C2868" s="302" t="str">
        <f>"15206"</f>
        <v>15206</v>
      </c>
      <c r="D2868" s="247" t="s">
        <v>18</v>
      </c>
      <c r="E2868" s="248">
        <v>2</v>
      </c>
      <c r="F2868" s="249">
        <v>44649</v>
      </c>
      <c r="G2868" s="249">
        <v>46474</v>
      </c>
      <c r="H2868" s="247" t="s">
        <v>84</v>
      </c>
      <c r="I2868" s="250" t="s">
        <v>79</v>
      </c>
    </row>
    <row r="2869" spans="1:9">
      <c r="A2869" s="246">
        <v>2865</v>
      </c>
      <c r="B2869" s="247" t="s">
        <v>419</v>
      </c>
      <c r="C2869" s="302" t="str">
        <f>"15207"</f>
        <v>15207</v>
      </c>
      <c r="D2869" s="247" t="s">
        <v>23</v>
      </c>
      <c r="E2869" s="248">
        <v>3</v>
      </c>
      <c r="F2869" s="249">
        <v>44610</v>
      </c>
      <c r="G2869" s="249">
        <v>44974</v>
      </c>
      <c r="H2869" s="247" t="s">
        <v>16</v>
      </c>
      <c r="I2869" s="250" t="s">
        <v>79</v>
      </c>
    </row>
    <row r="2870" spans="1:9">
      <c r="A2870" s="246">
        <v>2866</v>
      </c>
      <c r="B2870" s="247" t="s">
        <v>419</v>
      </c>
      <c r="C2870" s="302" t="str">
        <f>"15208"</f>
        <v>15208</v>
      </c>
      <c r="D2870" s="247" t="s">
        <v>18</v>
      </c>
      <c r="E2870" s="248">
        <v>4</v>
      </c>
      <c r="F2870" s="249">
        <v>44610</v>
      </c>
      <c r="G2870" s="249">
        <v>46435</v>
      </c>
      <c r="H2870" s="247" t="s">
        <v>16</v>
      </c>
      <c r="I2870" s="250" t="s">
        <v>79</v>
      </c>
    </row>
    <row r="2871" spans="1:9">
      <c r="A2871" s="246">
        <v>2867</v>
      </c>
      <c r="B2871" s="247" t="s">
        <v>152</v>
      </c>
      <c r="C2871" s="302" t="str">
        <f>"15216"</f>
        <v>15216</v>
      </c>
      <c r="D2871" s="247" t="s">
        <v>18</v>
      </c>
      <c r="E2871" s="248">
        <v>89</v>
      </c>
      <c r="F2871" s="249">
        <v>44775</v>
      </c>
      <c r="G2871" s="249">
        <v>46600</v>
      </c>
      <c r="H2871" s="247" t="s">
        <v>84</v>
      </c>
      <c r="I2871" s="250" t="s">
        <v>79</v>
      </c>
    </row>
    <row r="2872" spans="1:9">
      <c r="A2872" s="246">
        <v>2868</v>
      </c>
      <c r="B2872" s="247" t="s">
        <v>264</v>
      </c>
      <c r="C2872" s="302" t="str">
        <f>"15217"</f>
        <v>15217</v>
      </c>
      <c r="D2872" s="247" t="s">
        <v>18</v>
      </c>
      <c r="E2872" s="248">
        <v>4</v>
      </c>
      <c r="F2872" s="249">
        <v>44659</v>
      </c>
      <c r="G2872" s="249">
        <v>46484</v>
      </c>
      <c r="H2872" s="247" t="s">
        <v>24</v>
      </c>
      <c r="I2872" s="250" t="s">
        <v>79</v>
      </c>
    </row>
    <row r="2873" spans="1:9">
      <c r="A2873" s="246">
        <v>2869</v>
      </c>
      <c r="B2873" s="247" t="s">
        <v>264</v>
      </c>
      <c r="C2873" s="302" t="str">
        <f>"15218"</f>
        <v>15218</v>
      </c>
      <c r="D2873" s="247" t="s">
        <v>18</v>
      </c>
      <c r="E2873" s="248">
        <v>30</v>
      </c>
      <c r="F2873" s="249">
        <v>44659</v>
      </c>
      <c r="G2873" s="249">
        <v>46484</v>
      </c>
      <c r="H2873" s="247" t="s">
        <v>24</v>
      </c>
      <c r="I2873" s="250" t="s">
        <v>79</v>
      </c>
    </row>
    <row r="2874" spans="1:9">
      <c r="A2874" s="246">
        <v>2870</v>
      </c>
      <c r="B2874" s="247" t="s">
        <v>264</v>
      </c>
      <c r="C2874" s="302" t="str">
        <f>"15219"</f>
        <v>15219</v>
      </c>
      <c r="D2874" s="247" t="s">
        <v>18</v>
      </c>
      <c r="E2874" s="248">
        <v>35</v>
      </c>
      <c r="F2874" s="249">
        <v>44659</v>
      </c>
      <c r="G2874" s="249">
        <v>46484</v>
      </c>
      <c r="H2874" s="247" t="s">
        <v>24</v>
      </c>
      <c r="I2874" s="250" t="s">
        <v>79</v>
      </c>
    </row>
    <row r="2875" spans="1:9">
      <c r="A2875" s="246">
        <v>2871</v>
      </c>
      <c r="B2875" s="247" t="s">
        <v>264</v>
      </c>
      <c r="C2875" s="302" t="str">
        <f>"15220"</f>
        <v>15220</v>
      </c>
      <c r="D2875" s="247" t="s">
        <v>18</v>
      </c>
      <c r="E2875" s="248">
        <v>16</v>
      </c>
      <c r="F2875" s="249">
        <v>44659</v>
      </c>
      <c r="G2875" s="249">
        <v>46484</v>
      </c>
      <c r="H2875" s="247" t="s">
        <v>24</v>
      </c>
      <c r="I2875" s="250" t="s">
        <v>79</v>
      </c>
    </row>
    <row r="2876" spans="1:9">
      <c r="A2876" s="246">
        <v>2872</v>
      </c>
      <c r="B2876" s="247" t="s">
        <v>420</v>
      </c>
      <c r="C2876" s="302" t="str">
        <f>"15222"</f>
        <v>15222</v>
      </c>
      <c r="D2876" s="247" t="s">
        <v>18</v>
      </c>
      <c r="E2876" s="248">
        <v>30</v>
      </c>
      <c r="F2876" s="249">
        <v>44810</v>
      </c>
      <c r="G2876" s="249">
        <v>46635</v>
      </c>
      <c r="H2876" s="247" t="s">
        <v>32</v>
      </c>
      <c r="I2876" s="250" t="s">
        <v>79</v>
      </c>
    </row>
    <row r="2877" spans="1:9">
      <c r="A2877" s="252">
        <v>2873</v>
      </c>
      <c r="B2877" s="253" t="s">
        <v>375</v>
      </c>
      <c r="C2877" s="303" t="str">
        <f>"15229"</f>
        <v>15229</v>
      </c>
      <c r="D2877" s="253" t="s">
        <v>18</v>
      </c>
      <c r="E2877" s="254">
        <v>24</v>
      </c>
      <c r="F2877" s="253"/>
      <c r="G2877" s="253"/>
      <c r="H2877" s="253" t="s">
        <v>56</v>
      </c>
      <c r="I2877" s="256" t="s">
        <v>540</v>
      </c>
    </row>
    <row r="2878" spans="1:9">
      <c r="A2878" s="246">
        <v>2874</v>
      </c>
      <c r="B2878" s="247" t="s">
        <v>111</v>
      </c>
      <c r="C2878" s="302" t="str">
        <f>"15230"</f>
        <v>15230</v>
      </c>
      <c r="D2878" s="247" t="s">
        <v>18</v>
      </c>
      <c r="E2878" s="248">
        <v>15</v>
      </c>
      <c r="F2878" s="249">
        <v>44515</v>
      </c>
      <c r="G2878" s="249">
        <v>46340</v>
      </c>
      <c r="H2878" s="247" t="s">
        <v>16</v>
      </c>
      <c r="I2878" s="250" t="s">
        <v>79</v>
      </c>
    </row>
    <row r="2879" spans="1:9">
      <c r="A2879" s="246">
        <v>2875</v>
      </c>
      <c r="B2879" s="247" t="s">
        <v>420</v>
      </c>
      <c r="C2879" s="302" t="str">
        <f>"15231"</f>
        <v>15231</v>
      </c>
      <c r="D2879" s="247" t="s">
        <v>18</v>
      </c>
      <c r="E2879" s="248">
        <v>4</v>
      </c>
      <c r="F2879" s="249">
        <v>44810</v>
      </c>
      <c r="G2879" s="249">
        <v>46635</v>
      </c>
      <c r="H2879" s="247" t="s">
        <v>16</v>
      </c>
      <c r="I2879" s="250" t="s">
        <v>79</v>
      </c>
    </row>
    <row r="2880" spans="1:9">
      <c r="A2880" s="246">
        <v>2876</v>
      </c>
      <c r="B2880" s="247" t="s">
        <v>421</v>
      </c>
      <c r="C2880" s="302" t="str">
        <f>"15234"</f>
        <v>15234</v>
      </c>
      <c r="D2880" s="247" t="s">
        <v>21</v>
      </c>
      <c r="E2880" s="248">
        <v>1</v>
      </c>
      <c r="F2880" s="249">
        <v>44705</v>
      </c>
      <c r="G2880" s="249">
        <v>45455</v>
      </c>
      <c r="H2880" s="247" t="s">
        <v>89</v>
      </c>
      <c r="I2880" s="250" t="s">
        <v>79</v>
      </c>
    </row>
    <row r="2881" spans="1:9">
      <c r="A2881" s="246">
        <v>2877</v>
      </c>
      <c r="B2881" s="247" t="s">
        <v>152</v>
      </c>
      <c r="C2881" s="302" t="str">
        <f>"15235"</f>
        <v>15235</v>
      </c>
      <c r="D2881" s="247" t="s">
        <v>18</v>
      </c>
      <c r="E2881" s="248">
        <v>43</v>
      </c>
      <c r="F2881" s="249">
        <v>44775</v>
      </c>
      <c r="G2881" s="249">
        <v>46600</v>
      </c>
      <c r="H2881" s="247" t="s">
        <v>84</v>
      </c>
      <c r="I2881" s="250" t="s">
        <v>79</v>
      </c>
    </row>
    <row r="2882" spans="1:9">
      <c r="A2882" s="246">
        <v>2878</v>
      </c>
      <c r="B2882" s="247" t="s">
        <v>152</v>
      </c>
      <c r="C2882" s="302" t="str">
        <f>"15236"</f>
        <v>15236</v>
      </c>
      <c r="D2882" s="247" t="s">
        <v>18</v>
      </c>
      <c r="E2882" s="248">
        <v>7</v>
      </c>
      <c r="F2882" s="249">
        <v>44775</v>
      </c>
      <c r="G2882" s="249">
        <v>46600</v>
      </c>
      <c r="H2882" s="247" t="s">
        <v>84</v>
      </c>
      <c r="I2882" s="250" t="s">
        <v>79</v>
      </c>
    </row>
    <row r="2883" spans="1:9">
      <c r="A2883" s="246">
        <v>2879</v>
      </c>
      <c r="B2883" s="247" t="s">
        <v>351</v>
      </c>
      <c r="C2883" s="302" t="str">
        <f>"15238"</f>
        <v>15238</v>
      </c>
      <c r="D2883" s="247" t="s">
        <v>18</v>
      </c>
      <c r="E2883" s="248">
        <v>6</v>
      </c>
      <c r="F2883" s="249">
        <v>44783</v>
      </c>
      <c r="G2883" s="249">
        <v>46608</v>
      </c>
      <c r="H2883" s="247" t="s">
        <v>277</v>
      </c>
      <c r="I2883" s="250" t="s">
        <v>79</v>
      </c>
    </row>
    <row r="2884" spans="1:9">
      <c r="A2884" s="246">
        <v>2880</v>
      </c>
      <c r="B2884" s="247" t="s">
        <v>351</v>
      </c>
      <c r="C2884" s="302" t="str">
        <f>"15240"</f>
        <v>15240</v>
      </c>
      <c r="D2884" s="247" t="s">
        <v>18</v>
      </c>
      <c r="E2884" s="248">
        <v>18</v>
      </c>
      <c r="F2884" s="249">
        <v>44783</v>
      </c>
      <c r="G2884" s="249">
        <v>46608</v>
      </c>
      <c r="H2884" s="247" t="s">
        <v>277</v>
      </c>
      <c r="I2884" s="250" t="s">
        <v>79</v>
      </c>
    </row>
    <row r="2885" spans="1:9">
      <c r="A2885" s="246">
        <v>2881</v>
      </c>
      <c r="B2885" s="247" t="s">
        <v>422</v>
      </c>
      <c r="C2885" s="302" t="str">
        <f>"15243"</f>
        <v>15243</v>
      </c>
      <c r="D2885" s="247" t="s">
        <v>18</v>
      </c>
      <c r="E2885" s="248">
        <v>4</v>
      </c>
      <c r="F2885" s="249">
        <v>44888</v>
      </c>
      <c r="G2885" s="249">
        <v>46713</v>
      </c>
      <c r="H2885" s="247" t="s">
        <v>14</v>
      </c>
      <c r="I2885" s="250" t="s">
        <v>79</v>
      </c>
    </row>
    <row r="2886" spans="1:9">
      <c r="A2886" s="246">
        <v>2882</v>
      </c>
      <c r="B2886" s="247" t="s">
        <v>422</v>
      </c>
      <c r="C2886" s="302" t="str">
        <f>"15244"</f>
        <v>15244</v>
      </c>
      <c r="D2886" s="247" t="s">
        <v>18</v>
      </c>
      <c r="E2886" s="248">
        <v>4</v>
      </c>
      <c r="F2886" s="249">
        <v>44888</v>
      </c>
      <c r="G2886" s="249">
        <v>46713</v>
      </c>
      <c r="H2886" s="247" t="s">
        <v>14</v>
      </c>
      <c r="I2886" s="250" t="s">
        <v>79</v>
      </c>
    </row>
    <row r="2887" spans="1:9">
      <c r="A2887" s="246">
        <v>2883</v>
      </c>
      <c r="B2887" s="247" t="s">
        <v>423</v>
      </c>
      <c r="C2887" s="302" t="str">
        <f>"15252"</f>
        <v>15252</v>
      </c>
      <c r="D2887" s="247" t="s">
        <v>18</v>
      </c>
      <c r="E2887" s="248">
        <v>6</v>
      </c>
      <c r="F2887" s="249">
        <v>44638</v>
      </c>
      <c r="G2887" s="249">
        <v>46463</v>
      </c>
      <c r="H2887" s="247" t="s">
        <v>73</v>
      </c>
      <c r="I2887" s="250" t="s">
        <v>79</v>
      </c>
    </row>
    <row r="2888" spans="1:9">
      <c r="A2888" s="246">
        <v>2884</v>
      </c>
      <c r="B2888" s="247" t="s">
        <v>423</v>
      </c>
      <c r="C2888" s="302" t="str">
        <f>"15253"</f>
        <v>15253</v>
      </c>
      <c r="D2888" s="247" t="s">
        <v>18</v>
      </c>
      <c r="E2888" s="248">
        <v>4</v>
      </c>
      <c r="F2888" s="249">
        <v>44638</v>
      </c>
      <c r="G2888" s="249">
        <v>46463</v>
      </c>
      <c r="H2888" s="247" t="s">
        <v>73</v>
      </c>
      <c r="I2888" s="250" t="s">
        <v>79</v>
      </c>
    </row>
    <row r="2889" spans="1:9">
      <c r="A2889" s="252">
        <v>2885</v>
      </c>
      <c r="B2889" s="253" t="s">
        <v>424</v>
      </c>
      <c r="C2889" s="303" t="str">
        <f>"15257"</f>
        <v>15257</v>
      </c>
      <c r="D2889" s="253" t="s">
        <v>18</v>
      </c>
      <c r="E2889" s="254">
        <v>8</v>
      </c>
      <c r="F2889" s="253"/>
      <c r="G2889" s="253"/>
      <c r="H2889" s="253" t="s">
        <v>277</v>
      </c>
      <c r="I2889" s="256" t="s">
        <v>540</v>
      </c>
    </row>
    <row r="2890" spans="1:9">
      <c r="A2890" s="246">
        <v>2886</v>
      </c>
      <c r="B2890" s="247" t="s">
        <v>424</v>
      </c>
      <c r="C2890" s="302" t="str">
        <f>"15258"</f>
        <v>15258</v>
      </c>
      <c r="D2890" s="247" t="s">
        <v>18</v>
      </c>
      <c r="E2890" s="248">
        <v>5</v>
      </c>
      <c r="F2890" s="249">
        <v>44896</v>
      </c>
      <c r="G2890" s="249">
        <v>46721</v>
      </c>
      <c r="H2890" s="247" t="s">
        <v>277</v>
      </c>
      <c r="I2890" s="250" t="s">
        <v>79</v>
      </c>
    </row>
    <row r="2891" spans="1:9">
      <c r="A2891" s="252">
        <v>2887</v>
      </c>
      <c r="B2891" s="253" t="s">
        <v>264</v>
      </c>
      <c r="C2891" s="303" t="str">
        <f>"15259"</f>
        <v>15259</v>
      </c>
      <c r="D2891" s="253" t="s">
        <v>18</v>
      </c>
      <c r="E2891" s="254">
        <v>3</v>
      </c>
      <c r="F2891" s="253"/>
      <c r="G2891" s="253"/>
      <c r="H2891" s="253" t="s">
        <v>56</v>
      </c>
      <c r="I2891" s="256" t="s">
        <v>540</v>
      </c>
    </row>
    <row r="2892" spans="1:9">
      <c r="A2892" s="252">
        <v>2888</v>
      </c>
      <c r="B2892" s="253" t="s">
        <v>264</v>
      </c>
      <c r="C2892" s="303" t="str">
        <f>"15260"</f>
        <v>15260</v>
      </c>
      <c r="D2892" s="253" t="s">
        <v>18</v>
      </c>
      <c r="E2892" s="254">
        <v>5</v>
      </c>
      <c r="F2892" s="253"/>
      <c r="G2892" s="253"/>
      <c r="H2892" s="253" t="s">
        <v>59</v>
      </c>
      <c r="I2892" s="256" t="s">
        <v>540</v>
      </c>
    </row>
    <row r="2893" spans="1:9">
      <c r="A2893" s="246">
        <v>2889</v>
      </c>
      <c r="B2893" s="247" t="s">
        <v>425</v>
      </c>
      <c r="C2893" s="302" t="str">
        <f>"15263"</f>
        <v>15263</v>
      </c>
      <c r="D2893" s="247" t="s">
        <v>18</v>
      </c>
      <c r="E2893" s="248">
        <v>15</v>
      </c>
      <c r="F2893" s="249">
        <v>44896</v>
      </c>
      <c r="G2893" s="249">
        <v>46721</v>
      </c>
      <c r="H2893" s="247" t="s">
        <v>14</v>
      </c>
      <c r="I2893" s="250" t="s">
        <v>79</v>
      </c>
    </row>
    <row r="2894" spans="1:9">
      <c r="A2894" s="246">
        <v>2890</v>
      </c>
      <c r="B2894" s="247" t="s">
        <v>197</v>
      </c>
      <c r="C2894" s="302" t="str">
        <f>"15266"</f>
        <v>15266</v>
      </c>
      <c r="D2894" s="247" t="s">
        <v>18</v>
      </c>
      <c r="E2894" s="248">
        <v>8</v>
      </c>
      <c r="F2894" s="249">
        <v>44747</v>
      </c>
      <c r="G2894" s="249">
        <v>46572</v>
      </c>
      <c r="H2894" s="247" t="s">
        <v>14</v>
      </c>
      <c r="I2894" s="250" t="s">
        <v>79</v>
      </c>
    </row>
    <row r="2895" spans="1:9">
      <c r="A2895" s="246">
        <v>2891</v>
      </c>
      <c r="B2895" s="247" t="s">
        <v>426</v>
      </c>
      <c r="C2895" s="302" t="str">
        <f>"15273"</f>
        <v>15273</v>
      </c>
      <c r="D2895" s="247" t="s">
        <v>18</v>
      </c>
      <c r="E2895" s="248">
        <v>13</v>
      </c>
      <c r="F2895" s="249">
        <v>44888</v>
      </c>
      <c r="G2895" s="249">
        <v>46713</v>
      </c>
      <c r="H2895" s="247" t="s">
        <v>14</v>
      </c>
      <c r="I2895" s="250" t="s">
        <v>79</v>
      </c>
    </row>
    <row r="2896" spans="1:9">
      <c r="A2896" s="246">
        <v>2892</v>
      </c>
      <c r="B2896" s="247" t="s">
        <v>426</v>
      </c>
      <c r="C2896" s="302" t="str">
        <f>"15274"</f>
        <v>15274</v>
      </c>
      <c r="D2896" s="247" t="s">
        <v>18</v>
      </c>
      <c r="E2896" s="248">
        <v>12</v>
      </c>
      <c r="F2896" s="249">
        <v>44888</v>
      </c>
      <c r="G2896" s="249">
        <v>46713</v>
      </c>
      <c r="H2896" s="247" t="s">
        <v>14</v>
      </c>
      <c r="I2896" s="250" t="s">
        <v>79</v>
      </c>
    </row>
    <row r="2897" spans="1:9">
      <c r="A2897" s="246">
        <v>2893</v>
      </c>
      <c r="B2897" s="247" t="s">
        <v>426</v>
      </c>
      <c r="C2897" s="302" t="str">
        <f>"15275"</f>
        <v>15275</v>
      </c>
      <c r="D2897" s="247" t="s">
        <v>18</v>
      </c>
      <c r="E2897" s="248">
        <v>34</v>
      </c>
      <c r="F2897" s="249">
        <v>44888</v>
      </c>
      <c r="G2897" s="249">
        <v>46713</v>
      </c>
      <c r="H2897" s="247" t="s">
        <v>14</v>
      </c>
      <c r="I2897" s="250" t="s">
        <v>79</v>
      </c>
    </row>
    <row r="2898" spans="1:9">
      <c r="A2898" s="246">
        <v>2894</v>
      </c>
      <c r="B2898" s="247" t="s">
        <v>427</v>
      </c>
      <c r="C2898" s="302" t="str">
        <f>"15276"</f>
        <v>15276</v>
      </c>
      <c r="D2898" s="247" t="s">
        <v>18</v>
      </c>
      <c r="E2898" s="248">
        <v>98</v>
      </c>
      <c r="F2898" s="249">
        <v>44893</v>
      </c>
      <c r="G2898" s="249">
        <v>46718</v>
      </c>
      <c r="H2898" s="247" t="s">
        <v>56</v>
      </c>
      <c r="I2898" s="250" t="s">
        <v>79</v>
      </c>
    </row>
    <row r="2899" spans="1:9">
      <c r="A2899" s="246">
        <v>2895</v>
      </c>
      <c r="B2899" s="247" t="s">
        <v>427</v>
      </c>
      <c r="C2899" s="302" t="str">
        <f>"15277"</f>
        <v>15277</v>
      </c>
      <c r="D2899" s="247" t="s">
        <v>18</v>
      </c>
      <c r="E2899" s="248">
        <v>165</v>
      </c>
      <c r="F2899" s="249">
        <v>44893</v>
      </c>
      <c r="G2899" s="249">
        <v>46718</v>
      </c>
      <c r="H2899" s="247" t="s">
        <v>59</v>
      </c>
      <c r="I2899" s="250" t="s">
        <v>79</v>
      </c>
    </row>
    <row r="2900" spans="1:9">
      <c r="A2900" s="246">
        <v>2896</v>
      </c>
      <c r="B2900" s="247" t="s">
        <v>427</v>
      </c>
      <c r="C2900" s="302" t="str">
        <f>"15278"</f>
        <v>15278</v>
      </c>
      <c r="D2900" s="247" t="s">
        <v>18</v>
      </c>
      <c r="E2900" s="248">
        <v>63</v>
      </c>
      <c r="F2900" s="249">
        <v>44893</v>
      </c>
      <c r="G2900" s="249">
        <v>46718</v>
      </c>
      <c r="H2900" s="247" t="s">
        <v>70</v>
      </c>
      <c r="I2900" s="250" t="s">
        <v>79</v>
      </c>
    </row>
    <row r="2901" spans="1:9">
      <c r="A2901" s="246">
        <v>2897</v>
      </c>
      <c r="B2901" s="247" t="s">
        <v>428</v>
      </c>
      <c r="C2901" s="302" t="str">
        <f>"15279"</f>
        <v>15279</v>
      </c>
      <c r="D2901" s="247" t="s">
        <v>18</v>
      </c>
      <c r="E2901" s="248">
        <v>20</v>
      </c>
      <c r="F2901" s="249">
        <v>44889</v>
      </c>
      <c r="G2901" s="249">
        <v>46714</v>
      </c>
      <c r="H2901" s="247" t="s">
        <v>56</v>
      </c>
      <c r="I2901" s="250" t="s">
        <v>79</v>
      </c>
    </row>
    <row r="2902" spans="1:9">
      <c r="A2902" s="246">
        <v>2898</v>
      </c>
      <c r="B2902" s="247" t="s">
        <v>428</v>
      </c>
      <c r="C2902" s="302" t="str">
        <f>"15280"</f>
        <v>15280</v>
      </c>
      <c r="D2902" s="247" t="s">
        <v>18</v>
      </c>
      <c r="E2902" s="248">
        <v>12</v>
      </c>
      <c r="F2902" s="249">
        <v>44889</v>
      </c>
      <c r="G2902" s="249">
        <v>46714</v>
      </c>
      <c r="H2902" s="247" t="s">
        <v>32</v>
      </c>
      <c r="I2902" s="250" t="s">
        <v>79</v>
      </c>
    </row>
    <row r="2903" spans="1:9">
      <c r="A2903" s="246">
        <v>2899</v>
      </c>
      <c r="B2903" s="247" t="s">
        <v>428</v>
      </c>
      <c r="C2903" s="302" t="str">
        <f>"15281"</f>
        <v>15281</v>
      </c>
      <c r="D2903" s="247" t="s">
        <v>18</v>
      </c>
      <c r="E2903" s="248">
        <v>16</v>
      </c>
      <c r="F2903" s="249">
        <v>44889</v>
      </c>
      <c r="G2903" s="249">
        <v>46714</v>
      </c>
      <c r="H2903" s="247" t="s">
        <v>14</v>
      </c>
      <c r="I2903" s="250" t="s">
        <v>79</v>
      </c>
    </row>
    <row r="2904" spans="1:9">
      <c r="A2904" s="246">
        <v>2900</v>
      </c>
      <c r="B2904" s="247" t="s">
        <v>429</v>
      </c>
      <c r="C2904" s="302" t="str">
        <f>"15284"</f>
        <v>15284</v>
      </c>
      <c r="D2904" s="247" t="s">
        <v>18</v>
      </c>
      <c r="E2904" s="248">
        <v>33</v>
      </c>
      <c r="F2904" s="249">
        <v>44900</v>
      </c>
      <c r="G2904" s="249">
        <v>46725</v>
      </c>
      <c r="H2904" s="247" t="s">
        <v>59</v>
      </c>
      <c r="I2904" s="250" t="s">
        <v>79</v>
      </c>
    </row>
    <row r="2905" spans="1:9">
      <c r="A2905" s="246">
        <v>2901</v>
      </c>
      <c r="B2905" s="247" t="s">
        <v>429</v>
      </c>
      <c r="C2905" s="302" t="str">
        <f>"15285"</f>
        <v>15285</v>
      </c>
      <c r="D2905" s="247" t="s">
        <v>18</v>
      </c>
      <c r="E2905" s="248">
        <v>41</v>
      </c>
      <c r="F2905" s="249">
        <v>44900</v>
      </c>
      <c r="G2905" s="249">
        <v>46725</v>
      </c>
      <c r="H2905" s="247" t="s">
        <v>59</v>
      </c>
      <c r="I2905" s="250" t="s">
        <v>79</v>
      </c>
    </row>
    <row r="2906" spans="1:9">
      <c r="A2906" s="246">
        <v>2902</v>
      </c>
      <c r="B2906" s="247" t="s">
        <v>429</v>
      </c>
      <c r="C2906" s="302" t="str">
        <f>"15286"</f>
        <v>15286</v>
      </c>
      <c r="D2906" s="247" t="s">
        <v>18</v>
      </c>
      <c r="E2906" s="248">
        <v>48</v>
      </c>
      <c r="F2906" s="249">
        <v>44900</v>
      </c>
      <c r="G2906" s="249">
        <v>46725</v>
      </c>
      <c r="H2906" s="247" t="s">
        <v>59</v>
      </c>
      <c r="I2906" s="250" t="s">
        <v>79</v>
      </c>
    </row>
    <row r="2907" spans="1:9">
      <c r="A2907" s="246">
        <v>2903</v>
      </c>
      <c r="B2907" s="247" t="s">
        <v>429</v>
      </c>
      <c r="C2907" s="302" t="str">
        <f>"15287"</f>
        <v>15287</v>
      </c>
      <c r="D2907" s="247" t="s">
        <v>18</v>
      </c>
      <c r="E2907" s="248">
        <v>2</v>
      </c>
      <c r="F2907" s="249">
        <v>44900</v>
      </c>
      <c r="G2907" s="249">
        <v>46725</v>
      </c>
      <c r="H2907" s="247" t="s">
        <v>59</v>
      </c>
      <c r="I2907" s="250" t="s">
        <v>79</v>
      </c>
    </row>
    <row r="2908" spans="1:9">
      <c r="A2908" s="246">
        <v>2904</v>
      </c>
      <c r="B2908" s="247" t="s">
        <v>429</v>
      </c>
      <c r="C2908" s="302" t="str">
        <f>"15288"</f>
        <v>15288</v>
      </c>
      <c r="D2908" s="247" t="s">
        <v>18</v>
      </c>
      <c r="E2908" s="248">
        <v>4</v>
      </c>
      <c r="F2908" s="249">
        <v>44900</v>
      </c>
      <c r="G2908" s="249">
        <v>46725</v>
      </c>
      <c r="H2908" s="247" t="s">
        <v>59</v>
      </c>
      <c r="I2908" s="250" t="s">
        <v>79</v>
      </c>
    </row>
    <row r="2909" spans="1:9">
      <c r="A2909" s="246">
        <v>2905</v>
      </c>
      <c r="B2909" s="247" t="s">
        <v>429</v>
      </c>
      <c r="C2909" s="302" t="str">
        <f>"15289"</f>
        <v>15289</v>
      </c>
      <c r="D2909" s="247" t="s">
        <v>18</v>
      </c>
      <c r="E2909" s="248">
        <v>15</v>
      </c>
      <c r="F2909" s="249">
        <v>44900</v>
      </c>
      <c r="G2909" s="249">
        <v>46725</v>
      </c>
      <c r="H2909" s="247" t="s">
        <v>59</v>
      </c>
      <c r="I2909" s="250" t="s">
        <v>79</v>
      </c>
    </row>
    <row r="2910" spans="1:9">
      <c r="A2910" s="246">
        <v>2906</v>
      </c>
      <c r="B2910" s="247" t="s">
        <v>152</v>
      </c>
      <c r="C2910" s="302" t="str">
        <f>"15300"</f>
        <v>15300</v>
      </c>
      <c r="D2910" s="247" t="s">
        <v>18</v>
      </c>
      <c r="E2910" s="248">
        <v>47</v>
      </c>
      <c r="F2910" s="249">
        <v>44888</v>
      </c>
      <c r="G2910" s="249">
        <v>46713</v>
      </c>
      <c r="H2910" s="247" t="s">
        <v>31</v>
      </c>
      <c r="I2910" s="250" t="s">
        <v>79</v>
      </c>
    </row>
    <row r="2911" spans="1:9">
      <c r="A2911" s="246">
        <v>2907</v>
      </c>
      <c r="B2911" s="247" t="s">
        <v>430</v>
      </c>
      <c r="C2911" s="302" t="str">
        <f>"15311"</f>
        <v>15311</v>
      </c>
      <c r="D2911" s="247" t="s">
        <v>18</v>
      </c>
      <c r="E2911" s="248">
        <v>12</v>
      </c>
      <c r="F2911" s="249">
        <v>44900</v>
      </c>
      <c r="G2911" s="249">
        <v>46725</v>
      </c>
      <c r="H2911" s="247" t="s">
        <v>16</v>
      </c>
      <c r="I2911" s="250" t="s">
        <v>79</v>
      </c>
    </row>
    <row r="2912" spans="1:9">
      <c r="A2912" s="246">
        <v>2908</v>
      </c>
      <c r="B2912" s="247" t="s">
        <v>430</v>
      </c>
      <c r="C2912" s="302" t="str">
        <f>"15312"</f>
        <v>15312</v>
      </c>
      <c r="D2912" s="247" t="s">
        <v>18</v>
      </c>
      <c r="E2912" s="248">
        <v>13</v>
      </c>
      <c r="F2912" s="249">
        <v>44900</v>
      </c>
      <c r="G2912" s="249">
        <v>46725</v>
      </c>
      <c r="H2912" s="247" t="s">
        <v>16</v>
      </c>
      <c r="I2912" s="250" t="s">
        <v>79</v>
      </c>
    </row>
    <row r="2913" spans="1:9">
      <c r="A2913" s="246">
        <v>2909</v>
      </c>
      <c r="B2913" s="247" t="s">
        <v>431</v>
      </c>
      <c r="C2913" s="302" t="str">
        <f>"15313"</f>
        <v>15313</v>
      </c>
      <c r="D2913" s="247" t="s">
        <v>18</v>
      </c>
      <c r="E2913" s="248">
        <v>29</v>
      </c>
      <c r="F2913" s="249">
        <v>44903</v>
      </c>
      <c r="G2913" s="249">
        <v>46728</v>
      </c>
      <c r="H2913" s="247" t="s">
        <v>32</v>
      </c>
      <c r="I2913" s="250" t="s">
        <v>79</v>
      </c>
    </row>
    <row r="2914" spans="1:9">
      <c r="A2914" s="246">
        <v>2910</v>
      </c>
      <c r="B2914" s="247" t="s">
        <v>432</v>
      </c>
      <c r="C2914" s="302" t="str">
        <f>"15315"</f>
        <v>15315</v>
      </c>
      <c r="D2914" s="247" t="s">
        <v>18</v>
      </c>
      <c r="E2914" s="248">
        <v>5</v>
      </c>
      <c r="F2914" s="249">
        <v>44915</v>
      </c>
      <c r="G2914" s="249">
        <v>46740</v>
      </c>
      <c r="H2914" s="247" t="s">
        <v>14</v>
      </c>
      <c r="I2914" s="250" t="s">
        <v>79</v>
      </c>
    </row>
    <row r="2915" spans="1:9">
      <c r="A2915" s="246">
        <v>2911</v>
      </c>
      <c r="B2915" s="247" t="s">
        <v>432</v>
      </c>
      <c r="C2915" s="302" t="str">
        <f>"15316"</f>
        <v>15316</v>
      </c>
      <c r="D2915" s="247" t="s">
        <v>18</v>
      </c>
      <c r="E2915" s="248">
        <v>20</v>
      </c>
      <c r="F2915" s="249">
        <v>44901</v>
      </c>
      <c r="G2915" s="249">
        <v>46726</v>
      </c>
      <c r="H2915" s="247" t="s">
        <v>14</v>
      </c>
      <c r="I2915" s="250" t="s">
        <v>79</v>
      </c>
    </row>
    <row r="2916" spans="1:9">
      <c r="A2916" s="246">
        <v>2912</v>
      </c>
      <c r="B2916" s="247" t="s">
        <v>432</v>
      </c>
      <c r="C2916" s="302" t="str">
        <f>"15317"</f>
        <v>15317</v>
      </c>
      <c r="D2916" s="247" t="s">
        <v>18</v>
      </c>
      <c r="E2916" s="248">
        <v>8</v>
      </c>
      <c r="F2916" s="249">
        <v>44901</v>
      </c>
      <c r="G2916" s="249">
        <v>46726</v>
      </c>
      <c r="H2916" s="247" t="s">
        <v>14</v>
      </c>
      <c r="I2916" s="250" t="s">
        <v>79</v>
      </c>
    </row>
    <row r="2917" spans="1:9">
      <c r="A2917" s="252">
        <v>2913</v>
      </c>
      <c r="B2917" s="253" t="s">
        <v>552</v>
      </c>
      <c r="C2917" s="303" t="str">
        <f>"15333"</f>
        <v>15333</v>
      </c>
      <c r="D2917" s="253" t="s">
        <v>18</v>
      </c>
      <c r="E2917" s="254">
        <v>9</v>
      </c>
      <c r="F2917" s="253"/>
      <c r="G2917" s="253"/>
      <c r="H2917" s="253" t="s">
        <v>73</v>
      </c>
      <c r="I2917" s="256" t="s">
        <v>540</v>
      </c>
    </row>
    <row r="2918" spans="1:9">
      <c r="A2918" s="252">
        <v>2914</v>
      </c>
      <c r="B2918" s="253" t="s">
        <v>553</v>
      </c>
      <c r="C2918" s="303" t="str">
        <f>"15356"</f>
        <v>15356</v>
      </c>
      <c r="D2918" s="253" t="s">
        <v>18</v>
      </c>
      <c r="E2918" s="254">
        <v>8</v>
      </c>
      <c r="F2918" s="253"/>
      <c r="G2918" s="253"/>
      <c r="H2918" s="253" t="s">
        <v>14</v>
      </c>
      <c r="I2918" s="256" t="s">
        <v>540</v>
      </c>
    </row>
    <row r="2919" spans="1:9">
      <c r="A2919" s="252">
        <v>2915</v>
      </c>
      <c r="B2919" s="253" t="s">
        <v>553</v>
      </c>
      <c r="C2919" s="303" t="str">
        <f>"15357"</f>
        <v>15357</v>
      </c>
      <c r="D2919" s="253" t="s">
        <v>18</v>
      </c>
      <c r="E2919" s="254">
        <v>10</v>
      </c>
      <c r="F2919" s="253"/>
      <c r="G2919" s="253"/>
      <c r="H2919" s="253" t="s">
        <v>14</v>
      </c>
      <c r="I2919" s="256" t="s">
        <v>540</v>
      </c>
    </row>
    <row r="2920" spans="1:9">
      <c r="A2920" s="252">
        <v>2916</v>
      </c>
      <c r="B2920" s="253" t="s">
        <v>553</v>
      </c>
      <c r="C2920" s="303" t="str">
        <f>"15358"</f>
        <v>15358</v>
      </c>
      <c r="D2920" s="253" t="s">
        <v>18</v>
      </c>
      <c r="E2920" s="254">
        <v>12</v>
      </c>
      <c r="F2920" s="253"/>
      <c r="G2920" s="253"/>
      <c r="H2920" s="253" t="s">
        <v>14</v>
      </c>
      <c r="I2920" s="256" t="s">
        <v>540</v>
      </c>
    </row>
    <row r="2921" spans="1:9">
      <c r="A2921" s="252">
        <v>2917</v>
      </c>
      <c r="B2921" s="253" t="s">
        <v>554</v>
      </c>
      <c r="C2921" s="303" t="str">
        <f>"15395"</f>
        <v>15395</v>
      </c>
      <c r="D2921" s="253" t="s">
        <v>23</v>
      </c>
      <c r="E2921" s="254">
        <v>4</v>
      </c>
      <c r="F2921" s="253"/>
      <c r="G2921" s="253"/>
      <c r="H2921" s="253" t="s">
        <v>84</v>
      </c>
      <c r="I2921" s="256" t="s">
        <v>540</v>
      </c>
    </row>
    <row r="2922" spans="1:9">
      <c r="A2922" s="252">
        <v>2918</v>
      </c>
      <c r="B2922" s="253" t="s">
        <v>555</v>
      </c>
      <c r="C2922" s="303" t="str">
        <f>"15397"</f>
        <v>15397</v>
      </c>
      <c r="D2922" s="253" t="s">
        <v>18</v>
      </c>
      <c r="E2922" s="254">
        <v>25</v>
      </c>
      <c r="F2922" s="253"/>
      <c r="G2922" s="253"/>
      <c r="H2922" s="253" t="s">
        <v>56</v>
      </c>
      <c r="I2922" s="256" t="s">
        <v>540</v>
      </c>
    </row>
    <row r="2923" spans="1:9">
      <c r="A2923" s="252">
        <v>2919</v>
      </c>
      <c r="B2923" s="253" t="s">
        <v>555</v>
      </c>
      <c r="C2923" s="303" t="str">
        <f>"15398"</f>
        <v>15398</v>
      </c>
      <c r="D2923" s="253" t="s">
        <v>18</v>
      </c>
      <c r="E2923" s="254">
        <v>8</v>
      </c>
      <c r="F2923" s="253"/>
      <c r="G2923" s="253"/>
      <c r="H2923" s="253" t="s">
        <v>56</v>
      </c>
      <c r="I2923" s="256" t="s">
        <v>540</v>
      </c>
    </row>
    <row r="2924" spans="1:9">
      <c r="A2924" s="252">
        <v>2920</v>
      </c>
      <c r="B2924" s="253" t="s">
        <v>555</v>
      </c>
      <c r="C2924" s="303" t="str">
        <f>"15400"</f>
        <v>15400</v>
      </c>
      <c r="D2924" s="253" t="s">
        <v>18</v>
      </c>
      <c r="E2924" s="254">
        <v>24</v>
      </c>
      <c r="F2924" s="253"/>
      <c r="G2924" s="253"/>
      <c r="H2924" s="253" t="s">
        <v>56</v>
      </c>
      <c r="I2924" s="256" t="s">
        <v>540</v>
      </c>
    </row>
    <row r="2925" spans="1:9">
      <c r="A2925" s="252">
        <v>2921</v>
      </c>
      <c r="B2925" s="253" t="s">
        <v>556</v>
      </c>
      <c r="C2925" s="303" t="str">
        <f>"15406"</f>
        <v>15406</v>
      </c>
      <c r="D2925" s="253" t="s">
        <v>18</v>
      </c>
      <c r="E2925" s="254">
        <v>46</v>
      </c>
      <c r="F2925" s="253"/>
      <c r="G2925" s="253"/>
      <c r="H2925" s="253" t="s">
        <v>31</v>
      </c>
      <c r="I2925" s="256" t="s">
        <v>540</v>
      </c>
    </row>
    <row r="2926" spans="1:9">
      <c r="A2926" s="252">
        <v>2922</v>
      </c>
      <c r="B2926" s="253" t="s">
        <v>556</v>
      </c>
      <c r="C2926" s="303" t="str">
        <f>"15407"</f>
        <v>15407</v>
      </c>
      <c r="D2926" s="253" t="s">
        <v>18</v>
      </c>
      <c r="E2926" s="254">
        <v>14</v>
      </c>
      <c r="F2926" s="253"/>
      <c r="G2926" s="253"/>
      <c r="H2926" s="253" t="s">
        <v>31</v>
      </c>
      <c r="I2926" s="256" t="s">
        <v>540</v>
      </c>
    </row>
    <row r="2927" spans="1:9">
      <c r="A2927" s="252">
        <v>2923</v>
      </c>
      <c r="B2927" s="253" t="s">
        <v>557</v>
      </c>
      <c r="C2927" s="303" t="str">
        <f>"15411"</f>
        <v>15411</v>
      </c>
      <c r="D2927" s="253" t="s">
        <v>18</v>
      </c>
      <c r="E2927" s="254">
        <v>3</v>
      </c>
      <c r="F2927" s="253"/>
      <c r="G2927" s="253"/>
      <c r="H2927" s="253" t="s">
        <v>14</v>
      </c>
      <c r="I2927" s="256" t="s">
        <v>540</v>
      </c>
    </row>
    <row r="2928" spans="1:9">
      <c r="A2928" s="252">
        <v>2924</v>
      </c>
      <c r="B2928" s="253" t="s">
        <v>558</v>
      </c>
      <c r="C2928" s="303" t="str">
        <f>"15520"</f>
        <v>15520</v>
      </c>
      <c r="D2928" s="253" t="s">
        <v>18</v>
      </c>
      <c r="E2928" s="254">
        <v>45</v>
      </c>
      <c r="F2928" s="253"/>
      <c r="G2928" s="253"/>
      <c r="H2928" s="253" t="s">
        <v>59</v>
      </c>
      <c r="I2928" s="256" t="s">
        <v>540</v>
      </c>
    </row>
    <row r="2929" spans="1:9">
      <c r="A2929" s="252">
        <v>2925</v>
      </c>
      <c r="B2929" s="253" t="s">
        <v>558</v>
      </c>
      <c r="C2929" s="303" t="str">
        <f>"15521"</f>
        <v>15521</v>
      </c>
      <c r="D2929" s="253" t="s">
        <v>18</v>
      </c>
      <c r="E2929" s="254">
        <v>40</v>
      </c>
      <c r="F2929" s="253"/>
      <c r="G2929" s="253"/>
      <c r="H2929" s="253" t="s">
        <v>70</v>
      </c>
      <c r="I2929" s="256" t="s">
        <v>540</v>
      </c>
    </row>
    <row r="2930" spans="1:9">
      <c r="A2930" s="252">
        <v>2926</v>
      </c>
      <c r="B2930" s="253" t="s">
        <v>554</v>
      </c>
      <c r="C2930" s="303" t="str">
        <f>"15538"</f>
        <v>15538</v>
      </c>
      <c r="D2930" s="253" t="s">
        <v>23</v>
      </c>
      <c r="E2930" s="254">
        <v>2</v>
      </c>
      <c r="F2930" s="253"/>
      <c r="G2930" s="253"/>
      <c r="H2930" s="253" t="s">
        <v>84</v>
      </c>
      <c r="I2930" s="256" t="s">
        <v>540</v>
      </c>
    </row>
    <row r="2931" spans="1:9" ht="18" thickBot="1">
      <c r="A2931" s="258">
        <v>2927</v>
      </c>
      <c r="B2931" s="259" t="s">
        <v>431</v>
      </c>
      <c r="C2931" s="304" t="str">
        <f>"15563"</f>
        <v>15563</v>
      </c>
      <c r="D2931" s="259" t="s">
        <v>18</v>
      </c>
      <c r="E2931" s="260">
        <v>55</v>
      </c>
      <c r="F2931" s="261">
        <v>44911</v>
      </c>
      <c r="G2931" s="261">
        <v>46736</v>
      </c>
      <c r="H2931" s="259" t="s">
        <v>32</v>
      </c>
      <c r="I2931" s="262" t="s">
        <v>79</v>
      </c>
    </row>
    <row r="2933" spans="1:9">
      <c r="A2933" s="263" t="s">
        <v>3613</v>
      </c>
    </row>
  </sheetData>
  <autoFilter ref="A4:I2931"/>
  <pageMargins left="0.32232142857142859" right="0.25" top="0.7633928571428571" bottom="0.86309523809523814" header="0.1380952380952381" footer="0.56101190476190477"/>
  <pageSetup paperSize="9" scale="49" fitToHeight="0" orientation="landscape" r:id="rId1"/>
  <headerFooter>
    <oddHeader>&amp;L&amp;"Tahoma,Gras"&amp;15&amp;K0070C0REPUBLIQUE DEMOCRATIQUE DU CONGO
                  CADASTRE MINIER&amp;C&amp;"Tahoma,Gras"&amp;18REGISTRE DES DROITS MINIERS ET DE CARRIERES VALIDES
&amp;USITUATION AU 30 DECEMBRE 2022&amp;U
&amp;G</oddHeader>
    <oddFooter>&amp;L&amp;"Courier New,Normal"&amp;10&amp;K02-012DatePublication &amp;Dà&amp;T
LandFolio_&amp;G&amp;R&amp;"Courier New,Gras"&amp;Pde &amp;N</oddFooter>
  </headerFooter>
  <legacyDrawingHF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8"/>
  <dimension ref="A2:H41"/>
  <sheetViews>
    <sheetView zoomScale="80" zoomScaleNormal="80" workbookViewId="0">
      <selection activeCell="A2" sqref="A2"/>
    </sheetView>
  </sheetViews>
  <sheetFormatPr baseColWidth="10" defaultRowHeight="13.8"/>
  <cols>
    <col min="2" max="2" width="35" bestFit="1" customWidth="1"/>
    <col min="3" max="3" width="35.69921875" bestFit="1" customWidth="1"/>
    <col min="6" max="7" width="18.09765625" bestFit="1" customWidth="1"/>
  </cols>
  <sheetData>
    <row r="2" spans="1:8" ht="16.2">
      <c r="A2" s="10" t="s">
        <v>3819</v>
      </c>
    </row>
    <row r="5" spans="1:8" ht="14.4">
      <c r="A5" s="9" t="s">
        <v>3616</v>
      </c>
    </row>
    <row r="6" spans="1:8">
      <c r="A6" s="264" t="s">
        <v>3</v>
      </c>
      <c r="B6" s="264" t="s">
        <v>3617</v>
      </c>
      <c r="C6" s="264" t="s">
        <v>3618</v>
      </c>
      <c r="D6" s="264" t="s">
        <v>8</v>
      </c>
      <c r="E6" s="264" t="s">
        <v>37</v>
      </c>
      <c r="F6" s="264" t="s">
        <v>3619</v>
      </c>
      <c r="G6" s="264" t="s">
        <v>3620</v>
      </c>
      <c r="H6" s="264" t="s">
        <v>3621</v>
      </c>
    </row>
    <row r="7" spans="1:8">
      <c r="A7" s="265">
        <v>1</v>
      </c>
      <c r="B7" s="266" t="s">
        <v>3622</v>
      </c>
      <c r="C7" s="266" t="s">
        <v>116</v>
      </c>
      <c r="D7" s="265" t="s">
        <v>13</v>
      </c>
      <c r="E7" s="265">
        <v>2359</v>
      </c>
      <c r="F7" s="265" t="s">
        <v>3623</v>
      </c>
      <c r="G7" s="267">
        <v>44355</v>
      </c>
      <c r="H7" s="267">
        <v>44971</v>
      </c>
    </row>
    <row r="8" spans="1:8">
      <c r="A8" s="268">
        <v>2</v>
      </c>
      <c r="B8" s="269" t="s">
        <v>3622</v>
      </c>
      <c r="C8" s="269" t="s">
        <v>116</v>
      </c>
      <c r="D8" s="268" t="s">
        <v>13</v>
      </c>
      <c r="E8" s="268">
        <v>2357</v>
      </c>
      <c r="F8" s="268" t="s">
        <v>3623</v>
      </c>
      <c r="G8" s="270">
        <v>44379</v>
      </c>
      <c r="H8" s="270">
        <v>44971</v>
      </c>
    </row>
    <row r="9" spans="1:8">
      <c r="A9" s="265">
        <v>3</v>
      </c>
      <c r="B9" s="266" t="s">
        <v>3622</v>
      </c>
      <c r="C9" s="266" t="s">
        <v>3624</v>
      </c>
      <c r="D9" s="265" t="s">
        <v>13</v>
      </c>
      <c r="E9" s="265">
        <v>525</v>
      </c>
      <c r="F9" s="265" t="s">
        <v>3623</v>
      </c>
      <c r="G9" s="267">
        <v>45031</v>
      </c>
      <c r="H9" s="267">
        <v>45031</v>
      </c>
    </row>
    <row r="10" spans="1:8">
      <c r="A10" s="268">
        <v>4</v>
      </c>
      <c r="B10" s="269" t="s">
        <v>3625</v>
      </c>
      <c r="C10" s="269" t="s">
        <v>3626</v>
      </c>
      <c r="D10" s="268" t="s">
        <v>13</v>
      </c>
      <c r="E10" s="268">
        <v>4135</v>
      </c>
      <c r="F10" s="268" t="s">
        <v>3623</v>
      </c>
      <c r="G10" s="270">
        <v>44459</v>
      </c>
      <c r="H10" s="270">
        <v>45062</v>
      </c>
    </row>
    <row r="11" spans="1:8">
      <c r="A11" s="265">
        <v>5</v>
      </c>
      <c r="B11" s="266" t="s">
        <v>3622</v>
      </c>
      <c r="C11" s="266" t="s">
        <v>3627</v>
      </c>
      <c r="D11" s="265" t="s">
        <v>13</v>
      </c>
      <c r="E11" s="265">
        <v>12270</v>
      </c>
      <c r="F11" s="265" t="s">
        <v>3628</v>
      </c>
      <c r="G11" s="267">
        <v>45197</v>
      </c>
      <c r="H11" s="267">
        <v>45226</v>
      </c>
    </row>
    <row r="12" spans="1:8">
      <c r="A12" s="268">
        <v>6</v>
      </c>
      <c r="B12" s="269" t="s">
        <v>3622</v>
      </c>
      <c r="C12" s="269" t="s">
        <v>3629</v>
      </c>
      <c r="D12" s="268" t="s">
        <v>13</v>
      </c>
      <c r="E12" s="268">
        <v>2353</v>
      </c>
      <c r="F12" s="268" t="s">
        <v>3628</v>
      </c>
      <c r="G12" s="270">
        <v>45167</v>
      </c>
      <c r="H12" s="270">
        <v>45226</v>
      </c>
    </row>
    <row r="13" spans="1:8">
      <c r="A13" s="265">
        <v>7</v>
      </c>
      <c r="B13" s="266" t="s">
        <v>3622</v>
      </c>
      <c r="C13" s="266" t="s">
        <v>3627</v>
      </c>
      <c r="D13" s="265" t="s">
        <v>13</v>
      </c>
      <c r="E13" s="265">
        <v>2355</v>
      </c>
      <c r="F13" s="265" t="s">
        <v>3628</v>
      </c>
      <c r="G13" s="267">
        <v>45197</v>
      </c>
      <c r="H13" s="267">
        <v>45226</v>
      </c>
    </row>
    <row r="14" spans="1:8">
      <c r="A14" s="268">
        <v>8</v>
      </c>
      <c r="B14" s="269" t="s">
        <v>114</v>
      </c>
      <c r="C14" s="269" t="s">
        <v>3630</v>
      </c>
      <c r="D14" s="268" t="s">
        <v>3631</v>
      </c>
      <c r="E14" s="268">
        <v>2275</v>
      </c>
      <c r="F14" s="268" t="s">
        <v>3628</v>
      </c>
      <c r="G14" s="270">
        <v>45229</v>
      </c>
      <c r="H14" s="270">
        <v>45268</v>
      </c>
    </row>
    <row r="15" spans="1:8">
      <c r="A15" s="265">
        <v>9</v>
      </c>
      <c r="B15" s="266" t="s">
        <v>3632</v>
      </c>
      <c r="C15" s="266" t="s">
        <v>3633</v>
      </c>
      <c r="D15" s="265" t="s">
        <v>13</v>
      </c>
      <c r="E15" s="265">
        <v>12286</v>
      </c>
      <c r="F15" s="265" t="s">
        <v>3628</v>
      </c>
      <c r="G15" s="267">
        <v>43442</v>
      </c>
      <c r="H15" s="267">
        <v>45273</v>
      </c>
    </row>
    <row r="18" spans="1:7" ht="14.4">
      <c r="A18" s="9" t="s">
        <v>3634</v>
      </c>
    </row>
    <row r="19" spans="1:7">
      <c r="A19" s="264" t="s">
        <v>3</v>
      </c>
      <c r="B19" s="264" t="s">
        <v>3635</v>
      </c>
      <c r="C19" s="264" t="s">
        <v>3636</v>
      </c>
      <c r="D19" s="264" t="s">
        <v>8</v>
      </c>
      <c r="E19" s="264" t="s">
        <v>37</v>
      </c>
      <c r="F19" s="264" t="s">
        <v>3637</v>
      </c>
      <c r="G19" s="264" t="s">
        <v>3620</v>
      </c>
    </row>
    <row r="20" spans="1:7">
      <c r="A20" s="265">
        <v>1</v>
      </c>
      <c r="B20" s="266" t="s">
        <v>3638</v>
      </c>
      <c r="C20" s="266" t="s">
        <v>3639</v>
      </c>
      <c r="D20" s="265" t="s">
        <v>21</v>
      </c>
      <c r="E20" s="265">
        <v>4878</v>
      </c>
      <c r="F20" s="265" t="s">
        <v>3640</v>
      </c>
      <c r="G20" s="267">
        <v>45034</v>
      </c>
    </row>
    <row r="21" spans="1:7">
      <c r="A21" s="268">
        <v>2</v>
      </c>
      <c r="B21" s="269" t="s">
        <v>3638</v>
      </c>
      <c r="C21" s="269" t="s">
        <v>3639</v>
      </c>
      <c r="D21" s="268" t="s">
        <v>21</v>
      </c>
      <c r="E21" s="268">
        <v>4879</v>
      </c>
      <c r="F21" s="268" t="s">
        <v>3640</v>
      </c>
      <c r="G21" s="270">
        <v>45034</v>
      </c>
    </row>
    <row r="22" spans="1:7">
      <c r="A22" s="265">
        <v>3</v>
      </c>
      <c r="B22" s="266" t="s">
        <v>3638</v>
      </c>
      <c r="C22" s="266" t="s">
        <v>3639</v>
      </c>
      <c r="D22" s="265" t="s">
        <v>21</v>
      </c>
      <c r="E22" s="265">
        <v>6770</v>
      </c>
      <c r="F22" s="265" t="s">
        <v>3640</v>
      </c>
      <c r="G22" s="267">
        <v>45034</v>
      </c>
    </row>
    <row r="23" spans="1:7">
      <c r="A23" s="268">
        <v>4</v>
      </c>
      <c r="B23" s="269" t="s">
        <v>297</v>
      </c>
      <c r="C23" s="269" t="s">
        <v>3641</v>
      </c>
      <c r="D23" s="268" t="s">
        <v>18</v>
      </c>
      <c r="E23" s="268">
        <v>14499</v>
      </c>
      <c r="F23" s="268" t="s">
        <v>3640</v>
      </c>
      <c r="G23" s="270">
        <v>45114</v>
      </c>
    </row>
    <row r="24" spans="1:7">
      <c r="A24" s="265">
        <v>5</v>
      </c>
      <c r="B24" s="266" t="s">
        <v>208</v>
      </c>
      <c r="C24" s="266" t="s">
        <v>3642</v>
      </c>
      <c r="D24" s="265" t="s">
        <v>18</v>
      </c>
      <c r="E24" s="265">
        <v>13538</v>
      </c>
      <c r="F24" s="265" t="s">
        <v>3640</v>
      </c>
      <c r="G24" s="267">
        <v>45168</v>
      </c>
    </row>
    <row r="25" spans="1:7">
      <c r="A25" s="268">
        <v>6</v>
      </c>
      <c r="B25" s="269" t="s">
        <v>208</v>
      </c>
      <c r="C25" s="269" t="s">
        <v>3642</v>
      </c>
      <c r="D25" s="268" t="s">
        <v>18</v>
      </c>
      <c r="E25" s="268">
        <v>13539</v>
      </c>
      <c r="F25" s="268" t="s">
        <v>3640</v>
      </c>
      <c r="G25" s="270">
        <v>45168</v>
      </c>
    </row>
    <row r="26" spans="1:7">
      <c r="A26" s="265">
        <v>7</v>
      </c>
      <c r="B26" s="266" t="s">
        <v>3643</v>
      </c>
      <c r="C26" s="266" t="s">
        <v>3644</v>
      </c>
      <c r="D26" s="265" t="s">
        <v>18</v>
      </c>
      <c r="E26" s="265">
        <v>8667</v>
      </c>
      <c r="F26" s="265" t="s">
        <v>3640</v>
      </c>
      <c r="G26" s="267">
        <v>45194</v>
      </c>
    </row>
    <row r="27" spans="1:7">
      <c r="A27" s="268">
        <v>8</v>
      </c>
      <c r="B27" s="269" t="s">
        <v>282</v>
      </c>
      <c r="C27" s="269" t="s">
        <v>3645</v>
      </c>
      <c r="D27" s="268" t="s">
        <v>3646</v>
      </c>
      <c r="E27" s="268">
        <v>14378</v>
      </c>
      <c r="F27" s="268" t="s">
        <v>3640</v>
      </c>
      <c r="G27" s="270">
        <v>45203</v>
      </c>
    </row>
    <row r="28" spans="1:7">
      <c r="A28" s="265">
        <v>9</v>
      </c>
      <c r="B28" s="266" t="s">
        <v>282</v>
      </c>
      <c r="C28" s="266" t="s">
        <v>3647</v>
      </c>
      <c r="D28" s="265" t="s">
        <v>3646</v>
      </c>
      <c r="E28" s="265">
        <v>14514</v>
      </c>
      <c r="F28" s="265" t="s">
        <v>3640</v>
      </c>
      <c r="G28" s="267">
        <v>45203</v>
      </c>
    </row>
    <row r="29" spans="1:7">
      <c r="A29" s="268">
        <v>10</v>
      </c>
      <c r="B29" s="269" t="s">
        <v>282</v>
      </c>
      <c r="C29" s="269" t="s">
        <v>3648</v>
      </c>
      <c r="D29" s="268" t="s">
        <v>3646</v>
      </c>
      <c r="E29" s="268">
        <v>14515</v>
      </c>
      <c r="F29" s="268" t="s">
        <v>3640</v>
      </c>
      <c r="G29" s="270">
        <v>45203</v>
      </c>
    </row>
    <row r="30" spans="1:7">
      <c r="A30" s="265">
        <v>11</v>
      </c>
      <c r="B30" s="266" t="s">
        <v>282</v>
      </c>
      <c r="C30" s="266" t="s">
        <v>3649</v>
      </c>
      <c r="D30" s="265" t="s">
        <v>3646</v>
      </c>
      <c r="E30" s="265">
        <v>14516</v>
      </c>
      <c r="F30" s="265" t="s">
        <v>3640</v>
      </c>
      <c r="G30" s="267">
        <v>45203</v>
      </c>
    </row>
    <row r="31" spans="1:7">
      <c r="A31" s="268">
        <v>12</v>
      </c>
      <c r="B31" s="269" t="s">
        <v>3650</v>
      </c>
      <c r="C31" s="269" t="s">
        <v>3651</v>
      </c>
      <c r="D31" s="268" t="s">
        <v>3646</v>
      </c>
      <c r="E31" s="268">
        <v>13359</v>
      </c>
      <c r="F31" s="268" t="s">
        <v>3652</v>
      </c>
      <c r="G31" s="270">
        <v>45222</v>
      </c>
    </row>
    <row r="32" spans="1:7">
      <c r="A32" s="265">
        <v>13</v>
      </c>
      <c r="B32" s="266" t="s">
        <v>15</v>
      </c>
      <c r="C32" s="266" t="s">
        <v>215</v>
      </c>
      <c r="D32" s="265" t="s">
        <v>13</v>
      </c>
      <c r="E32" s="265">
        <v>15597</v>
      </c>
      <c r="F32" s="265" t="s">
        <v>3640</v>
      </c>
      <c r="G32" s="267">
        <v>45266</v>
      </c>
    </row>
    <row r="33" spans="1:7">
      <c r="A33" s="268">
        <v>14</v>
      </c>
      <c r="B33" s="269" t="s">
        <v>15</v>
      </c>
      <c r="C33" s="269" t="s">
        <v>3653</v>
      </c>
      <c r="D33" s="268" t="s">
        <v>13</v>
      </c>
      <c r="E33" s="268">
        <v>15598</v>
      </c>
      <c r="F33" s="268" t="s">
        <v>3640</v>
      </c>
      <c r="G33" s="270">
        <v>45266</v>
      </c>
    </row>
    <row r="34" spans="1:7">
      <c r="A34" s="265">
        <v>15</v>
      </c>
      <c r="B34" s="266" t="s">
        <v>15</v>
      </c>
      <c r="C34" s="266" t="s">
        <v>3654</v>
      </c>
      <c r="D34" s="265" t="s">
        <v>13</v>
      </c>
      <c r="E34" s="265">
        <v>15599</v>
      </c>
      <c r="F34" s="265" t="s">
        <v>3640</v>
      </c>
      <c r="G34" s="267">
        <v>45266</v>
      </c>
    </row>
    <row r="35" spans="1:7">
      <c r="A35" s="268">
        <v>16</v>
      </c>
      <c r="B35" s="269" t="s">
        <v>116</v>
      </c>
      <c r="C35" s="269" t="s">
        <v>176</v>
      </c>
      <c r="D35" s="268" t="s">
        <v>13</v>
      </c>
      <c r="E35" s="268">
        <v>12286</v>
      </c>
      <c r="F35" s="268" t="s">
        <v>3652</v>
      </c>
      <c r="G35" s="270">
        <v>45267</v>
      </c>
    </row>
    <row r="37" spans="1:7" ht="14.4">
      <c r="A37" s="9" t="s">
        <v>3655</v>
      </c>
    </row>
    <row r="38" spans="1:7">
      <c r="A38" s="264" t="s">
        <v>3</v>
      </c>
      <c r="B38" s="264" t="s">
        <v>3635</v>
      </c>
      <c r="C38" s="264" t="s">
        <v>3636</v>
      </c>
      <c r="D38" s="264" t="s">
        <v>8</v>
      </c>
      <c r="E38" s="264" t="s">
        <v>37</v>
      </c>
      <c r="F38" s="264" t="s">
        <v>3620</v>
      </c>
    </row>
    <row r="39" spans="1:7">
      <c r="A39" s="265">
        <v>1</v>
      </c>
      <c r="B39" s="266" t="s">
        <v>3656</v>
      </c>
      <c r="C39" s="266" t="s">
        <v>3657</v>
      </c>
      <c r="D39" s="265" t="s">
        <v>18</v>
      </c>
      <c r="E39" s="265">
        <v>11876</v>
      </c>
      <c r="F39" s="267">
        <v>45015</v>
      </c>
    </row>
    <row r="40" spans="1:7">
      <c r="A40" s="268">
        <v>2</v>
      </c>
      <c r="B40" s="269" t="s">
        <v>3656</v>
      </c>
      <c r="C40" s="269" t="s">
        <v>1920</v>
      </c>
      <c r="D40" s="268" t="s">
        <v>18</v>
      </c>
      <c r="E40" s="268">
        <v>11876</v>
      </c>
      <c r="F40" s="270">
        <v>45016</v>
      </c>
    </row>
    <row r="41" spans="1:7">
      <c r="A41" s="265">
        <v>3</v>
      </c>
      <c r="B41" s="266" t="s">
        <v>3656</v>
      </c>
      <c r="C41" s="266" t="s">
        <v>3658</v>
      </c>
      <c r="D41" s="265" t="s">
        <v>18</v>
      </c>
      <c r="E41" s="265">
        <v>11880</v>
      </c>
      <c r="F41" s="267">
        <v>45019</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heetViews>
  <sheetFormatPr baseColWidth="10" defaultRowHeight="13.8"/>
  <cols>
    <col min="2" max="2" width="47.69921875" bestFit="1" customWidth="1"/>
    <col min="7" max="7" width="25.59765625" customWidth="1"/>
  </cols>
  <sheetData>
    <row r="1" spans="1:15" ht="16.2">
      <c r="A1" s="10" t="s">
        <v>6387</v>
      </c>
    </row>
    <row r="3" spans="1:15" ht="14.4" thickBot="1">
      <c r="A3" s="545" t="s">
        <v>609</v>
      </c>
      <c r="B3" s="545" t="s">
        <v>610</v>
      </c>
      <c r="C3" s="545" t="s">
        <v>611</v>
      </c>
      <c r="D3" s="545" t="s">
        <v>3696</v>
      </c>
      <c r="E3" s="545" t="s">
        <v>3697</v>
      </c>
      <c r="F3" s="545"/>
      <c r="G3" s="545" t="s">
        <v>3698</v>
      </c>
      <c r="I3" s="545" t="s">
        <v>609</v>
      </c>
      <c r="J3" s="545" t="s">
        <v>610</v>
      </c>
      <c r="K3" s="545" t="s">
        <v>611</v>
      </c>
      <c r="L3" s="545" t="s">
        <v>3696</v>
      </c>
      <c r="M3" s="545" t="s">
        <v>3697</v>
      </c>
      <c r="N3" s="545"/>
      <c r="O3" s="545" t="s">
        <v>3698</v>
      </c>
    </row>
    <row r="4" spans="1:15">
      <c r="A4" s="546"/>
      <c r="B4" s="546"/>
      <c r="C4" s="546"/>
      <c r="D4" s="546"/>
      <c r="E4" s="69" t="s">
        <v>1078</v>
      </c>
      <c r="F4" s="69" t="s">
        <v>1079</v>
      </c>
      <c r="G4" s="546"/>
      <c r="I4" s="546"/>
      <c r="J4" s="546"/>
      <c r="K4" s="546"/>
      <c r="L4" s="546"/>
      <c r="M4" s="69" t="s">
        <v>1078</v>
      </c>
      <c r="N4" s="69" t="s">
        <v>1079</v>
      </c>
      <c r="O4" s="546"/>
    </row>
    <row r="5" spans="1:15" ht="14.4">
      <c r="A5" s="271">
        <v>5</v>
      </c>
      <c r="B5" s="272" t="s">
        <v>643</v>
      </c>
      <c r="C5" s="272" t="s">
        <v>644</v>
      </c>
      <c r="D5" s="271" t="s">
        <v>1078</v>
      </c>
      <c r="E5" s="271"/>
      <c r="F5" s="271" t="s">
        <v>1089</v>
      </c>
      <c r="G5" s="272"/>
      <c r="I5" s="271">
        <v>1</v>
      </c>
      <c r="J5" s="272" t="s">
        <v>1023</v>
      </c>
      <c r="K5" s="272" t="s">
        <v>1024</v>
      </c>
      <c r="L5" s="272"/>
      <c r="M5" s="271" t="s">
        <v>1089</v>
      </c>
      <c r="N5" s="271"/>
      <c r="O5" s="271"/>
    </row>
    <row r="6" spans="1:15" ht="24">
      <c r="A6" s="157">
        <v>8</v>
      </c>
      <c r="B6" s="273" t="s">
        <v>656</v>
      </c>
      <c r="C6" s="273" t="s">
        <v>657</v>
      </c>
      <c r="D6" s="157" t="s">
        <v>1078</v>
      </c>
      <c r="E6" s="157" t="s">
        <v>1089</v>
      </c>
      <c r="F6" s="157"/>
      <c r="G6" s="274" t="s">
        <v>3699</v>
      </c>
      <c r="I6" s="275">
        <v>2</v>
      </c>
      <c r="J6" s="276" t="s">
        <v>1027</v>
      </c>
      <c r="K6" s="276" t="s">
        <v>1028</v>
      </c>
      <c r="L6" s="276"/>
      <c r="M6" s="275" t="s">
        <v>1089</v>
      </c>
      <c r="N6" s="275"/>
      <c r="O6" s="275"/>
    </row>
    <row r="7" spans="1:15" ht="14.4">
      <c r="A7" s="277">
        <v>10</v>
      </c>
      <c r="B7" s="278" t="s">
        <v>666</v>
      </c>
      <c r="C7" s="278" t="s">
        <v>667</v>
      </c>
      <c r="D7" s="277" t="s">
        <v>1078</v>
      </c>
      <c r="E7" s="277" t="s">
        <v>1089</v>
      </c>
      <c r="F7" s="277"/>
      <c r="G7" s="279" t="s">
        <v>3700</v>
      </c>
      <c r="I7" s="271">
        <v>3</v>
      </c>
      <c r="J7" s="272" t="s">
        <v>1029</v>
      </c>
      <c r="K7" s="272" t="s">
        <v>1030</v>
      </c>
      <c r="L7" s="272"/>
      <c r="M7" s="271" t="s">
        <v>1089</v>
      </c>
      <c r="N7" s="271"/>
      <c r="O7" s="271"/>
    </row>
    <row r="8" spans="1:15" ht="14.4">
      <c r="A8" s="157">
        <v>11</v>
      </c>
      <c r="B8" s="273" t="s">
        <v>670</v>
      </c>
      <c r="C8" s="273" t="s">
        <v>671</v>
      </c>
      <c r="D8" s="157" t="s">
        <v>1078</v>
      </c>
      <c r="E8" s="157" t="s">
        <v>1089</v>
      </c>
      <c r="F8" s="157"/>
      <c r="G8" s="274" t="s">
        <v>1079</v>
      </c>
      <c r="I8" s="275">
        <v>4</v>
      </c>
      <c r="J8" s="276" t="s">
        <v>1032</v>
      </c>
      <c r="K8" s="276" t="s">
        <v>1033</v>
      </c>
      <c r="L8" s="276"/>
      <c r="M8" s="275" t="s">
        <v>1089</v>
      </c>
      <c r="N8" s="275"/>
      <c r="O8" s="275"/>
    </row>
    <row r="9" spans="1:15" ht="14.4">
      <c r="A9" s="277">
        <v>13</v>
      </c>
      <c r="B9" s="278" t="s">
        <v>682</v>
      </c>
      <c r="C9" s="278" t="s">
        <v>683</v>
      </c>
      <c r="D9" s="277" t="s">
        <v>1078</v>
      </c>
      <c r="E9" s="277" t="s">
        <v>1089</v>
      </c>
      <c r="F9" s="277"/>
      <c r="G9" s="279" t="s">
        <v>1079</v>
      </c>
      <c r="I9" s="271">
        <v>5</v>
      </c>
      <c r="J9" s="272" t="s">
        <v>1035</v>
      </c>
      <c r="K9" s="272" t="s">
        <v>1036</v>
      </c>
      <c r="L9" s="272"/>
      <c r="M9" s="271" t="s">
        <v>1089</v>
      </c>
      <c r="N9" s="271"/>
      <c r="O9" s="271"/>
    </row>
    <row r="10" spans="1:15" ht="14.4">
      <c r="A10" s="157">
        <v>14</v>
      </c>
      <c r="B10" s="273" t="s">
        <v>96</v>
      </c>
      <c r="C10" s="273" t="s">
        <v>688</v>
      </c>
      <c r="D10" s="157" t="s">
        <v>1078</v>
      </c>
      <c r="E10" s="157" t="s">
        <v>1089</v>
      </c>
      <c r="F10" s="157"/>
      <c r="G10" s="274"/>
      <c r="I10" s="275">
        <v>7</v>
      </c>
      <c r="J10" s="276" t="s">
        <v>1051</v>
      </c>
      <c r="K10" s="276" t="s">
        <v>1052</v>
      </c>
      <c r="L10" s="276"/>
      <c r="M10" s="275"/>
      <c r="N10" s="275" t="s">
        <v>1089</v>
      </c>
      <c r="O10" s="275"/>
    </row>
    <row r="11" spans="1:15" ht="24">
      <c r="A11" s="277">
        <v>16</v>
      </c>
      <c r="B11" s="278" t="s">
        <v>700</v>
      </c>
      <c r="C11" s="278" t="s">
        <v>701</v>
      </c>
      <c r="D11" s="277" t="s">
        <v>1078</v>
      </c>
      <c r="E11" s="277" t="s">
        <v>1089</v>
      </c>
      <c r="F11" s="277"/>
      <c r="G11" s="279" t="s">
        <v>3701</v>
      </c>
    </row>
    <row r="12" spans="1:15" ht="108">
      <c r="A12" s="157">
        <v>17</v>
      </c>
      <c r="B12" s="273" t="s">
        <v>102</v>
      </c>
      <c r="C12" s="273" t="s">
        <v>707</v>
      </c>
      <c r="D12" s="157" t="s">
        <v>1078</v>
      </c>
      <c r="E12" s="157" t="s">
        <v>1089</v>
      </c>
      <c r="F12" s="157"/>
      <c r="G12" s="274" t="s">
        <v>3702</v>
      </c>
    </row>
    <row r="13" spans="1:15" ht="14.4">
      <c r="A13" s="271">
        <v>19</v>
      </c>
      <c r="B13" s="272" t="s">
        <v>229</v>
      </c>
      <c r="C13" s="272" t="s">
        <v>710</v>
      </c>
      <c r="D13" s="271" t="s">
        <v>1078</v>
      </c>
      <c r="E13" s="271"/>
      <c r="F13" s="271" t="s">
        <v>1089</v>
      </c>
      <c r="G13" s="272"/>
    </row>
    <row r="14" spans="1:15" ht="14.4">
      <c r="A14" s="275">
        <v>20</v>
      </c>
      <c r="B14" s="276" t="s">
        <v>713</v>
      </c>
      <c r="C14" s="276" t="s">
        <v>714</v>
      </c>
      <c r="D14" s="275" t="s">
        <v>1078</v>
      </c>
      <c r="E14" s="275"/>
      <c r="F14" s="275" t="s">
        <v>1089</v>
      </c>
      <c r="G14" s="276"/>
    </row>
    <row r="15" spans="1:15">
      <c r="A15" s="277">
        <v>21</v>
      </c>
      <c r="B15" s="278" t="s">
        <v>717</v>
      </c>
      <c r="C15" s="278" t="s">
        <v>718</v>
      </c>
      <c r="D15" s="277" t="s">
        <v>1078</v>
      </c>
      <c r="E15" s="277" t="s">
        <v>1089</v>
      </c>
      <c r="F15" s="277"/>
      <c r="G15" s="279" t="s">
        <v>1079</v>
      </c>
    </row>
    <row r="16" spans="1:15">
      <c r="A16" s="157">
        <v>22</v>
      </c>
      <c r="B16" s="273" t="s">
        <v>721</v>
      </c>
      <c r="C16" s="273" t="s">
        <v>722</v>
      </c>
      <c r="D16" s="157" t="s">
        <v>1078</v>
      </c>
      <c r="E16" s="157" t="s">
        <v>1089</v>
      </c>
      <c r="F16" s="157"/>
      <c r="G16" s="274" t="s">
        <v>1079</v>
      </c>
    </row>
    <row r="17" spans="1:7" ht="14.4">
      <c r="A17" s="271">
        <v>24</v>
      </c>
      <c r="B17" s="272" t="s">
        <v>729</v>
      </c>
      <c r="C17" s="272" t="s">
        <v>730</v>
      </c>
      <c r="D17" s="271" t="s">
        <v>1078</v>
      </c>
      <c r="E17" s="271"/>
      <c r="F17" s="271" t="s">
        <v>1089</v>
      </c>
      <c r="G17" s="272"/>
    </row>
    <row r="18" spans="1:7" ht="14.4">
      <c r="A18" s="275">
        <v>25</v>
      </c>
      <c r="B18" s="276" t="s">
        <v>128</v>
      </c>
      <c r="C18" s="276" t="s">
        <v>736</v>
      </c>
      <c r="D18" s="275" t="s">
        <v>1078</v>
      </c>
      <c r="E18" s="275"/>
      <c r="F18" s="275" t="s">
        <v>1089</v>
      </c>
      <c r="G18" s="276"/>
    </row>
    <row r="19" spans="1:7">
      <c r="A19" s="277">
        <v>26</v>
      </c>
      <c r="B19" s="278" t="s">
        <v>740</v>
      </c>
      <c r="C19" s="278" t="s">
        <v>741</v>
      </c>
      <c r="D19" s="277" t="s">
        <v>1078</v>
      </c>
      <c r="E19" s="277" t="s">
        <v>1089</v>
      </c>
      <c r="F19" s="277"/>
      <c r="G19" s="279" t="s">
        <v>1079</v>
      </c>
    </row>
    <row r="20" spans="1:7">
      <c r="A20" s="157">
        <v>32</v>
      </c>
      <c r="B20" s="273" t="s">
        <v>763</v>
      </c>
      <c r="C20" s="273" t="s">
        <v>764</v>
      </c>
      <c r="D20" s="157" t="s">
        <v>1078</v>
      </c>
      <c r="E20" s="157" t="s">
        <v>1089</v>
      </c>
      <c r="F20" s="157"/>
      <c r="G20" s="274" t="s">
        <v>1079</v>
      </c>
    </row>
    <row r="21" spans="1:7" ht="24">
      <c r="A21" s="277">
        <v>33</v>
      </c>
      <c r="B21" s="278" t="s">
        <v>767</v>
      </c>
      <c r="C21" s="278" t="s">
        <v>768</v>
      </c>
      <c r="D21" s="277" t="s">
        <v>1078</v>
      </c>
      <c r="E21" s="277" t="s">
        <v>1089</v>
      </c>
      <c r="F21" s="277"/>
      <c r="G21" s="279" t="s">
        <v>3703</v>
      </c>
    </row>
    <row r="22" spans="1:7" ht="14.4">
      <c r="A22" s="275">
        <v>34</v>
      </c>
      <c r="B22" s="276" t="s">
        <v>774</v>
      </c>
      <c r="C22" s="276" t="s">
        <v>775</v>
      </c>
      <c r="D22" s="275" t="s">
        <v>1078</v>
      </c>
      <c r="E22" s="275"/>
      <c r="F22" s="275" t="s">
        <v>1089</v>
      </c>
      <c r="G22" s="276"/>
    </row>
    <row r="23" spans="1:7">
      <c r="A23" s="277">
        <v>36</v>
      </c>
      <c r="B23" s="278" t="s">
        <v>778</v>
      </c>
      <c r="C23" s="278" t="s">
        <v>779</v>
      </c>
      <c r="D23" s="277" t="s">
        <v>1078</v>
      </c>
      <c r="E23" s="277" t="s">
        <v>1089</v>
      </c>
      <c r="F23" s="277"/>
      <c r="G23" s="279" t="s">
        <v>1079</v>
      </c>
    </row>
    <row r="24" spans="1:7" ht="14.4">
      <c r="A24" s="275">
        <v>38</v>
      </c>
      <c r="B24" s="276" t="s">
        <v>786</v>
      </c>
      <c r="C24" s="276" t="s">
        <v>787</v>
      </c>
      <c r="D24" s="275" t="s">
        <v>1078</v>
      </c>
      <c r="E24" s="275"/>
      <c r="F24" s="275" t="s">
        <v>1089</v>
      </c>
      <c r="G24" s="276"/>
    </row>
    <row r="25" spans="1:7">
      <c r="A25" s="277">
        <v>41</v>
      </c>
      <c r="B25" s="278" t="s">
        <v>227</v>
      </c>
      <c r="C25" s="278" t="s">
        <v>790</v>
      </c>
      <c r="D25" s="277" t="s">
        <v>1078</v>
      </c>
      <c r="E25" s="277" t="s">
        <v>1089</v>
      </c>
      <c r="F25" s="277"/>
      <c r="G25" s="279" t="s">
        <v>1079</v>
      </c>
    </row>
    <row r="26" spans="1:7" ht="14.4">
      <c r="A26" s="275">
        <v>45</v>
      </c>
      <c r="B26" s="276" t="s">
        <v>801</v>
      </c>
      <c r="C26" s="276" t="s">
        <v>802</v>
      </c>
      <c r="D26" s="275" t="s">
        <v>1078</v>
      </c>
      <c r="E26" s="275"/>
      <c r="F26" s="275" t="s">
        <v>1089</v>
      </c>
      <c r="G26" s="276"/>
    </row>
    <row r="27" spans="1:7">
      <c r="A27" s="277">
        <v>47</v>
      </c>
      <c r="B27" s="278" t="s">
        <v>806</v>
      </c>
      <c r="C27" s="278" t="s">
        <v>807</v>
      </c>
      <c r="D27" s="277" t="s">
        <v>1078</v>
      </c>
      <c r="E27" s="277" t="s">
        <v>1089</v>
      </c>
      <c r="F27" s="277"/>
      <c r="G27" s="279" t="s">
        <v>1079</v>
      </c>
    </row>
    <row r="28" spans="1:7" ht="14.4">
      <c r="A28" s="275">
        <v>48</v>
      </c>
      <c r="B28" s="276" t="s">
        <v>812</v>
      </c>
      <c r="C28" s="276" t="s">
        <v>813</v>
      </c>
      <c r="D28" s="275" t="s">
        <v>1078</v>
      </c>
      <c r="E28" s="275"/>
      <c r="F28" s="275" t="s">
        <v>1089</v>
      </c>
      <c r="G28" s="276"/>
    </row>
    <row r="29" spans="1:7">
      <c r="A29" s="277">
        <v>53</v>
      </c>
      <c r="B29" s="278" t="s">
        <v>175</v>
      </c>
      <c r="C29" s="278" t="s">
        <v>824</v>
      </c>
      <c r="D29" s="277" t="s">
        <v>1078</v>
      </c>
      <c r="E29" s="277" t="s">
        <v>1089</v>
      </c>
      <c r="F29" s="277"/>
      <c r="G29" s="279" t="s">
        <v>1079</v>
      </c>
    </row>
    <row r="30" spans="1:7" ht="14.4">
      <c r="A30" s="275">
        <v>55</v>
      </c>
      <c r="B30" s="276" t="s">
        <v>827</v>
      </c>
      <c r="C30" s="276" t="s">
        <v>828</v>
      </c>
      <c r="D30" s="275" t="s">
        <v>1078</v>
      </c>
      <c r="E30" s="275"/>
      <c r="F30" s="275" t="s">
        <v>1089</v>
      </c>
      <c r="G30" s="276"/>
    </row>
    <row r="31" spans="1:7" ht="14.4">
      <c r="A31" s="271">
        <v>58</v>
      </c>
      <c r="B31" s="272" t="s">
        <v>173</v>
      </c>
      <c r="C31" s="272" t="s">
        <v>840</v>
      </c>
      <c r="D31" s="271" t="s">
        <v>1078</v>
      </c>
      <c r="E31" s="271"/>
      <c r="F31" s="271" t="s">
        <v>1089</v>
      </c>
      <c r="G31" s="272"/>
    </row>
    <row r="32" spans="1:7" ht="14.4">
      <c r="A32" s="275">
        <v>61</v>
      </c>
      <c r="B32" s="276" t="s">
        <v>459</v>
      </c>
      <c r="C32" s="276" t="s">
        <v>847</v>
      </c>
      <c r="D32" s="275" t="s">
        <v>1078</v>
      </c>
      <c r="E32" s="275"/>
      <c r="F32" s="275" t="s">
        <v>1089</v>
      </c>
      <c r="G32" s="276"/>
    </row>
    <row r="33" spans="1:7" ht="14.4">
      <c r="A33" s="271">
        <v>63</v>
      </c>
      <c r="B33" s="272" t="s">
        <v>851</v>
      </c>
      <c r="C33" s="272" t="s">
        <v>852</v>
      </c>
      <c r="D33" s="271" t="s">
        <v>1078</v>
      </c>
      <c r="E33" s="271"/>
      <c r="F33" s="271" t="s">
        <v>1089</v>
      </c>
      <c r="G33" s="272"/>
    </row>
    <row r="34" spans="1:7">
      <c r="A34" s="157">
        <v>71</v>
      </c>
      <c r="B34" s="273" t="s">
        <v>863</v>
      </c>
      <c r="C34" s="273" t="s">
        <v>864</v>
      </c>
      <c r="D34" s="157" t="s">
        <v>1078</v>
      </c>
      <c r="E34" s="157" t="s">
        <v>1089</v>
      </c>
      <c r="F34" s="157"/>
      <c r="G34" s="274" t="s">
        <v>1079</v>
      </c>
    </row>
    <row r="35" spans="1:7">
      <c r="A35" s="277">
        <v>74</v>
      </c>
      <c r="B35" s="278" t="s">
        <v>867</v>
      </c>
      <c r="C35" s="278" t="s">
        <v>868</v>
      </c>
      <c r="D35" s="277" t="s">
        <v>1078</v>
      </c>
      <c r="E35" s="277" t="s">
        <v>1089</v>
      </c>
      <c r="F35" s="277"/>
      <c r="G35" s="279" t="s">
        <v>1079</v>
      </c>
    </row>
    <row r="36" spans="1:7">
      <c r="A36" s="157">
        <v>79</v>
      </c>
      <c r="B36" s="273" t="s">
        <v>877</v>
      </c>
      <c r="C36" s="273" t="s">
        <v>878</v>
      </c>
      <c r="D36" s="157" t="s">
        <v>1078</v>
      </c>
      <c r="E36" s="157" t="s">
        <v>1089</v>
      </c>
      <c r="F36" s="157"/>
      <c r="G36" s="274" t="s">
        <v>1079</v>
      </c>
    </row>
    <row r="37" spans="1:7">
      <c r="A37" s="277">
        <v>80</v>
      </c>
      <c r="B37" s="278" t="s">
        <v>881</v>
      </c>
      <c r="C37" s="278" t="s">
        <v>882</v>
      </c>
      <c r="D37" s="277" t="s">
        <v>1078</v>
      </c>
      <c r="E37" s="277" t="s">
        <v>1089</v>
      </c>
      <c r="F37" s="277"/>
      <c r="G37" s="279" t="s">
        <v>1079</v>
      </c>
    </row>
    <row r="38" spans="1:7">
      <c r="A38" s="157">
        <v>85</v>
      </c>
      <c r="B38" s="273" t="s">
        <v>894</v>
      </c>
      <c r="C38" s="273" t="s">
        <v>895</v>
      </c>
      <c r="D38" s="157" t="s">
        <v>1078</v>
      </c>
      <c r="E38" s="157" t="s">
        <v>1089</v>
      </c>
      <c r="F38" s="157"/>
      <c r="G38" s="274" t="s">
        <v>1079</v>
      </c>
    </row>
    <row r="39" spans="1:7">
      <c r="A39" s="277">
        <v>89</v>
      </c>
      <c r="B39" s="278" t="s">
        <v>198</v>
      </c>
      <c r="C39" s="278" t="s">
        <v>907</v>
      </c>
      <c r="D39" s="277" t="s">
        <v>1078</v>
      </c>
      <c r="E39" s="277" t="s">
        <v>1089</v>
      </c>
      <c r="F39" s="277"/>
      <c r="G39" s="279" t="s">
        <v>1079</v>
      </c>
    </row>
    <row r="40" spans="1:7">
      <c r="A40" s="157">
        <v>97</v>
      </c>
      <c r="B40" s="273" t="s">
        <v>917</v>
      </c>
      <c r="C40" s="273" t="s">
        <v>918</v>
      </c>
      <c r="D40" s="157" t="s">
        <v>1078</v>
      </c>
      <c r="E40" s="157" t="s">
        <v>1089</v>
      </c>
      <c r="F40" s="157"/>
      <c r="G40" s="274" t="s">
        <v>1079</v>
      </c>
    </row>
    <row r="41" spans="1:7">
      <c r="A41" s="277">
        <v>98</v>
      </c>
      <c r="B41" s="278" t="s">
        <v>922</v>
      </c>
      <c r="C41" s="278" t="s">
        <v>923</v>
      </c>
      <c r="D41" s="277" t="s">
        <v>1078</v>
      </c>
      <c r="E41" s="277" t="s">
        <v>1089</v>
      </c>
      <c r="F41" s="277"/>
      <c r="G41" s="279" t="s">
        <v>1079</v>
      </c>
    </row>
    <row r="42" spans="1:7">
      <c r="A42" s="157">
        <v>107</v>
      </c>
      <c r="B42" s="273" t="s">
        <v>92</v>
      </c>
      <c r="C42" s="273" t="s">
        <v>932</v>
      </c>
      <c r="D42" s="157" t="s">
        <v>1078</v>
      </c>
      <c r="E42" s="157" t="s">
        <v>1089</v>
      </c>
      <c r="F42" s="157"/>
      <c r="G42" s="273" t="s">
        <v>1079</v>
      </c>
    </row>
    <row r="43" spans="1:7">
      <c r="A43" s="277"/>
      <c r="B43" s="278" t="s">
        <v>3659</v>
      </c>
      <c r="C43" s="278" t="s">
        <v>2447</v>
      </c>
      <c r="D43" s="277" t="s">
        <v>1078</v>
      </c>
      <c r="E43" s="277" t="s">
        <v>1089</v>
      </c>
      <c r="F43" s="277"/>
      <c r="G43" s="279" t="s">
        <v>1079</v>
      </c>
    </row>
    <row r="44" spans="1:7">
      <c r="A44" s="157"/>
      <c r="B44" s="273" t="s">
        <v>3704</v>
      </c>
      <c r="C44" s="273" t="s">
        <v>3705</v>
      </c>
      <c r="D44" s="157" t="s">
        <v>1078</v>
      </c>
      <c r="E44" s="157" t="s">
        <v>1089</v>
      </c>
      <c r="F44" s="157"/>
      <c r="G44" s="273" t="s">
        <v>1079</v>
      </c>
    </row>
    <row r="45" spans="1:7">
      <c r="A45" s="277"/>
      <c r="B45" s="278" t="s">
        <v>3714</v>
      </c>
      <c r="C45" s="278" t="s">
        <v>3715</v>
      </c>
      <c r="D45" s="277" t="s">
        <v>1078</v>
      </c>
      <c r="E45" s="277"/>
      <c r="F45" s="277" t="s">
        <v>1089</v>
      </c>
      <c r="G45" s="279"/>
    </row>
    <row r="46" spans="1:7">
      <c r="A46" s="157"/>
      <c r="B46" s="273" t="s">
        <v>3734</v>
      </c>
      <c r="C46" s="273" t="s">
        <v>1080</v>
      </c>
      <c r="D46" s="157" t="s">
        <v>1078</v>
      </c>
      <c r="E46" s="157"/>
      <c r="F46" s="157" t="s">
        <v>1089</v>
      </c>
      <c r="G46" s="273"/>
    </row>
    <row r="47" spans="1:7" ht="14.7" customHeight="1">
      <c r="A47" s="277"/>
      <c r="B47" s="278" t="s">
        <v>3331</v>
      </c>
      <c r="C47" s="278" t="s">
        <v>2445</v>
      </c>
      <c r="D47" s="277" t="s">
        <v>1078</v>
      </c>
      <c r="E47" s="277" t="s">
        <v>1089</v>
      </c>
      <c r="F47" s="277"/>
      <c r="G47" s="279" t="s">
        <v>3735</v>
      </c>
    </row>
    <row r="48" spans="1:7">
      <c r="A48" s="157"/>
      <c r="B48" s="273" t="s">
        <v>3736</v>
      </c>
      <c r="C48" s="273" t="s">
        <v>2484</v>
      </c>
      <c r="D48" s="157" t="s">
        <v>1078</v>
      </c>
      <c r="E48" s="157" t="s">
        <v>1089</v>
      </c>
      <c r="F48" s="157"/>
      <c r="G48" s="273" t="s">
        <v>1079</v>
      </c>
    </row>
    <row r="49" spans="1:7">
      <c r="A49" s="277"/>
      <c r="B49" s="278" t="s">
        <v>3747</v>
      </c>
      <c r="C49" s="278" t="s">
        <v>2462</v>
      </c>
      <c r="D49" s="277" t="s">
        <v>1078</v>
      </c>
      <c r="E49" s="277" t="s">
        <v>1089</v>
      </c>
      <c r="F49" s="277"/>
      <c r="G49" s="279" t="s">
        <v>1079</v>
      </c>
    </row>
    <row r="50" spans="1:7">
      <c r="A50" s="157"/>
      <c r="B50" s="273" t="s">
        <v>1878</v>
      </c>
      <c r="C50" s="273" t="s">
        <v>2461</v>
      </c>
      <c r="D50" s="157" t="s">
        <v>1078</v>
      </c>
      <c r="E50" s="157"/>
      <c r="F50" s="157" t="s">
        <v>1089</v>
      </c>
      <c r="G50" s="273"/>
    </row>
    <row r="51" spans="1:7">
      <c r="A51" s="277"/>
      <c r="B51" s="278"/>
      <c r="C51" s="278"/>
      <c r="D51" s="277">
        <v>46</v>
      </c>
      <c r="E51" s="277">
        <v>30</v>
      </c>
      <c r="F51" s="277">
        <v>16</v>
      </c>
      <c r="G51" s="279"/>
    </row>
  </sheetData>
  <autoFilter ref="E4:F43"/>
  <mergeCells count="12">
    <mergeCell ref="O3:O4"/>
    <mergeCell ref="A3:A4"/>
    <mergeCell ref="B3:B4"/>
    <mergeCell ref="C3:C4"/>
    <mergeCell ref="D3:D4"/>
    <mergeCell ref="E3:F3"/>
    <mergeCell ref="G3:G4"/>
    <mergeCell ref="I3:I4"/>
    <mergeCell ref="J3:J4"/>
    <mergeCell ref="K3:K4"/>
    <mergeCell ref="L3:L4"/>
    <mergeCell ref="M3:N3"/>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
  <sheetViews>
    <sheetView zoomScaleNormal="100" workbookViewId="0"/>
  </sheetViews>
  <sheetFormatPr baseColWidth="10" defaultRowHeight="13.8"/>
  <cols>
    <col min="6" max="6" width="12.3984375" bestFit="1" customWidth="1"/>
    <col min="7" max="7" width="29" bestFit="1" customWidth="1"/>
    <col min="14" max="14" width="14.296875" bestFit="1" customWidth="1"/>
    <col min="15" max="15" width="51.296875" bestFit="1" customWidth="1"/>
  </cols>
  <sheetData>
    <row r="1" spans="1:15" ht="16.2">
      <c r="A1" s="10" t="s">
        <v>6386</v>
      </c>
    </row>
    <row r="3" spans="1:15" ht="14.4" thickBot="1"/>
    <row r="4" spans="1:15" ht="16.8" thickBot="1">
      <c r="A4" s="694" t="s">
        <v>3766</v>
      </c>
      <c r="B4" s="695"/>
      <c r="C4" s="695"/>
      <c r="D4" s="695"/>
      <c r="E4" s="695"/>
      <c r="F4" s="695"/>
      <c r="G4" s="696"/>
      <c r="K4" s="694" t="s">
        <v>3767</v>
      </c>
      <c r="L4" s="695"/>
      <c r="M4" s="695"/>
      <c r="N4" s="695"/>
      <c r="O4" s="696"/>
    </row>
    <row r="6" spans="1:15">
      <c r="A6" s="305" t="s">
        <v>7</v>
      </c>
      <c r="B6" s="305" t="s">
        <v>8</v>
      </c>
      <c r="C6" s="305" t="s">
        <v>9</v>
      </c>
      <c r="D6" s="305" t="s">
        <v>10</v>
      </c>
      <c r="E6" s="305" t="s">
        <v>11</v>
      </c>
      <c r="F6" s="305" t="s">
        <v>2</v>
      </c>
      <c r="G6" s="305" t="s">
        <v>77</v>
      </c>
      <c r="K6" s="305" t="s">
        <v>7</v>
      </c>
      <c r="L6" s="305" t="s">
        <v>8</v>
      </c>
      <c r="M6" s="305" t="s">
        <v>9</v>
      </c>
      <c r="N6" s="305" t="s">
        <v>2</v>
      </c>
      <c r="O6" s="305" t="s">
        <v>3768</v>
      </c>
    </row>
    <row r="7" spans="1:15">
      <c r="A7" s="306">
        <v>366</v>
      </c>
      <c r="B7" s="306" t="s">
        <v>13</v>
      </c>
      <c r="C7" s="306">
        <v>3</v>
      </c>
      <c r="D7" s="307">
        <v>39676</v>
      </c>
      <c r="E7" s="307">
        <v>45153</v>
      </c>
      <c r="F7" s="308" t="s">
        <v>94</v>
      </c>
      <c r="G7" s="308" t="s">
        <v>79</v>
      </c>
      <c r="K7" s="309">
        <v>366</v>
      </c>
      <c r="L7" s="309" t="s">
        <v>13</v>
      </c>
      <c r="M7" s="309">
        <v>3</v>
      </c>
      <c r="N7" s="310" t="s">
        <v>3769</v>
      </c>
      <c r="O7" s="310" t="str">
        <f>VLOOKUP(K7,A:B,2,0)</f>
        <v>PE</v>
      </c>
    </row>
    <row r="8" spans="1:15">
      <c r="A8" s="311">
        <v>382</v>
      </c>
      <c r="B8" s="311" t="s">
        <v>13</v>
      </c>
      <c r="C8" s="311">
        <v>3</v>
      </c>
      <c r="D8" s="312">
        <v>39676</v>
      </c>
      <c r="E8" s="312">
        <v>45153</v>
      </c>
      <c r="F8" s="313" t="s">
        <v>34</v>
      </c>
      <c r="G8" s="313" t="s">
        <v>79</v>
      </c>
      <c r="K8" s="314">
        <v>382</v>
      </c>
      <c r="L8" s="314" t="s">
        <v>13</v>
      </c>
      <c r="M8" s="314">
        <v>3</v>
      </c>
      <c r="N8" s="315" t="s">
        <v>3769</v>
      </c>
      <c r="O8" s="315" t="str">
        <f>VLOOKUP(K8,A:B,2,0)</f>
        <v>PE</v>
      </c>
    </row>
    <row r="9" spans="1:15">
      <c r="A9" s="306">
        <v>389</v>
      </c>
      <c r="B9" s="306" t="s">
        <v>13</v>
      </c>
      <c r="C9" s="306">
        <v>10</v>
      </c>
      <c r="D9" s="307">
        <v>39676</v>
      </c>
      <c r="E9" s="307">
        <v>45153</v>
      </c>
      <c r="F9" s="308" t="s">
        <v>34</v>
      </c>
      <c r="G9" s="308" t="s">
        <v>79</v>
      </c>
      <c r="K9" s="309">
        <v>383</v>
      </c>
      <c r="L9" s="309" t="s">
        <v>13</v>
      </c>
      <c r="M9" s="309">
        <v>471</v>
      </c>
      <c r="N9" s="310" t="s">
        <v>3770</v>
      </c>
      <c r="O9" s="316" t="s">
        <v>3771</v>
      </c>
    </row>
    <row r="10" spans="1:15">
      <c r="A10" s="311">
        <v>395</v>
      </c>
      <c r="B10" s="311" t="s">
        <v>13</v>
      </c>
      <c r="C10" s="311">
        <v>6</v>
      </c>
      <c r="D10" s="312">
        <v>39676</v>
      </c>
      <c r="E10" s="312">
        <v>45153</v>
      </c>
      <c r="F10" s="313" t="s">
        <v>34</v>
      </c>
      <c r="G10" s="313" t="s">
        <v>79</v>
      </c>
      <c r="K10" s="314">
        <v>389</v>
      </c>
      <c r="L10" s="314" t="s">
        <v>13</v>
      </c>
      <c r="M10" s="314">
        <v>10</v>
      </c>
      <c r="N10" s="315" t="s">
        <v>3769</v>
      </c>
      <c r="O10" s="315" t="str">
        <f t="shared" ref="O10:O30" si="0">VLOOKUP(K10,A:B,2,0)</f>
        <v>PE</v>
      </c>
    </row>
    <row r="11" spans="1:15">
      <c r="A11" s="306">
        <v>397</v>
      </c>
      <c r="B11" s="306" t="s">
        <v>13</v>
      </c>
      <c r="C11" s="306">
        <v>4</v>
      </c>
      <c r="D11" s="307">
        <v>39676</v>
      </c>
      <c r="E11" s="307">
        <v>45153</v>
      </c>
      <c r="F11" s="308" t="s">
        <v>34</v>
      </c>
      <c r="G11" s="308" t="s">
        <v>79</v>
      </c>
      <c r="K11" s="309">
        <v>395</v>
      </c>
      <c r="L11" s="309" t="s">
        <v>13</v>
      </c>
      <c r="M11" s="309">
        <v>6</v>
      </c>
      <c r="N11" s="310" t="s">
        <v>3769</v>
      </c>
      <c r="O11" s="310" t="str">
        <f t="shared" si="0"/>
        <v>PE</v>
      </c>
    </row>
    <row r="12" spans="1:15">
      <c r="A12" s="311">
        <v>398</v>
      </c>
      <c r="B12" s="311" t="s">
        <v>13</v>
      </c>
      <c r="C12" s="311">
        <v>18</v>
      </c>
      <c r="D12" s="312">
        <v>39676</v>
      </c>
      <c r="E12" s="312">
        <v>45153</v>
      </c>
      <c r="F12" s="313" t="s">
        <v>34</v>
      </c>
      <c r="G12" s="313" t="s">
        <v>79</v>
      </c>
      <c r="K12" s="314">
        <v>397</v>
      </c>
      <c r="L12" s="314" t="s">
        <v>13</v>
      </c>
      <c r="M12" s="314">
        <v>4</v>
      </c>
      <c r="N12" s="315" t="s">
        <v>3769</v>
      </c>
      <c r="O12" s="315" t="str">
        <f t="shared" si="0"/>
        <v>PE</v>
      </c>
    </row>
    <row r="13" spans="1:15">
      <c r="A13" s="306">
        <v>399</v>
      </c>
      <c r="B13" s="306" t="s">
        <v>13</v>
      </c>
      <c r="C13" s="306">
        <v>19</v>
      </c>
      <c r="D13" s="307">
        <v>39676</v>
      </c>
      <c r="E13" s="307">
        <v>45153</v>
      </c>
      <c r="F13" s="308" t="s">
        <v>34</v>
      </c>
      <c r="G13" s="308" t="s">
        <v>79</v>
      </c>
      <c r="K13" s="309">
        <v>398</v>
      </c>
      <c r="L13" s="309" t="s">
        <v>13</v>
      </c>
      <c r="M13" s="309">
        <v>18</v>
      </c>
      <c r="N13" s="310" t="s">
        <v>3769</v>
      </c>
      <c r="O13" s="310" t="str">
        <f t="shared" si="0"/>
        <v>PE</v>
      </c>
    </row>
    <row r="14" spans="1:15">
      <c r="A14" s="311">
        <v>402</v>
      </c>
      <c r="B14" s="311" t="s">
        <v>13</v>
      </c>
      <c r="C14" s="311">
        <v>4</v>
      </c>
      <c r="D14" s="312">
        <v>39676</v>
      </c>
      <c r="E14" s="312">
        <v>45153</v>
      </c>
      <c r="F14" s="313" t="s">
        <v>34</v>
      </c>
      <c r="G14" s="313" t="s">
        <v>79</v>
      </c>
      <c r="K14" s="314">
        <v>399</v>
      </c>
      <c r="L14" s="314" t="s">
        <v>13</v>
      </c>
      <c r="M14" s="314">
        <v>19</v>
      </c>
      <c r="N14" s="315" t="s">
        <v>3769</v>
      </c>
      <c r="O14" s="315" t="str">
        <f t="shared" si="0"/>
        <v>PE</v>
      </c>
    </row>
    <row r="15" spans="1:15">
      <c r="A15" s="306">
        <v>407</v>
      </c>
      <c r="B15" s="306" t="s">
        <v>13</v>
      </c>
      <c r="C15" s="306">
        <v>20</v>
      </c>
      <c r="D15" s="307">
        <v>39676</v>
      </c>
      <c r="E15" s="307">
        <v>45153</v>
      </c>
      <c r="F15" s="308" t="s">
        <v>34</v>
      </c>
      <c r="G15" s="308" t="s">
        <v>79</v>
      </c>
      <c r="K15" s="309">
        <v>402</v>
      </c>
      <c r="L15" s="309" t="s">
        <v>13</v>
      </c>
      <c r="M15" s="309">
        <v>4</v>
      </c>
      <c r="N15" s="310" t="s">
        <v>3769</v>
      </c>
      <c r="O15" s="310" t="str">
        <f t="shared" si="0"/>
        <v>PE</v>
      </c>
    </row>
    <row r="16" spans="1:15">
      <c r="A16" s="311">
        <v>408</v>
      </c>
      <c r="B16" s="311" t="s">
        <v>13</v>
      </c>
      <c r="C16" s="311">
        <v>4</v>
      </c>
      <c r="D16" s="312">
        <v>39676</v>
      </c>
      <c r="E16" s="312">
        <v>45153</v>
      </c>
      <c r="F16" s="313" t="s">
        <v>34</v>
      </c>
      <c r="G16" s="313" t="s">
        <v>79</v>
      </c>
      <c r="K16" s="314">
        <v>407</v>
      </c>
      <c r="L16" s="314" t="s">
        <v>13</v>
      </c>
      <c r="M16" s="314">
        <v>20</v>
      </c>
      <c r="N16" s="315" t="s">
        <v>3769</v>
      </c>
      <c r="O16" s="315" t="str">
        <f t="shared" si="0"/>
        <v>PE</v>
      </c>
    </row>
    <row r="17" spans="1:15">
      <c r="A17" s="306">
        <v>409</v>
      </c>
      <c r="B17" s="306" t="s">
        <v>13</v>
      </c>
      <c r="C17" s="306">
        <v>13</v>
      </c>
      <c r="D17" s="307">
        <v>39676</v>
      </c>
      <c r="E17" s="307">
        <v>45153</v>
      </c>
      <c r="F17" s="308" t="s">
        <v>34</v>
      </c>
      <c r="G17" s="308" t="s">
        <v>79</v>
      </c>
      <c r="K17" s="309">
        <v>408</v>
      </c>
      <c r="L17" s="309" t="s">
        <v>13</v>
      </c>
      <c r="M17" s="309">
        <v>4</v>
      </c>
      <c r="N17" s="310" t="s">
        <v>3769</v>
      </c>
      <c r="O17" s="310" t="str">
        <f t="shared" si="0"/>
        <v>PE</v>
      </c>
    </row>
    <row r="18" spans="1:15">
      <c r="A18" s="311">
        <v>410</v>
      </c>
      <c r="B18" s="311" t="s">
        <v>13</v>
      </c>
      <c r="C18" s="311">
        <v>52</v>
      </c>
      <c r="D18" s="312">
        <v>39676</v>
      </c>
      <c r="E18" s="312">
        <v>45153</v>
      </c>
      <c r="F18" s="313" t="s">
        <v>34</v>
      </c>
      <c r="G18" s="313" t="s">
        <v>79</v>
      </c>
      <c r="K18" s="314">
        <v>409</v>
      </c>
      <c r="L18" s="314" t="s">
        <v>13</v>
      </c>
      <c r="M18" s="314">
        <v>13</v>
      </c>
      <c r="N18" s="315" t="s">
        <v>3769</v>
      </c>
      <c r="O18" s="315" t="str">
        <f t="shared" si="0"/>
        <v>PE</v>
      </c>
    </row>
    <row r="19" spans="1:15">
      <c r="A19" s="306">
        <v>422</v>
      </c>
      <c r="B19" s="306" t="s">
        <v>13</v>
      </c>
      <c r="C19" s="306">
        <v>30</v>
      </c>
      <c r="D19" s="307">
        <v>37804</v>
      </c>
      <c r="E19" s="307">
        <v>43282</v>
      </c>
      <c r="F19" s="308" t="s">
        <v>34</v>
      </c>
      <c r="G19" s="308" t="s">
        <v>437</v>
      </c>
      <c r="K19" s="309">
        <v>410</v>
      </c>
      <c r="L19" s="309" t="s">
        <v>13</v>
      </c>
      <c r="M19" s="309">
        <v>52</v>
      </c>
      <c r="N19" s="310" t="s">
        <v>3769</v>
      </c>
      <c r="O19" s="310" t="str">
        <f t="shared" si="0"/>
        <v>PE</v>
      </c>
    </row>
    <row r="20" spans="1:15">
      <c r="A20" s="311">
        <v>424</v>
      </c>
      <c r="B20" s="311" t="s">
        <v>13</v>
      </c>
      <c r="C20" s="311">
        <v>25</v>
      </c>
      <c r="D20" s="312">
        <v>37804</v>
      </c>
      <c r="E20" s="312">
        <v>43282</v>
      </c>
      <c r="F20" s="313" t="s">
        <v>34</v>
      </c>
      <c r="G20" s="313" t="s">
        <v>437</v>
      </c>
      <c r="K20" s="314">
        <v>422</v>
      </c>
      <c r="L20" s="314" t="s">
        <v>13</v>
      </c>
      <c r="M20" s="314">
        <v>30</v>
      </c>
      <c r="N20" s="315" t="s">
        <v>3769</v>
      </c>
      <c r="O20" s="315" t="str">
        <f t="shared" si="0"/>
        <v>PE</v>
      </c>
    </row>
    <row r="21" spans="1:15">
      <c r="A21" s="306">
        <v>426</v>
      </c>
      <c r="B21" s="306" t="s">
        <v>13</v>
      </c>
      <c r="C21" s="306">
        <v>28</v>
      </c>
      <c r="D21" s="307">
        <v>37804</v>
      </c>
      <c r="E21" s="307">
        <v>43282</v>
      </c>
      <c r="F21" s="308" t="s">
        <v>34</v>
      </c>
      <c r="G21" s="308" t="s">
        <v>437</v>
      </c>
      <c r="K21" s="309">
        <v>424</v>
      </c>
      <c r="L21" s="309" t="s">
        <v>13</v>
      </c>
      <c r="M21" s="309">
        <v>25</v>
      </c>
      <c r="N21" s="310" t="s">
        <v>3769</v>
      </c>
      <c r="O21" s="310" t="str">
        <f t="shared" si="0"/>
        <v>PE</v>
      </c>
    </row>
    <row r="22" spans="1:15">
      <c r="A22" s="311">
        <v>428</v>
      </c>
      <c r="B22" s="311" t="s">
        <v>13</v>
      </c>
      <c r="C22" s="311">
        <v>30</v>
      </c>
      <c r="D22" s="312">
        <v>37804</v>
      </c>
      <c r="E22" s="312">
        <v>43282</v>
      </c>
      <c r="F22" s="313" t="s">
        <v>34</v>
      </c>
      <c r="G22" s="313" t="s">
        <v>437</v>
      </c>
      <c r="K22" s="314">
        <v>426</v>
      </c>
      <c r="L22" s="314" t="s">
        <v>13</v>
      </c>
      <c r="M22" s="314">
        <v>28</v>
      </c>
      <c r="N22" s="315" t="s">
        <v>3769</v>
      </c>
      <c r="O22" s="315" t="str">
        <f t="shared" si="0"/>
        <v>PE</v>
      </c>
    </row>
    <row r="23" spans="1:15">
      <c r="A23" s="306">
        <v>429</v>
      </c>
      <c r="B23" s="306" t="s">
        <v>13</v>
      </c>
      <c r="C23" s="306">
        <v>20</v>
      </c>
      <c r="D23" s="307">
        <v>37804</v>
      </c>
      <c r="E23" s="307">
        <v>43282</v>
      </c>
      <c r="F23" s="308" t="s">
        <v>34</v>
      </c>
      <c r="G23" s="308" t="s">
        <v>437</v>
      </c>
      <c r="K23" s="309">
        <v>428</v>
      </c>
      <c r="L23" s="309" t="s">
        <v>13</v>
      </c>
      <c r="M23" s="309">
        <v>30</v>
      </c>
      <c r="N23" s="310" t="s">
        <v>3769</v>
      </c>
      <c r="O23" s="310" t="str">
        <f t="shared" si="0"/>
        <v>PE</v>
      </c>
    </row>
    <row r="24" spans="1:15">
      <c r="A24" s="311">
        <v>430</v>
      </c>
      <c r="B24" s="311" t="s">
        <v>13</v>
      </c>
      <c r="C24" s="311">
        <v>30</v>
      </c>
      <c r="D24" s="312">
        <v>39272</v>
      </c>
      <c r="E24" s="312">
        <v>44750</v>
      </c>
      <c r="F24" s="313" t="s">
        <v>34</v>
      </c>
      <c r="G24" s="313" t="s">
        <v>433</v>
      </c>
      <c r="K24" s="314">
        <v>429</v>
      </c>
      <c r="L24" s="314" t="s">
        <v>13</v>
      </c>
      <c r="M24" s="314">
        <v>20</v>
      </c>
      <c r="N24" s="315" t="s">
        <v>3769</v>
      </c>
      <c r="O24" s="315" t="str">
        <f t="shared" si="0"/>
        <v>PE</v>
      </c>
    </row>
    <row r="25" spans="1:15">
      <c r="A25" s="306">
        <v>432</v>
      </c>
      <c r="B25" s="306" t="s">
        <v>13</v>
      </c>
      <c r="C25" s="306">
        <v>28</v>
      </c>
      <c r="D25" s="307">
        <v>37804</v>
      </c>
      <c r="E25" s="307">
        <v>43282</v>
      </c>
      <c r="F25" s="308" t="s">
        <v>34</v>
      </c>
      <c r="G25" s="308" t="s">
        <v>437</v>
      </c>
      <c r="K25" s="309">
        <v>430</v>
      </c>
      <c r="L25" s="309" t="s">
        <v>13</v>
      </c>
      <c r="M25" s="309">
        <v>30</v>
      </c>
      <c r="N25" s="310" t="s">
        <v>3769</v>
      </c>
      <c r="O25" s="310" t="str">
        <f t="shared" si="0"/>
        <v>PE</v>
      </c>
    </row>
    <row r="26" spans="1:15">
      <c r="A26" s="311">
        <v>437</v>
      </c>
      <c r="B26" s="311" t="s">
        <v>13</v>
      </c>
      <c r="C26" s="311">
        <v>20</v>
      </c>
      <c r="D26" s="312">
        <v>37804</v>
      </c>
      <c r="E26" s="312">
        <v>43282</v>
      </c>
      <c r="F26" s="313" t="s">
        <v>34</v>
      </c>
      <c r="G26" s="313" t="s">
        <v>437</v>
      </c>
      <c r="K26" s="314">
        <v>432</v>
      </c>
      <c r="L26" s="314" t="s">
        <v>13</v>
      </c>
      <c r="M26" s="314">
        <v>28</v>
      </c>
      <c r="N26" s="315" t="s">
        <v>3769</v>
      </c>
      <c r="O26" s="315" t="str">
        <f t="shared" si="0"/>
        <v>PE</v>
      </c>
    </row>
    <row r="27" spans="1:15">
      <c r="A27" s="306">
        <v>446</v>
      </c>
      <c r="B27" s="306" t="s">
        <v>13</v>
      </c>
      <c r="C27" s="306">
        <v>24</v>
      </c>
      <c r="D27" s="307">
        <v>37804</v>
      </c>
      <c r="E27" s="307">
        <v>43282</v>
      </c>
      <c r="F27" s="308" t="s">
        <v>34</v>
      </c>
      <c r="G27" s="308" t="s">
        <v>437</v>
      </c>
      <c r="K27" s="309">
        <v>437</v>
      </c>
      <c r="L27" s="309" t="s">
        <v>13</v>
      </c>
      <c r="M27" s="309">
        <v>20</v>
      </c>
      <c r="N27" s="310" t="s">
        <v>3769</v>
      </c>
      <c r="O27" s="310" t="str">
        <f t="shared" si="0"/>
        <v>PE</v>
      </c>
    </row>
    <row r="28" spans="1:15">
      <c r="A28" s="311">
        <v>450</v>
      </c>
      <c r="B28" s="311" t="s">
        <v>13</v>
      </c>
      <c r="C28" s="311">
        <v>25</v>
      </c>
      <c r="D28" s="312">
        <v>37804</v>
      </c>
      <c r="E28" s="312">
        <v>43282</v>
      </c>
      <c r="F28" s="313" t="s">
        <v>34</v>
      </c>
      <c r="G28" s="313" t="s">
        <v>437</v>
      </c>
      <c r="K28" s="314">
        <v>446</v>
      </c>
      <c r="L28" s="314" t="s">
        <v>13</v>
      </c>
      <c r="M28" s="314">
        <v>24</v>
      </c>
      <c r="N28" s="315" t="s">
        <v>3769</v>
      </c>
      <c r="O28" s="315" t="str">
        <f t="shared" si="0"/>
        <v>PE</v>
      </c>
    </row>
    <row r="29" spans="1:15">
      <c r="A29" s="306">
        <v>11859</v>
      </c>
      <c r="B29" s="306" t="s">
        <v>18</v>
      </c>
      <c r="C29" s="306">
        <v>303</v>
      </c>
      <c r="D29" s="307">
        <v>40326</v>
      </c>
      <c r="E29" s="307">
        <v>42151</v>
      </c>
      <c r="F29" s="308" t="s">
        <v>73</v>
      </c>
      <c r="G29" s="308" t="s">
        <v>3342</v>
      </c>
      <c r="K29" s="309">
        <v>450</v>
      </c>
      <c r="L29" s="309" t="s">
        <v>13</v>
      </c>
      <c r="M29" s="309">
        <v>25</v>
      </c>
      <c r="N29" s="310" t="s">
        <v>3769</v>
      </c>
      <c r="O29" s="310" t="str">
        <f t="shared" si="0"/>
        <v>PE</v>
      </c>
    </row>
    <row r="30" spans="1:15">
      <c r="A30" s="311">
        <v>11861</v>
      </c>
      <c r="B30" s="311" t="s">
        <v>13</v>
      </c>
      <c r="C30" s="311">
        <v>174</v>
      </c>
      <c r="D30" s="312">
        <v>41793</v>
      </c>
      <c r="E30" s="312">
        <v>52750</v>
      </c>
      <c r="F30" s="313" t="s">
        <v>34</v>
      </c>
      <c r="G30" s="313" t="s">
        <v>79</v>
      </c>
      <c r="K30" s="314">
        <v>11861</v>
      </c>
      <c r="L30" s="314" t="s">
        <v>13</v>
      </c>
      <c r="M30" s="314">
        <v>471</v>
      </c>
      <c r="N30" s="315" t="s">
        <v>3769</v>
      </c>
      <c r="O30" s="315" t="str">
        <f t="shared" si="0"/>
        <v>PE</v>
      </c>
    </row>
    <row r="31" spans="1:15">
      <c r="A31" s="306">
        <v>11866</v>
      </c>
      <c r="B31" s="306" t="s">
        <v>18</v>
      </c>
      <c r="C31" s="306">
        <v>235</v>
      </c>
      <c r="D31" s="307">
        <v>40389</v>
      </c>
      <c r="E31" s="307">
        <v>41849</v>
      </c>
      <c r="F31" s="308" t="s">
        <v>34</v>
      </c>
      <c r="G31" s="308" t="s">
        <v>3342</v>
      </c>
      <c r="K31" s="309">
        <v>14245</v>
      </c>
      <c r="L31" s="309" t="s">
        <v>13</v>
      </c>
      <c r="M31" s="309">
        <v>162</v>
      </c>
      <c r="N31" s="310" t="s">
        <v>3769</v>
      </c>
      <c r="O31" s="316" t="s">
        <v>3771</v>
      </c>
    </row>
    <row r="32" spans="1:15">
      <c r="A32" s="311">
        <v>11867</v>
      </c>
      <c r="B32" s="311" t="s">
        <v>18</v>
      </c>
      <c r="C32" s="311">
        <v>235</v>
      </c>
      <c r="D32" s="312">
        <v>40389</v>
      </c>
      <c r="E32" s="312">
        <v>41849</v>
      </c>
      <c r="F32" s="313" t="s">
        <v>34</v>
      </c>
      <c r="G32" s="313" t="s">
        <v>3342</v>
      </c>
      <c r="K32" s="314">
        <v>14246</v>
      </c>
      <c r="L32" s="314" t="s">
        <v>13</v>
      </c>
      <c r="M32" s="314">
        <v>135</v>
      </c>
      <c r="N32" s="315" t="s">
        <v>3769</v>
      </c>
      <c r="O32" s="317" t="s">
        <v>3771</v>
      </c>
    </row>
    <row r="33" spans="1:15">
      <c r="A33" s="306">
        <v>11876</v>
      </c>
      <c r="B33" s="306" t="s">
        <v>18</v>
      </c>
      <c r="C33" s="306">
        <v>230</v>
      </c>
      <c r="D33" s="307">
        <v>43502</v>
      </c>
      <c r="E33" s="307">
        <v>45327</v>
      </c>
      <c r="F33" s="308" t="s">
        <v>73</v>
      </c>
      <c r="G33" s="308" t="s">
        <v>433</v>
      </c>
      <c r="K33" s="309">
        <v>11858</v>
      </c>
      <c r="L33" s="309" t="s">
        <v>18</v>
      </c>
      <c r="M33" s="309">
        <v>467</v>
      </c>
      <c r="N33" s="310" t="s">
        <v>3769</v>
      </c>
      <c r="O33" s="316" t="s">
        <v>3771</v>
      </c>
    </row>
    <row r="34" spans="1:15">
      <c r="A34" s="311">
        <v>11877</v>
      </c>
      <c r="B34" s="311" t="s">
        <v>18</v>
      </c>
      <c r="C34" s="311">
        <v>220</v>
      </c>
      <c r="D34" s="312">
        <v>43496</v>
      </c>
      <c r="E34" s="312">
        <v>45321</v>
      </c>
      <c r="F34" s="313" t="s">
        <v>73</v>
      </c>
      <c r="G34" s="313" t="s">
        <v>79</v>
      </c>
      <c r="K34" s="314">
        <v>11859</v>
      </c>
      <c r="L34" s="314" t="s">
        <v>18</v>
      </c>
      <c r="M34" s="314">
        <v>303</v>
      </c>
      <c r="N34" s="315" t="s">
        <v>3769</v>
      </c>
      <c r="O34" s="315" t="str">
        <f>VLOOKUP(K34,A:B,2,0)</f>
        <v>PR</v>
      </c>
    </row>
    <row r="35" spans="1:15">
      <c r="A35" s="306">
        <v>11878</v>
      </c>
      <c r="B35" s="306" t="s">
        <v>18</v>
      </c>
      <c r="C35" s="306">
        <v>220</v>
      </c>
      <c r="D35" s="307">
        <v>43496</v>
      </c>
      <c r="E35" s="307">
        <v>45321</v>
      </c>
      <c r="F35" s="308" t="s">
        <v>73</v>
      </c>
      <c r="G35" s="308" t="s">
        <v>79</v>
      </c>
      <c r="K35" s="309">
        <v>11860</v>
      </c>
      <c r="L35" s="309" t="s">
        <v>18</v>
      </c>
      <c r="M35" s="309">
        <v>468</v>
      </c>
      <c r="N35" s="310" t="s">
        <v>3769</v>
      </c>
      <c r="O35" s="316" t="s">
        <v>3771</v>
      </c>
    </row>
    <row r="36" spans="1:15">
      <c r="A36" s="311">
        <v>11879</v>
      </c>
      <c r="B36" s="311" t="s">
        <v>18</v>
      </c>
      <c r="C36" s="311">
        <v>232</v>
      </c>
      <c r="D36" s="312">
        <v>43496</v>
      </c>
      <c r="E36" s="312">
        <v>45321</v>
      </c>
      <c r="F36" s="313" t="s">
        <v>73</v>
      </c>
      <c r="G36" s="313" t="s">
        <v>79</v>
      </c>
      <c r="K36" s="314">
        <v>11862</v>
      </c>
      <c r="L36" s="314" t="s">
        <v>18</v>
      </c>
      <c r="M36" s="314">
        <v>471</v>
      </c>
      <c r="N36" s="315" t="s">
        <v>3769</v>
      </c>
      <c r="O36" s="317" t="s">
        <v>3771</v>
      </c>
    </row>
    <row r="37" spans="1:15">
      <c r="A37" s="306">
        <v>11880</v>
      </c>
      <c r="B37" s="306" t="s">
        <v>18</v>
      </c>
      <c r="C37" s="306">
        <v>230</v>
      </c>
      <c r="D37" s="307">
        <v>40326</v>
      </c>
      <c r="E37" s="307">
        <v>42151</v>
      </c>
      <c r="F37" s="308" t="s">
        <v>73</v>
      </c>
      <c r="G37" s="308" t="s">
        <v>3342</v>
      </c>
      <c r="K37" s="309">
        <v>11863</v>
      </c>
      <c r="L37" s="309" t="s">
        <v>18</v>
      </c>
      <c r="M37" s="309">
        <v>65</v>
      </c>
      <c r="N37" s="310" t="s">
        <v>3769</v>
      </c>
      <c r="O37" s="316" t="s">
        <v>3771</v>
      </c>
    </row>
    <row r="38" spans="1:15">
      <c r="A38" s="311">
        <v>11881</v>
      </c>
      <c r="B38" s="311" t="s">
        <v>18</v>
      </c>
      <c r="C38" s="311">
        <v>92</v>
      </c>
      <c r="D38" s="312">
        <v>43414</v>
      </c>
      <c r="E38" s="312">
        <v>45239</v>
      </c>
      <c r="F38" s="313" t="s">
        <v>73</v>
      </c>
      <c r="G38" s="313" t="s">
        <v>79</v>
      </c>
      <c r="K38" s="314">
        <v>11864</v>
      </c>
      <c r="L38" s="314" t="s">
        <v>18</v>
      </c>
      <c r="M38" s="314">
        <v>280</v>
      </c>
      <c r="N38" s="315" t="s">
        <v>3769</v>
      </c>
      <c r="O38" s="317" t="s">
        <v>3771</v>
      </c>
    </row>
    <row r="39" spans="1:15">
      <c r="A39" s="306">
        <v>12084</v>
      </c>
      <c r="B39" s="306" t="s">
        <v>18</v>
      </c>
      <c r="C39" s="306">
        <v>386</v>
      </c>
      <c r="D39" s="307">
        <v>43083</v>
      </c>
      <c r="E39" s="307">
        <v>44908</v>
      </c>
      <c r="F39" s="308" t="s">
        <v>73</v>
      </c>
      <c r="G39" s="308" t="s">
        <v>433</v>
      </c>
      <c r="K39" s="309">
        <v>11865</v>
      </c>
      <c r="L39" s="309" t="s">
        <v>18</v>
      </c>
      <c r="M39" s="309">
        <v>468</v>
      </c>
      <c r="N39" s="310" t="s">
        <v>3769</v>
      </c>
      <c r="O39" s="316" t="s">
        <v>3771</v>
      </c>
    </row>
    <row r="40" spans="1:15">
      <c r="A40" s="311">
        <v>12085</v>
      </c>
      <c r="B40" s="311" t="s">
        <v>18</v>
      </c>
      <c r="C40" s="311">
        <v>213</v>
      </c>
      <c r="D40" s="312">
        <v>43083</v>
      </c>
      <c r="E40" s="312">
        <v>44908</v>
      </c>
      <c r="F40" s="313" t="s">
        <v>73</v>
      </c>
      <c r="G40" s="313" t="s">
        <v>79</v>
      </c>
      <c r="K40" s="314">
        <v>11866</v>
      </c>
      <c r="L40" s="314" t="s">
        <v>18</v>
      </c>
      <c r="M40" s="314">
        <v>471</v>
      </c>
      <c r="N40" s="315" t="s">
        <v>3769</v>
      </c>
      <c r="O40" s="315" t="str">
        <f>VLOOKUP(K40,A:B,2,0)</f>
        <v>PR</v>
      </c>
    </row>
    <row r="41" spans="1:15">
      <c r="K41" s="309">
        <v>11867</v>
      </c>
      <c r="L41" s="309" t="s">
        <v>18</v>
      </c>
      <c r="M41" s="309">
        <v>471</v>
      </c>
      <c r="N41" s="310" t="s">
        <v>3769</v>
      </c>
      <c r="O41" s="310" t="str">
        <f>VLOOKUP(K41,A:B,2,0)</f>
        <v>PR</v>
      </c>
    </row>
    <row r="42" spans="1:15">
      <c r="K42" s="314">
        <v>12081</v>
      </c>
      <c r="L42" s="314" t="s">
        <v>18</v>
      </c>
      <c r="M42" s="314">
        <v>273</v>
      </c>
      <c r="N42" s="315" t="s">
        <v>3769</v>
      </c>
      <c r="O42" s="317" t="s">
        <v>3771</v>
      </c>
    </row>
    <row r="43" spans="1:15">
      <c r="K43" s="309">
        <v>12082</v>
      </c>
      <c r="L43" s="309" t="s">
        <v>18</v>
      </c>
      <c r="M43" s="309">
        <v>134</v>
      </c>
      <c r="N43" s="310" t="s">
        <v>3769</v>
      </c>
      <c r="O43" s="316" t="s">
        <v>3771</v>
      </c>
    </row>
    <row r="44" spans="1:15">
      <c r="K44" s="314">
        <v>11868</v>
      </c>
      <c r="L44" s="314" t="s">
        <v>18</v>
      </c>
      <c r="M44" s="314">
        <v>213</v>
      </c>
      <c r="N44" s="315" t="s">
        <v>3770</v>
      </c>
      <c r="O44" s="317" t="s">
        <v>3771</v>
      </c>
    </row>
    <row r="45" spans="1:15">
      <c r="K45" s="309">
        <v>11869</v>
      </c>
      <c r="L45" s="309" t="s">
        <v>18</v>
      </c>
      <c r="M45" s="309">
        <v>470</v>
      </c>
      <c r="N45" s="310" t="s">
        <v>3770</v>
      </c>
      <c r="O45" s="316" t="s">
        <v>3771</v>
      </c>
    </row>
    <row r="46" spans="1:15">
      <c r="K46" s="314">
        <v>11870</v>
      </c>
      <c r="L46" s="314" t="s">
        <v>18</v>
      </c>
      <c r="M46" s="314">
        <v>11</v>
      </c>
      <c r="N46" s="315" t="s">
        <v>3770</v>
      </c>
      <c r="O46" s="317" t="s">
        <v>3771</v>
      </c>
    </row>
    <row r="47" spans="1:15">
      <c r="K47" s="309">
        <v>11871</v>
      </c>
      <c r="L47" s="309" t="s">
        <v>18</v>
      </c>
      <c r="M47" s="309">
        <v>58</v>
      </c>
      <c r="N47" s="310" t="s">
        <v>3770</v>
      </c>
      <c r="O47" s="316" t="s">
        <v>3771</v>
      </c>
    </row>
    <row r="48" spans="1:15">
      <c r="K48" s="314">
        <v>11872</v>
      </c>
      <c r="L48" s="314" t="s">
        <v>18</v>
      </c>
      <c r="M48" s="314">
        <v>34</v>
      </c>
      <c r="N48" s="315" t="s">
        <v>3770</v>
      </c>
      <c r="O48" s="317" t="s">
        <v>3771</v>
      </c>
    </row>
    <row r="49" spans="11:15">
      <c r="K49" s="309">
        <v>11873</v>
      </c>
      <c r="L49" s="309" t="s">
        <v>18</v>
      </c>
      <c r="M49" s="309">
        <v>8</v>
      </c>
      <c r="N49" s="310" t="s">
        <v>3770</v>
      </c>
      <c r="O49" s="316" t="s">
        <v>3771</v>
      </c>
    </row>
    <row r="50" spans="11:15">
      <c r="K50" s="314">
        <v>11874</v>
      </c>
      <c r="L50" s="314" t="s">
        <v>18</v>
      </c>
      <c r="M50" s="314">
        <v>131</v>
      </c>
      <c r="N50" s="315" t="s">
        <v>3770</v>
      </c>
      <c r="O50" s="317" t="s">
        <v>3771</v>
      </c>
    </row>
    <row r="51" spans="11:15">
      <c r="K51" s="309">
        <v>11875</v>
      </c>
      <c r="L51" s="309" t="s">
        <v>18</v>
      </c>
      <c r="M51" s="309">
        <v>80</v>
      </c>
      <c r="N51" s="310" t="s">
        <v>3770</v>
      </c>
      <c r="O51" s="316" t="s">
        <v>3771</v>
      </c>
    </row>
    <row r="52" spans="11:15">
      <c r="K52" s="314">
        <v>11876</v>
      </c>
      <c r="L52" s="314" t="s">
        <v>18</v>
      </c>
      <c r="M52" s="314">
        <v>460</v>
      </c>
      <c r="N52" s="315" t="s">
        <v>3770</v>
      </c>
      <c r="O52" s="315" t="str">
        <f t="shared" ref="O52:O57" si="1">VLOOKUP(K52,A:B,2,0)</f>
        <v>PR</v>
      </c>
    </row>
    <row r="53" spans="11:15">
      <c r="K53" s="309">
        <v>11877</v>
      </c>
      <c r="L53" s="309" t="s">
        <v>18</v>
      </c>
      <c r="M53" s="309">
        <v>440</v>
      </c>
      <c r="N53" s="310" t="s">
        <v>3770</v>
      </c>
      <c r="O53" s="310" t="str">
        <f t="shared" si="1"/>
        <v>PR</v>
      </c>
    </row>
    <row r="54" spans="11:15">
      <c r="K54" s="314">
        <v>11878</v>
      </c>
      <c r="L54" s="314" t="s">
        <v>18</v>
      </c>
      <c r="M54" s="314">
        <v>440</v>
      </c>
      <c r="N54" s="315" t="s">
        <v>3770</v>
      </c>
      <c r="O54" s="315" t="str">
        <f t="shared" si="1"/>
        <v>PR</v>
      </c>
    </row>
    <row r="55" spans="11:15">
      <c r="K55" s="309">
        <v>11879</v>
      </c>
      <c r="L55" s="309" t="s">
        <v>18</v>
      </c>
      <c r="M55" s="309">
        <v>464</v>
      </c>
      <c r="N55" s="310" t="s">
        <v>3770</v>
      </c>
      <c r="O55" s="310" t="str">
        <f t="shared" si="1"/>
        <v>PR</v>
      </c>
    </row>
    <row r="56" spans="11:15">
      <c r="K56" s="314">
        <v>11880</v>
      </c>
      <c r="L56" s="314" t="s">
        <v>18</v>
      </c>
      <c r="M56" s="314">
        <v>460</v>
      </c>
      <c r="N56" s="315" t="s">
        <v>3770</v>
      </c>
      <c r="O56" s="315" t="str">
        <f t="shared" si="1"/>
        <v>PR</v>
      </c>
    </row>
    <row r="57" spans="11:15">
      <c r="K57" s="309">
        <v>11881</v>
      </c>
      <c r="L57" s="309" t="s">
        <v>18</v>
      </c>
      <c r="M57" s="309">
        <v>184</v>
      </c>
      <c r="N57" s="310" t="s">
        <v>3770</v>
      </c>
      <c r="O57" s="310" t="str">
        <f t="shared" si="1"/>
        <v>PR</v>
      </c>
    </row>
    <row r="58" spans="11:15">
      <c r="K58" s="314">
        <v>11882</v>
      </c>
      <c r="L58" s="314" t="s">
        <v>18</v>
      </c>
      <c r="M58" s="314">
        <v>466</v>
      </c>
      <c r="N58" s="315" t="s">
        <v>3770</v>
      </c>
      <c r="O58" s="317" t="s">
        <v>3771</v>
      </c>
    </row>
    <row r="59" spans="11:15">
      <c r="K59" s="309">
        <v>11883</v>
      </c>
      <c r="L59" s="309" t="s">
        <v>18</v>
      </c>
      <c r="M59" s="309">
        <v>464</v>
      </c>
      <c r="N59" s="310" t="s">
        <v>3770</v>
      </c>
      <c r="O59" s="316" t="s">
        <v>3771</v>
      </c>
    </row>
    <row r="60" spans="11:15">
      <c r="K60" s="314">
        <v>11884</v>
      </c>
      <c r="L60" s="314" t="s">
        <v>18</v>
      </c>
      <c r="M60" s="314">
        <v>443</v>
      </c>
      <c r="N60" s="315" t="s">
        <v>3770</v>
      </c>
      <c r="O60" s="317" t="s">
        <v>3771</v>
      </c>
    </row>
    <row r="61" spans="11:15">
      <c r="K61" s="309">
        <v>11885</v>
      </c>
      <c r="L61" s="309" t="s">
        <v>18</v>
      </c>
      <c r="M61" s="309">
        <v>393</v>
      </c>
      <c r="N61" s="310" t="s">
        <v>3770</v>
      </c>
      <c r="O61" s="316" t="s">
        <v>3771</v>
      </c>
    </row>
    <row r="62" spans="11:15">
      <c r="K62" s="314">
        <v>11886</v>
      </c>
      <c r="L62" s="314" t="s">
        <v>18</v>
      </c>
      <c r="M62" s="314">
        <v>460</v>
      </c>
      <c r="N62" s="315" t="s">
        <v>3770</v>
      </c>
      <c r="O62" s="317" t="s">
        <v>3771</v>
      </c>
    </row>
    <row r="63" spans="11:15">
      <c r="K63" s="309">
        <v>11887</v>
      </c>
      <c r="L63" s="309" t="s">
        <v>18</v>
      </c>
      <c r="M63" s="309">
        <v>460</v>
      </c>
      <c r="N63" s="310" t="s">
        <v>3770</v>
      </c>
      <c r="O63" s="316" t="s">
        <v>3771</v>
      </c>
    </row>
    <row r="64" spans="11:15">
      <c r="K64" s="314">
        <v>11888</v>
      </c>
      <c r="L64" s="314" t="s">
        <v>18</v>
      </c>
      <c r="M64" s="314">
        <v>460</v>
      </c>
      <c r="N64" s="315" t="s">
        <v>3770</v>
      </c>
      <c r="O64" s="317" t="s">
        <v>3771</v>
      </c>
    </row>
    <row r="65" spans="11:15">
      <c r="K65" s="309">
        <v>11889</v>
      </c>
      <c r="L65" s="309" t="s">
        <v>18</v>
      </c>
      <c r="M65" s="309">
        <v>460</v>
      </c>
      <c r="N65" s="310" t="s">
        <v>3770</v>
      </c>
      <c r="O65" s="316" t="s">
        <v>3771</v>
      </c>
    </row>
    <row r="66" spans="11:15">
      <c r="K66" s="314">
        <v>11890</v>
      </c>
      <c r="L66" s="314" t="s">
        <v>18</v>
      </c>
      <c r="M66" s="314">
        <v>466</v>
      </c>
      <c r="N66" s="315" t="s">
        <v>3770</v>
      </c>
      <c r="O66" s="317" t="s">
        <v>3771</v>
      </c>
    </row>
    <row r="67" spans="11:15">
      <c r="K67" s="309">
        <v>11891</v>
      </c>
      <c r="L67" s="309" t="s">
        <v>18</v>
      </c>
      <c r="M67" s="309">
        <v>468</v>
      </c>
      <c r="N67" s="310" t="s">
        <v>3770</v>
      </c>
      <c r="O67" s="316" t="s">
        <v>3771</v>
      </c>
    </row>
    <row r="68" spans="11:15">
      <c r="K68" s="314">
        <v>11892</v>
      </c>
      <c r="L68" s="314" t="s">
        <v>18</v>
      </c>
      <c r="M68" s="314">
        <v>460</v>
      </c>
      <c r="N68" s="315" t="s">
        <v>3770</v>
      </c>
      <c r="O68" s="317" t="s">
        <v>3771</v>
      </c>
    </row>
    <row r="69" spans="11:15">
      <c r="K69" s="309">
        <v>11893</v>
      </c>
      <c r="L69" s="309" t="s">
        <v>18</v>
      </c>
      <c r="M69" s="309">
        <v>460</v>
      </c>
      <c r="N69" s="310" t="s">
        <v>3770</v>
      </c>
      <c r="O69" s="316" t="s">
        <v>3771</v>
      </c>
    </row>
    <row r="70" spans="11:15">
      <c r="K70" s="314">
        <v>11894</v>
      </c>
      <c r="L70" s="314" t="s">
        <v>18</v>
      </c>
      <c r="M70" s="314">
        <v>460</v>
      </c>
      <c r="N70" s="315" t="s">
        <v>3770</v>
      </c>
      <c r="O70" s="317" t="s">
        <v>3771</v>
      </c>
    </row>
    <row r="71" spans="11:15">
      <c r="K71" s="309">
        <v>11895</v>
      </c>
      <c r="L71" s="309" t="s">
        <v>18</v>
      </c>
      <c r="M71" s="309">
        <v>468</v>
      </c>
      <c r="N71" s="310" t="s">
        <v>3770</v>
      </c>
      <c r="O71" s="316" t="s">
        <v>3771</v>
      </c>
    </row>
    <row r="72" spans="11:15">
      <c r="K72" s="314">
        <v>11896</v>
      </c>
      <c r="L72" s="314" t="s">
        <v>18</v>
      </c>
      <c r="M72" s="314">
        <v>460</v>
      </c>
      <c r="N72" s="315" t="s">
        <v>3770</v>
      </c>
      <c r="O72" s="317" t="s">
        <v>3771</v>
      </c>
    </row>
    <row r="73" spans="11:15">
      <c r="K73" s="309">
        <v>11897</v>
      </c>
      <c r="L73" s="309" t="s">
        <v>18</v>
      </c>
      <c r="M73" s="309">
        <v>460</v>
      </c>
      <c r="N73" s="310" t="s">
        <v>3770</v>
      </c>
      <c r="O73" s="316" t="s">
        <v>3771</v>
      </c>
    </row>
    <row r="74" spans="11:15">
      <c r="K74" s="314">
        <v>11898</v>
      </c>
      <c r="L74" s="314" t="s">
        <v>18</v>
      </c>
      <c r="M74" s="314">
        <v>460</v>
      </c>
      <c r="N74" s="315" t="s">
        <v>3770</v>
      </c>
      <c r="O74" s="317" t="s">
        <v>3771</v>
      </c>
    </row>
    <row r="75" spans="11:15">
      <c r="K75" s="309">
        <v>11899</v>
      </c>
      <c r="L75" s="309" t="s">
        <v>18</v>
      </c>
      <c r="M75" s="309">
        <v>427</v>
      </c>
      <c r="N75" s="310" t="s">
        <v>3770</v>
      </c>
      <c r="O75" s="316" t="s">
        <v>3771</v>
      </c>
    </row>
    <row r="76" spans="11:15">
      <c r="K76" s="314">
        <v>11900</v>
      </c>
      <c r="L76" s="314" t="s">
        <v>18</v>
      </c>
      <c r="M76" s="314">
        <v>441</v>
      </c>
      <c r="N76" s="315" t="s">
        <v>3770</v>
      </c>
      <c r="O76" s="317" t="s">
        <v>3771</v>
      </c>
    </row>
    <row r="77" spans="11:15">
      <c r="K77" s="309">
        <v>12084</v>
      </c>
      <c r="L77" s="309" t="s">
        <v>18</v>
      </c>
      <c r="M77" s="309">
        <v>386</v>
      </c>
      <c r="N77" s="310" t="s">
        <v>3770</v>
      </c>
      <c r="O77" s="310" t="str">
        <f>VLOOKUP(K77,A:B,2,0)</f>
        <v>PR</v>
      </c>
    </row>
    <row r="78" spans="11:15">
      <c r="K78" s="314">
        <v>12085</v>
      </c>
      <c r="L78" s="314" t="s">
        <v>18</v>
      </c>
      <c r="M78" s="314">
        <v>213</v>
      </c>
      <c r="N78" s="315" t="s">
        <v>3770</v>
      </c>
      <c r="O78" s="315" t="str">
        <f>VLOOKUP(K78,A:B,2,0)</f>
        <v>PR</v>
      </c>
    </row>
  </sheetData>
  <mergeCells count="2">
    <mergeCell ref="A4:G4"/>
    <mergeCell ref="K4:O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topLeftCell="A4" workbookViewId="0"/>
  </sheetViews>
  <sheetFormatPr baseColWidth="10" defaultRowHeight="13.8"/>
  <cols>
    <col min="3" max="3" width="19.296875" customWidth="1"/>
    <col min="4" max="4" width="19.69921875" customWidth="1"/>
    <col min="5" max="5" width="19.296875" customWidth="1"/>
    <col min="6" max="6" width="19.8984375" customWidth="1"/>
    <col min="7" max="7" width="16.8984375" customWidth="1"/>
    <col min="8" max="8" width="13.09765625" customWidth="1"/>
  </cols>
  <sheetData>
    <row r="1" spans="1:8" ht="16.2">
      <c r="A1" s="10" t="s">
        <v>6385</v>
      </c>
    </row>
    <row r="3" spans="1:8" ht="66.599999999999994" thickBot="1">
      <c r="B3" s="1" t="s">
        <v>4036</v>
      </c>
      <c r="C3" s="1" t="s">
        <v>4037</v>
      </c>
      <c r="D3" s="1" t="s">
        <v>4038</v>
      </c>
      <c r="E3" s="1" t="s">
        <v>4039</v>
      </c>
      <c r="F3" s="1" t="s">
        <v>4040</v>
      </c>
      <c r="G3" s="1" t="s">
        <v>4041</v>
      </c>
      <c r="H3" s="1" t="s">
        <v>606</v>
      </c>
    </row>
    <row r="4" spans="1:8" ht="288.60000000000002" thickTop="1">
      <c r="B4" s="407" t="s">
        <v>14</v>
      </c>
      <c r="C4" s="408" t="s">
        <v>4042</v>
      </c>
      <c r="D4" s="408" t="s">
        <v>4043</v>
      </c>
      <c r="E4" s="408" t="s">
        <v>4044</v>
      </c>
      <c r="F4" s="408" t="s">
        <v>4045</v>
      </c>
      <c r="G4" s="409" t="s">
        <v>4046</v>
      </c>
      <c r="H4" s="409">
        <v>56</v>
      </c>
    </row>
    <row r="5" spans="1:8" ht="132">
      <c r="B5" s="235" t="s">
        <v>16</v>
      </c>
      <c r="C5" s="410" t="s">
        <v>4047</v>
      </c>
      <c r="D5" s="410" t="s">
        <v>4048</v>
      </c>
      <c r="E5" s="410" t="s">
        <v>4049</v>
      </c>
      <c r="F5" s="410" t="s">
        <v>4050</v>
      </c>
      <c r="G5" s="411">
        <v>0</v>
      </c>
      <c r="H5" s="411">
        <v>31</v>
      </c>
    </row>
    <row r="6" spans="1:8">
      <c r="B6" s="407" t="s">
        <v>4051</v>
      </c>
      <c r="C6" s="409" t="s">
        <v>4052</v>
      </c>
      <c r="D6" s="409">
        <v>0</v>
      </c>
      <c r="E6" s="409">
        <v>0</v>
      </c>
      <c r="F6" s="409">
        <v>0</v>
      </c>
      <c r="G6" s="409">
        <v>0</v>
      </c>
      <c r="H6" s="409">
        <v>1</v>
      </c>
    </row>
    <row r="7" spans="1:8">
      <c r="B7" s="235" t="s">
        <v>32</v>
      </c>
      <c r="C7" s="411" t="s">
        <v>4053</v>
      </c>
      <c r="D7" s="411">
        <v>0</v>
      </c>
      <c r="E7" s="411">
        <v>0</v>
      </c>
      <c r="F7" s="411">
        <v>0</v>
      </c>
      <c r="G7" s="411">
        <v>0</v>
      </c>
      <c r="H7" s="411">
        <v>1</v>
      </c>
    </row>
    <row r="8" spans="1:8">
      <c r="B8" s="407" t="s">
        <v>4054</v>
      </c>
      <c r="C8" s="409">
        <v>0</v>
      </c>
      <c r="D8" s="409">
        <v>0</v>
      </c>
      <c r="E8" s="409" t="s">
        <v>88</v>
      </c>
      <c r="F8" s="409">
        <v>1</v>
      </c>
      <c r="G8" s="409">
        <v>0</v>
      </c>
      <c r="H8" s="409">
        <v>2</v>
      </c>
    </row>
    <row r="9" spans="1:8">
      <c r="B9" s="235" t="s">
        <v>4055</v>
      </c>
      <c r="C9" s="411">
        <v>0</v>
      </c>
      <c r="D9" s="411">
        <v>0</v>
      </c>
      <c r="E9" s="411">
        <v>0</v>
      </c>
      <c r="F9" s="411">
        <v>0</v>
      </c>
      <c r="G9" s="411">
        <v>0</v>
      </c>
      <c r="H9" s="411">
        <v>0</v>
      </c>
    </row>
    <row r="10" spans="1:8">
      <c r="B10" s="407" t="s">
        <v>19</v>
      </c>
      <c r="C10" s="409" t="s">
        <v>4056</v>
      </c>
      <c r="D10" s="409">
        <v>0</v>
      </c>
      <c r="E10" s="409">
        <v>0</v>
      </c>
      <c r="F10" s="409">
        <v>0</v>
      </c>
      <c r="G10" s="409">
        <v>0</v>
      </c>
      <c r="H10" s="409">
        <v>1</v>
      </c>
    </row>
    <row r="11" spans="1:8">
      <c r="B11" s="376" t="s">
        <v>606</v>
      </c>
      <c r="C11" s="376">
        <v>39</v>
      </c>
      <c r="D11" s="376">
        <v>28</v>
      </c>
      <c r="E11" s="376">
        <v>12</v>
      </c>
      <c r="F11" s="376">
        <v>12</v>
      </c>
      <c r="G11" s="376">
        <v>1</v>
      </c>
      <c r="H11" s="376">
        <v>92</v>
      </c>
    </row>
    <row r="12" spans="1:8">
      <c r="B12" s="412"/>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8"/>
  <sheetViews>
    <sheetView workbookViewId="0"/>
  </sheetViews>
  <sheetFormatPr baseColWidth="10" defaultRowHeight="13.8"/>
  <cols>
    <col min="1" max="1" width="10.8984375" style="67"/>
    <col min="2" max="2" width="31" customWidth="1"/>
    <col min="6" max="6" width="19.8984375" customWidth="1"/>
  </cols>
  <sheetData>
    <row r="1" spans="1:6" ht="16.2">
      <c r="A1" s="10" t="s">
        <v>6384</v>
      </c>
    </row>
    <row r="3" spans="1:6" ht="14.4" thickBot="1">
      <c r="A3" s="413" t="s">
        <v>4057</v>
      </c>
    </row>
    <row r="4" spans="1:6">
      <c r="A4" s="763" t="s">
        <v>4058</v>
      </c>
      <c r="B4" s="764"/>
      <c r="C4" s="764"/>
      <c r="D4" s="764"/>
      <c r="E4" s="764"/>
      <c r="F4" s="765"/>
    </row>
    <row r="5" spans="1:6" ht="14.4" thickBot="1">
      <c r="A5" s="766" t="s">
        <v>4059</v>
      </c>
      <c r="B5" s="767"/>
      <c r="C5" s="767"/>
      <c r="D5" s="767"/>
      <c r="E5" s="767"/>
      <c r="F5" s="768"/>
    </row>
    <row r="6" spans="1:6" ht="38.4" thickBot="1">
      <c r="A6" s="414" t="s">
        <v>3</v>
      </c>
      <c r="B6" s="415" t="s">
        <v>4060</v>
      </c>
      <c r="C6" s="415" t="s">
        <v>4061</v>
      </c>
      <c r="D6" s="415" t="s">
        <v>4062</v>
      </c>
      <c r="E6" s="415" t="s">
        <v>4063</v>
      </c>
      <c r="F6" s="415" t="s">
        <v>4059</v>
      </c>
    </row>
    <row r="7" spans="1:6" ht="38.4" thickBot="1">
      <c r="A7" s="416">
        <v>1</v>
      </c>
      <c r="B7" s="417" t="s">
        <v>4064</v>
      </c>
      <c r="C7" s="417" t="s">
        <v>4065</v>
      </c>
      <c r="D7" s="417">
        <v>2020</v>
      </c>
      <c r="E7" s="418">
        <v>1</v>
      </c>
      <c r="F7" s="417" t="s">
        <v>4066</v>
      </c>
    </row>
    <row r="8" spans="1:6" ht="38.4" thickBot="1">
      <c r="A8" s="416">
        <v>2</v>
      </c>
      <c r="B8" s="417" t="s">
        <v>4067</v>
      </c>
      <c r="C8" s="417" t="s">
        <v>4068</v>
      </c>
      <c r="D8" s="417">
        <v>2019</v>
      </c>
      <c r="E8" s="418">
        <v>1</v>
      </c>
      <c r="F8" s="417" t="s">
        <v>4066</v>
      </c>
    </row>
    <row r="9" spans="1:6" ht="38.4" thickBot="1">
      <c r="A9" s="416">
        <v>3</v>
      </c>
      <c r="B9" s="417" t="s">
        <v>4069</v>
      </c>
      <c r="C9" s="417" t="s">
        <v>4070</v>
      </c>
      <c r="D9" s="417" t="s">
        <v>4071</v>
      </c>
      <c r="E9" s="418">
        <v>1</v>
      </c>
      <c r="F9" s="417" t="s">
        <v>4066</v>
      </c>
    </row>
    <row r="10" spans="1:6" ht="38.4" thickBot="1">
      <c r="A10" s="416">
        <v>4</v>
      </c>
      <c r="B10" s="417" t="s">
        <v>4072</v>
      </c>
      <c r="C10" s="417" t="s">
        <v>4073</v>
      </c>
      <c r="D10" s="417" t="s">
        <v>4074</v>
      </c>
      <c r="E10" s="418">
        <v>1</v>
      </c>
      <c r="F10" s="417" t="s">
        <v>4066</v>
      </c>
    </row>
    <row r="11" spans="1:6" ht="38.4" thickBot="1">
      <c r="A11" s="416">
        <v>5</v>
      </c>
      <c r="B11" s="417" t="s">
        <v>4075</v>
      </c>
      <c r="C11" s="417" t="s">
        <v>4073</v>
      </c>
      <c r="D11" s="417"/>
      <c r="E11" s="418">
        <v>1</v>
      </c>
      <c r="F11" s="417" t="s">
        <v>4066</v>
      </c>
    </row>
    <row r="12" spans="1:6" ht="38.4" thickBot="1">
      <c r="A12" s="416">
        <v>6</v>
      </c>
      <c r="B12" s="417" t="s">
        <v>4076</v>
      </c>
      <c r="C12" s="417" t="s">
        <v>4070</v>
      </c>
      <c r="D12" s="417" t="s">
        <v>4077</v>
      </c>
      <c r="E12" s="418">
        <v>1</v>
      </c>
      <c r="F12" s="417" t="s">
        <v>4066</v>
      </c>
    </row>
    <row r="13" spans="1:6" ht="39.6" thickBot="1">
      <c r="A13" s="416">
        <v>7</v>
      </c>
      <c r="B13" s="417" t="s">
        <v>1351</v>
      </c>
      <c r="C13" s="417" t="s">
        <v>4078</v>
      </c>
      <c r="D13" s="417" t="s">
        <v>4079</v>
      </c>
      <c r="E13" s="418">
        <v>1</v>
      </c>
      <c r="F13" s="417" t="s">
        <v>4066</v>
      </c>
    </row>
    <row r="14" spans="1:6" ht="38.4" thickBot="1">
      <c r="A14" s="416">
        <v>8</v>
      </c>
      <c r="B14" s="417" t="s">
        <v>4080</v>
      </c>
      <c r="C14" s="417" t="s">
        <v>4081</v>
      </c>
      <c r="D14" s="417">
        <v>2021</v>
      </c>
      <c r="E14" s="418">
        <v>1</v>
      </c>
      <c r="F14" s="417" t="s">
        <v>4066</v>
      </c>
    </row>
    <row r="15" spans="1:6" ht="39.6" thickBot="1">
      <c r="A15" s="416">
        <v>9</v>
      </c>
      <c r="B15" s="417" t="s">
        <v>4082</v>
      </c>
      <c r="C15" s="417" t="s">
        <v>4078</v>
      </c>
      <c r="D15" s="417" t="s">
        <v>4083</v>
      </c>
      <c r="E15" s="418">
        <v>1</v>
      </c>
      <c r="F15" s="417" t="s">
        <v>4066</v>
      </c>
    </row>
    <row r="16" spans="1:6" ht="38.4" thickBot="1">
      <c r="A16" s="416">
        <v>10</v>
      </c>
      <c r="B16" s="417" t="s">
        <v>4084</v>
      </c>
      <c r="C16" s="417" t="s">
        <v>4085</v>
      </c>
      <c r="D16" s="417" t="s">
        <v>4074</v>
      </c>
      <c r="E16" s="418">
        <v>1</v>
      </c>
      <c r="F16" s="417" t="s">
        <v>4066</v>
      </c>
    </row>
    <row r="17" spans="1:7" ht="38.4" thickBot="1">
      <c r="A17" s="416">
        <v>11</v>
      </c>
      <c r="B17" s="417" t="s">
        <v>4086</v>
      </c>
      <c r="C17" s="417" t="s">
        <v>4087</v>
      </c>
      <c r="D17" s="419">
        <v>2023</v>
      </c>
      <c r="E17" s="417" t="s">
        <v>4088</v>
      </c>
      <c r="F17" s="417" t="s">
        <v>4066</v>
      </c>
    </row>
    <row r="18" spans="1:7" ht="14.4" thickBot="1">
      <c r="A18" s="416"/>
      <c r="B18" s="417"/>
      <c r="C18" s="417"/>
      <c r="D18" s="417"/>
      <c r="E18" s="420"/>
      <c r="F18" s="417"/>
    </row>
    <row r="19" spans="1:7" ht="22.95" customHeight="1" thickBot="1">
      <c r="A19" s="706" t="s">
        <v>4089</v>
      </c>
      <c r="B19" s="707"/>
      <c r="C19" s="707"/>
      <c r="D19" s="707"/>
      <c r="E19" s="707"/>
      <c r="F19" s="708"/>
    </row>
    <row r="20" spans="1:7" ht="38.4" thickBot="1">
      <c r="A20" s="416">
        <v>1</v>
      </c>
      <c r="B20" s="417" t="s">
        <v>4064</v>
      </c>
      <c r="C20" s="417" t="s">
        <v>4065</v>
      </c>
      <c r="D20" s="417">
        <v>2020</v>
      </c>
      <c r="E20" s="418">
        <v>0.8</v>
      </c>
      <c r="F20" s="417" t="s">
        <v>4066</v>
      </c>
    </row>
    <row r="21" spans="1:7" ht="22.95" customHeight="1" thickBot="1">
      <c r="A21" s="706" t="s">
        <v>4090</v>
      </c>
      <c r="B21" s="707"/>
      <c r="C21" s="707"/>
      <c r="D21" s="707"/>
      <c r="E21" s="707"/>
      <c r="F21" s="708"/>
    </row>
    <row r="22" spans="1:7" ht="22.95" customHeight="1" thickBot="1">
      <c r="A22" s="706" t="s">
        <v>4091</v>
      </c>
      <c r="B22" s="707"/>
      <c r="C22" s="707"/>
      <c r="D22" s="707"/>
      <c r="E22" s="707"/>
      <c r="F22" s="708"/>
    </row>
    <row r="23" spans="1:7" ht="38.4" thickBot="1">
      <c r="A23" s="416">
        <v>12</v>
      </c>
      <c r="B23" s="417" t="s">
        <v>4092</v>
      </c>
      <c r="C23" s="417" t="s">
        <v>4093</v>
      </c>
      <c r="D23" s="419">
        <v>2024</v>
      </c>
      <c r="E23" s="420"/>
      <c r="F23" s="417" t="s">
        <v>4066</v>
      </c>
    </row>
    <row r="24" spans="1:7">
      <c r="A24" s="421"/>
    </row>
    <row r="25" spans="1:7" ht="14.4" thickBot="1">
      <c r="A25" s="413" t="s">
        <v>4094</v>
      </c>
    </row>
    <row r="26" spans="1:7" ht="14.4" thickBot="1">
      <c r="A26" s="711" t="s">
        <v>4058</v>
      </c>
      <c r="B26" s="712"/>
      <c r="C26" s="712"/>
      <c r="D26" s="712"/>
      <c r="E26" s="712"/>
      <c r="F26" s="712"/>
      <c r="G26" s="713"/>
    </row>
    <row r="27" spans="1:7" ht="25.8" thickBot="1">
      <c r="A27" s="414" t="s">
        <v>4095</v>
      </c>
      <c r="B27" s="714" t="s">
        <v>4060</v>
      </c>
      <c r="C27" s="715"/>
      <c r="D27" s="415" t="s">
        <v>4061</v>
      </c>
      <c r="E27" s="415" t="s">
        <v>4062</v>
      </c>
      <c r="F27" s="415" t="s">
        <v>4063</v>
      </c>
      <c r="G27" s="415" t="s">
        <v>4059</v>
      </c>
    </row>
    <row r="28" spans="1:7" ht="49.5" customHeight="1" thickBot="1">
      <c r="A28" s="416">
        <v>1</v>
      </c>
      <c r="B28" s="705" t="s">
        <v>4096</v>
      </c>
      <c r="C28" s="698"/>
      <c r="D28" s="417" t="s">
        <v>4097</v>
      </c>
      <c r="E28" s="417" t="s">
        <v>4098</v>
      </c>
      <c r="F28" s="418">
        <v>1</v>
      </c>
      <c r="G28" s="417" t="s">
        <v>4099</v>
      </c>
    </row>
    <row r="29" spans="1:7" ht="46.5" customHeight="1">
      <c r="A29" s="723">
        <v>2</v>
      </c>
      <c r="B29" s="733" t="s">
        <v>4100</v>
      </c>
      <c r="C29" s="734"/>
      <c r="D29" s="720" t="s">
        <v>4101</v>
      </c>
      <c r="E29" s="720" t="s">
        <v>4102</v>
      </c>
      <c r="F29" s="757">
        <v>1</v>
      </c>
      <c r="G29" s="720" t="s">
        <v>4099</v>
      </c>
    </row>
    <row r="30" spans="1:7" ht="14.4" thickBot="1">
      <c r="A30" s="724"/>
      <c r="B30" s="735"/>
      <c r="C30" s="736"/>
      <c r="D30" s="722"/>
      <c r="E30" s="722"/>
      <c r="F30" s="758"/>
      <c r="G30" s="722"/>
    </row>
    <row r="31" spans="1:7" ht="58.5" customHeight="1" thickBot="1">
      <c r="A31" s="416">
        <v>3</v>
      </c>
      <c r="B31" s="705" t="s">
        <v>4103</v>
      </c>
      <c r="C31" s="698"/>
      <c r="D31" s="417" t="s">
        <v>4104</v>
      </c>
      <c r="E31" s="417" t="s">
        <v>4105</v>
      </c>
      <c r="F31" s="418">
        <v>1</v>
      </c>
      <c r="G31" s="417" t="s">
        <v>4099</v>
      </c>
    </row>
    <row r="32" spans="1:7" ht="14.4" thickBot="1">
      <c r="A32" s="706" t="s">
        <v>4089</v>
      </c>
      <c r="B32" s="707"/>
      <c r="C32" s="707"/>
      <c r="D32" s="707"/>
      <c r="E32" s="707"/>
      <c r="F32" s="707"/>
      <c r="G32" s="708"/>
    </row>
    <row r="33" spans="1:7" ht="14.4" thickBot="1">
      <c r="A33" s="416">
        <v>1</v>
      </c>
      <c r="B33" s="417"/>
      <c r="C33" s="705"/>
      <c r="D33" s="698"/>
      <c r="E33" s="417"/>
      <c r="F33" s="417"/>
      <c r="G33" s="417"/>
    </row>
    <row r="34" spans="1:7" ht="14.4" thickBot="1">
      <c r="A34" s="706" t="s">
        <v>4106</v>
      </c>
      <c r="B34" s="707"/>
      <c r="C34" s="707"/>
      <c r="D34" s="707"/>
      <c r="E34" s="707"/>
      <c r="F34" s="707"/>
      <c r="G34" s="708"/>
    </row>
    <row r="35" spans="1:7" ht="14.4" thickBot="1">
      <c r="A35" s="416">
        <v>1</v>
      </c>
      <c r="B35" s="417"/>
      <c r="C35" s="705"/>
      <c r="D35" s="698"/>
      <c r="E35" s="417"/>
      <c r="F35" s="417"/>
      <c r="G35" s="417"/>
    </row>
    <row r="36" spans="1:7" ht="14.4" thickBot="1">
      <c r="A36" s="706" t="s">
        <v>4107</v>
      </c>
      <c r="B36" s="707"/>
      <c r="C36" s="707"/>
      <c r="D36" s="707"/>
      <c r="E36" s="707"/>
      <c r="F36" s="707"/>
      <c r="G36" s="708"/>
    </row>
    <row r="37" spans="1:7" ht="39.6" thickBot="1">
      <c r="A37" s="416">
        <v>1</v>
      </c>
      <c r="B37" s="417" t="s">
        <v>4108</v>
      </c>
      <c r="C37" s="705" t="s">
        <v>4109</v>
      </c>
      <c r="D37" s="698"/>
      <c r="E37" s="417" t="s">
        <v>4110</v>
      </c>
      <c r="F37" s="418">
        <v>0</v>
      </c>
      <c r="G37" s="417" t="s">
        <v>4111</v>
      </c>
    </row>
    <row r="38" spans="1:7" ht="38.4" thickBot="1">
      <c r="A38" s="416">
        <v>2</v>
      </c>
      <c r="B38" s="417" t="s">
        <v>4112</v>
      </c>
      <c r="C38" s="705" t="s">
        <v>4113</v>
      </c>
      <c r="D38" s="698"/>
      <c r="E38" s="417" t="s">
        <v>4114</v>
      </c>
      <c r="F38" s="418">
        <v>0</v>
      </c>
      <c r="G38" s="417" t="s">
        <v>4111</v>
      </c>
    </row>
    <row r="39" spans="1:7" ht="14.4">
      <c r="A39" s="430"/>
      <c r="B39" s="431"/>
      <c r="C39" s="431"/>
      <c r="D39" s="431"/>
      <c r="E39" s="431"/>
      <c r="F39" s="431"/>
      <c r="G39" s="431"/>
    </row>
    <row r="40" spans="1:7" ht="14.4" thickBot="1">
      <c r="A40" s="413" t="s">
        <v>4115</v>
      </c>
    </row>
    <row r="41" spans="1:7" ht="14.4" thickBot="1">
      <c r="A41" s="711" t="s">
        <v>4058</v>
      </c>
      <c r="B41" s="712"/>
      <c r="C41" s="712"/>
      <c r="D41" s="712"/>
      <c r="E41" s="712"/>
      <c r="F41" s="713"/>
    </row>
    <row r="42" spans="1:7" ht="38.4" thickBot="1">
      <c r="A42" s="414" t="s">
        <v>4116</v>
      </c>
      <c r="B42" s="415" t="s">
        <v>4060</v>
      </c>
      <c r="C42" s="415" t="s">
        <v>4061</v>
      </c>
      <c r="D42" s="415" t="s">
        <v>4062</v>
      </c>
      <c r="E42" s="415" t="s">
        <v>4063</v>
      </c>
      <c r="F42" s="415" t="s">
        <v>4059</v>
      </c>
    </row>
    <row r="43" spans="1:7" ht="106.2" thickBot="1">
      <c r="A43" s="416">
        <v>1</v>
      </c>
      <c r="B43" s="417" t="s">
        <v>4117</v>
      </c>
      <c r="C43" s="417">
        <v>115870</v>
      </c>
      <c r="D43" s="417" t="s">
        <v>4118</v>
      </c>
      <c r="E43" s="418">
        <v>1</v>
      </c>
      <c r="F43" s="417" t="s">
        <v>4099</v>
      </c>
    </row>
    <row r="44" spans="1:7" ht="22.95" customHeight="1" thickBot="1">
      <c r="A44" s="706" t="s">
        <v>4089</v>
      </c>
      <c r="B44" s="707"/>
      <c r="C44" s="707"/>
      <c r="D44" s="707"/>
      <c r="E44" s="707"/>
      <c r="F44" s="708"/>
    </row>
    <row r="45" spans="1:7" ht="14.4" thickBot="1">
      <c r="A45" s="416">
        <v>1</v>
      </c>
      <c r="B45" s="417"/>
      <c r="C45" s="417"/>
      <c r="D45" s="417"/>
      <c r="E45" s="417"/>
      <c r="F45" s="417"/>
    </row>
    <row r="46" spans="1:7" ht="22.95" customHeight="1" thickBot="1">
      <c r="A46" s="706" t="s">
        <v>4119</v>
      </c>
      <c r="B46" s="707"/>
      <c r="C46" s="707"/>
      <c r="D46" s="707"/>
      <c r="E46" s="707"/>
      <c r="F46" s="708"/>
    </row>
    <row r="47" spans="1:7" ht="14.4" thickBot="1">
      <c r="A47" s="416">
        <v>1</v>
      </c>
      <c r="B47" s="417"/>
      <c r="C47" s="417"/>
      <c r="D47" s="417"/>
      <c r="E47" s="417"/>
      <c r="F47" s="417"/>
    </row>
    <row r="48" spans="1:7" ht="22.95" customHeight="1" thickBot="1">
      <c r="A48" s="706" t="s">
        <v>4091</v>
      </c>
      <c r="B48" s="707"/>
      <c r="C48" s="707"/>
      <c r="D48" s="707"/>
      <c r="E48" s="707"/>
      <c r="F48" s="708"/>
    </row>
    <row r="49" spans="1:7" ht="106.2" thickBot="1">
      <c r="A49" s="416">
        <v>1</v>
      </c>
      <c r="B49" s="417" t="s">
        <v>4120</v>
      </c>
      <c r="C49" s="417" t="s">
        <v>4121</v>
      </c>
      <c r="D49" s="417" t="s">
        <v>4122</v>
      </c>
      <c r="E49" s="418">
        <v>0</v>
      </c>
      <c r="F49" s="417" t="s">
        <v>4099</v>
      </c>
    </row>
    <row r="50" spans="1:7" ht="51" thickBot="1">
      <c r="A50" s="416">
        <v>2</v>
      </c>
      <c r="B50" s="417" t="s">
        <v>4123</v>
      </c>
      <c r="C50" s="417" t="s">
        <v>4124</v>
      </c>
      <c r="D50" s="417">
        <v>2021</v>
      </c>
      <c r="E50" s="418">
        <v>0</v>
      </c>
      <c r="F50" s="417" t="s">
        <v>4099</v>
      </c>
    </row>
    <row r="51" spans="1:7" ht="106.2" thickBot="1">
      <c r="A51" s="416">
        <v>3</v>
      </c>
      <c r="B51" s="417" t="s">
        <v>4125</v>
      </c>
      <c r="C51" s="417" t="s">
        <v>4126</v>
      </c>
      <c r="D51" s="417" t="s">
        <v>4127</v>
      </c>
      <c r="E51" s="418">
        <v>0</v>
      </c>
      <c r="F51" s="417" t="s">
        <v>4099</v>
      </c>
    </row>
    <row r="52" spans="1:7" ht="39.6" thickBot="1">
      <c r="A52" s="416">
        <v>4</v>
      </c>
      <c r="B52" s="417" t="s">
        <v>4128</v>
      </c>
      <c r="C52" s="417" t="s">
        <v>4129</v>
      </c>
      <c r="D52" s="417" t="s">
        <v>4130</v>
      </c>
      <c r="E52" s="418">
        <v>0</v>
      </c>
      <c r="F52" s="417" t="s">
        <v>4099</v>
      </c>
    </row>
    <row r="53" spans="1:7" ht="38.4" thickBot="1">
      <c r="A53" s="416">
        <v>5</v>
      </c>
      <c r="B53" s="417" t="s">
        <v>4131</v>
      </c>
      <c r="C53" s="417" t="s">
        <v>4132</v>
      </c>
      <c r="D53" s="417" t="s">
        <v>4133</v>
      </c>
      <c r="E53" s="418">
        <v>0</v>
      </c>
      <c r="F53" s="417" t="s">
        <v>4099</v>
      </c>
    </row>
    <row r="54" spans="1:7" ht="38.4" thickBot="1">
      <c r="A54" s="416">
        <v>6</v>
      </c>
      <c r="B54" s="417" t="s">
        <v>4134</v>
      </c>
      <c r="C54" s="417" t="s">
        <v>4135</v>
      </c>
      <c r="D54" s="417" t="s">
        <v>4136</v>
      </c>
      <c r="E54" s="418">
        <v>0</v>
      </c>
      <c r="F54" s="417" t="s">
        <v>4099</v>
      </c>
    </row>
    <row r="55" spans="1:7">
      <c r="A55" s="421"/>
    </row>
    <row r="56" spans="1:7" ht="14.4" thickBot="1">
      <c r="A56" s="413" t="s">
        <v>4137</v>
      </c>
    </row>
    <row r="57" spans="1:7" ht="14.4" thickBot="1">
      <c r="A57" s="711" t="s">
        <v>4058</v>
      </c>
      <c r="B57" s="712"/>
      <c r="C57" s="712"/>
      <c r="D57" s="712"/>
      <c r="E57" s="712"/>
      <c r="F57" s="712"/>
      <c r="G57" s="713"/>
    </row>
    <row r="58" spans="1:7" ht="25.8" thickBot="1">
      <c r="A58" s="414" t="s">
        <v>4095</v>
      </c>
      <c r="B58" s="415" t="s">
        <v>4060</v>
      </c>
      <c r="C58" s="415" t="s">
        <v>4061</v>
      </c>
      <c r="D58" s="714" t="s">
        <v>4062</v>
      </c>
      <c r="E58" s="715"/>
      <c r="F58" s="415" t="s">
        <v>4063</v>
      </c>
      <c r="G58" s="415" t="s">
        <v>4059</v>
      </c>
    </row>
    <row r="59" spans="1:7" ht="38.4" thickBot="1">
      <c r="A59" s="416">
        <v>1</v>
      </c>
      <c r="B59" s="417" t="s">
        <v>4138</v>
      </c>
      <c r="C59" s="417" t="s">
        <v>4139</v>
      </c>
      <c r="D59" s="705">
        <v>2020</v>
      </c>
      <c r="E59" s="698"/>
      <c r="F59" s="418">
        <v>1</v>
      </c>
      <c r="G59" s="417" t="s">
        <v>4099</v>
      </c>
    </row>
    <row r="60" spans="1:7" ht="14.4" thickBot="1">
      <c r="A60" s="706" t="s">
        <v>4089</v>
      </c>
      <c r="B60" s="707"/>
      <c r="C60" s="707"/>
      <c r="D60" s="707"/>
      <c r="E60" s="707"/>
      <c r="F60" s="707"/>
      <c r="G60" s="708"/>
    </row>
    <row r="61" spans="1:7" ht="38.4" thickBot="1">
      <c r="A61" s="416">
        <v>1</v>
      </c>
      <c r="B61" s="417" t="s">
        <v>4140</v>
      </c>
      <c r="C61" s="417" t="s">
        <v>4081</v>
      </c>
      <c r="D61" s="705">
        <v>2021</v>
      </c>
      <c r="E61" s="698"/>
      <c r="F61" s="418">
        <v>0.5</v>
      </c>
      <c r="G61" s="417" t="s">
        <v>4099</v>
      </c>
    </row>
    <row r="62" spans="1:7" ht="14.4" thickBot="1">
      <c r="A62" s="706" t="s">
        <v>4119</v>
      </c>
      <c r="B62" s="707"/>
      <c r="C62" s="707"/>
      <c r="D62" s="707"/>
      <c r="E62" s="707"/>
      <c r="F62" s="707"/>
      <c r="G62" s="708"/>
    </row>
    <row r="63" spans="1:7" ht="14.4" thickBot="1">
      <c r="A63" s="416"/>
      <c r="B63" s="417"/>
      <c r="C63" s="417"/>
      <c r="D63" s="705"/>
      <c r="E63" s="698"/>
      <c r="F63" s="417"/>
      <c r="G63" s="417"/>
    </row>
    <row r="64" spans="1:7" ht="14.4" thickBot="1">
      <c r="A64" s="706" t="s">
        <v>4107</v>
      </c>
      <c r="B64" s="707"/>
      <c r="C64" s="707"/>
      <c r="D64" s="707"/>
      <c r="E64" s="707"/>
      <c r="F64" s="707"/>
      <c r="G64" s="708"/>
    </row>
    <row r="65" spans="1:7" ht="103.8" thickBot="1">
      <c r="A65" s="416">
        <v>1</v>
      </c>
      <c r="B65" s="417" t="s">
        <v>4141</v>
      </c>
      <c r="C65" s="417" t="s">
        <v>4142</v>
      </c>
      <c r="D65" s="417" t="s">
        <v>4143</v>
      </c>
      <c r="E65" s="769">
        <v>0</v>
      </c>
      <c r="F65" s="770"/>
      <c r="G65" s="417" t="s">
        <v>4099</v>
      </c>
    </row>
    <row r="66" spans="1:7" ht="102.6" thickBot="1">
      <c r="A66" s="416">
        <v>2</v>
      </c>
      <c r="B66" s="417" t="s">
        <v>4144</v>
      </c>
      <c r="C66" s="417" t="s">
        <v>4145</v>
      </c>
      <c r="D66" s="417" t="s">
        <v>4146</v>
      </c>
      <c r="E66" s="769">
        <v>0</v>
      </c>
      <c r="F66" s="770"/>
      <c r="G66" s="417" t="s">
        <v>4099</v>
      </c>
    </row>
    <row r="67" spans="1:7" ht="14.4">
      <c r="A67" s="430"/>
      <c r="B67" s="431"/>
      <c r="C67" s="431"/>
      <c r="D67" s="431"/>
      <c r="E67" s="431"/>
      <c r="F67" s="431"/>
      <c r="G67" s="431"/>
    </row>
    <row r="68" spans="1:7">
      <c r="A68" s="421"/>
    </row>
    <row r="69" spans="1:7" ht="14.4" thickBot="1">
      <c r="A69" s="413" t="s">
        <v>4147</v>
      </c>
    </row>
    <row r="70" spans="1:7">
      <c r="A70" s="763" t="s">
        <v>4058</v>
      </c>
      <c r="B70" s="764"/>
      <c r="C70" s="764"/>
      <c r="D70" s="764"/>
      <c r="E70" s="764"/>
      <c r="F70" s="765"/>
    </row>
    <row r="71" spans="1:7" ht="14.4" thickBot="1">
      <c r="A71" s="766" t="s">
        <v>4059</v>
      </c>
      <c r="B71" s="767"/>
      <c r="C71" s="767"/>
      <c r="D71" s="767"/>
      <c r="E71" s="767"/>
      <c r="F71" s="768"/>
    </row>
    <row r="72" spans="1:7" ht="38.4" thickBot="1">
      <c r="A72" s="414" t="s">
        <v>4116</v>
      </c>
      <c r="B72" s="415" t="s">
        <v>4060</v>
      </c>
      <c r="C72" s="415" t="s">
        <v>4061</v>
      </c>
      <c r="D72" s="415" t="s">
        <v>4062</v>
      </c>
      <c r="E72" s="415" t="s">
        <v>4063</v>
      </c>
      <c r="F72" s="415" t="s">
        <v>4059</v>
      </c>
    </row>
    <row r="73" spans="1:7" ht="38.4" thickBot="1">
      <c r="A73" s="416">
        <v>1</v>
      </c>
      <c r="B73" s="417" t="s">
        <v>4138</v>
      </c>
      <c r="C73" s="417" t="s">
        <v>4148</v>
      </c>
      <c r="D73" s="417">
        <v>2020</v>
      </c>
      <c r="E73" s="418">
        <v>1</v>
      </c>
      <c r="F73" s="417" t="s">
        <v>4099</v>
      </c>
    </row>
    <row r="74" spans="1:7" ht="22.95" customHeight="1" thickBot="1">
      <c r="A74" s="706" t="s">
        <v>4089</v>
      </c>
      <c r="B74" s="707"/>
      <c r="C74" s="707"/>
      <c r="D74" s="707"/>
      <c r="E74" s="707"/>
      <c r="F74" s="708"/>
    </row>
    <row r="75" spans="1:7" ht="39.6" thickBot="1">
      <c r="A75" s="416">
        <v>1</v>
      </c>
      <c r="B75" s="417" t="s">
        <v>4149</v>
      </c>
      <c r="C75" s="417" t="s">
        <v>4150</v>
      </c>
      <c r="D75" s="417" t="s">
        <v>4151</v>
      </c>
      <c r="E75" s="418">
        <v>0.65</v>
      </c>
      <c r="F75" s="417" t="s">
        <v>4099</v>
      </c>
    </row>
    <row r="76" spans="1:7" ht="22.95" customHeight="1" thickBot="1">
      <c r="A76" s="706" t="s">
        <v>4152</v>
      </c>
      <c r="B76" s="707"/>
      <c r="C76" s="707"/>
      <c r="D76" s="707"/>
      <c r="E76" s="707"/>
      <c r="F76" s="708"/>
    </row>
    <row r="77" spans="1:7" ht="14.4" thickBot="1">
      <c r="A77" s="416">
        <v>1</v>
      </c>
      <c r="B77" s="417"/>
      <c r="C77" s="417"/>
      <c r="D77" s="417"/>
      <c r="E77" s="417"/>
      <c r="F77" s="417"/>
    </row>
    <row r="78" spans="1:7" ht="22.95" customHeight="1" thickBot="1">
      <c r="A78" s="706" t="s">
        <v>4107</v>
      </c>
      <c r="B78" s="707"/>
      <c r="C78" s="707"/>
      <c r="D78" s="707"/>
      <c r="E78" s="707"/>
      <c r="F78" s="708"/>
    </row>
    <row r="79" spans="1:7" ht="91.2" thickBot="1">
      <c r="A79" s="416">
        <v>1</v>
      </c>
      <c r="B79" s="417" t="s">
        <v>4153</v>
      </c>
      <c r="C79" s="417" t="s">
        <v>4150</v>
      </c>
      <c r="D79" s="417" t="s">
        <v>4154</v>
      </c>
      <c r="E79" s="417"/>
      <c r="F79" s="417" t="s">
        <v>4099</v>
      </c>
    </row>
    <row r="80" spans="1:7">
      <c r="A80" s="421"/>
    </row>
    <row r="81" spans="1:7" ht="14.4" thickBot="1">
      <c r="A81" s="413" t="s">
        <v>4155</v>
      </c>
    </row>
    <row r="82" spans="1:7" ht="14.4" thickBot="1">
      <c r="A82" s="711" t="s">
        <v>4058</v>
      </c>
      <c r="B82" s="712"/>
      <c r="C82" s="712"/>
      <c r="D82" s="712"/>
      <c r="E82" s="712"/>
      <c r="F82" s="712"/>
      <c r="G82" s="713"/>
    </row>
    <row r="83" spans="1:7" ht="25.8" thickBot="1">
      <c r="A83" s="414" t="s">
        <v>3</v>
      </c>
      <c r="B83" s="714" t="s">
        <v>4060</v>
      </c>
      <c r="C83" s="715"/>
      <c r="D83" s="415" t="s">
        <v>4061</v>
      </c>
      <c r="E83" s="415" t="s">
        <v>4062</v>
      </c>
      <c r="F83" s="415" t="s">
        <v>4063</v>
      </c>
      <c r="G83" s="415" t="s">
        <v>4059</v>
      </c>
    </row>
    <row r="84" spans="1:7" ht="63.45" customHeight="1" thickBot="1">
      <c r="A84" s="416">
        <v>1</v>
      </c>
      <c r="B84" s="705" t="s">
        <v>4156</v>
      </c>
      <c r="C84" s="698"/>
      <c r="D84" s="417" t="s">
        <v>4157</v>
      </c>
      <c r="E84" s="417" t="s">
        <v>4158</v>
      </c>
      <c r="F84" s="418">
        <v>1</v>
      </c>
      <c r="G84" s="417" t="s">
        <v>4099</v>
      </c>
    </row>
    <row r="85" spans="1:7" ht="14.4" thickBot="1">
      <c r="A85" s="706" t="s">
        <v>4089</v>
      </c>
      <c r="B85" s="707"/>
      <c r="C85" s="707"/>
      <c r="D85" s="707"/>
      <c r="E85" s="707"/>
      <c r="F85" s="707"/>
      <c r="G85" s="708"/>
    </row>
    <row r="86" spans="1:7" ht="14.4" thickBot="1">
      <c r="A86" s="416">
        <v>1</v>
      </c>
      <c r="B86" s="705"/>
      <c r="C86" s="698"/>
      <c r="D86" s="417"/>
      <c r="E86" s="417"/>
      <c r="F86" s="417"/>
      <c r="G86" s="417"/>
    </row>
    <row r="87" spans="1:7" ht="14.4" thickBot="1">
      <c r="A87" s="706" t="s">
        <v>4119</v>
      </c>
      <c r="B87" s="707"/>
      <c r="C87" s="707"/>
      <c r="D87" s="707"/>
      <c r="E87" s="707"/>
      <c r="F87" s="707"/>
      <c r="G87" s="708"/>
    </row>
    <row r="88" spans="1:7" ht="14.4" thickBot="1">
      <c r="A88" s="416">
        <v>1</v>
      </c>
      <c r="B88" s="417"/>
      <c r="C88" s="705"/>
      <c r="D88" s="698"/>
      <c r="E88" s="417"/>
      <c r="F88" s="417"/>
      <c r="G88" s="417"/>
    </row>
    <row r="89" spans="1:7" ht="14.4" thickBot="1">
      <c r="A89" s="706" t="s">
        <v>4107</v>
      </c>
      <c r="B89" s="707"/>
      <c r="C89" s="707"/>
      <c r="D89" s="707"/>
      <c r="E89" s="707"/>
      <c r="F89" s="707"/>
      <c r="G89" s="708"/>
    </row>
    <row r="90" spans="1:7" ht="38.4" thickBot="1">
      <c r="A90" s="416">
        <v>1</v>
      </c>
      <c r="B90" s="417" t="s">
        <v>4159</v>
      </c>
      <c r="C90" s="705" t="s">
        <v>4160</v>
      </c>
      <c r="D90" s="698"/>
      <c r="E90" s="417">
        <v>2021</v>
      </c>
      <c r="F90" s="418">
        <v>0</v>
      </c>
      <c r="G90" s="417" t="s">
        <v>4099</v>
      </c>
    </row>
    <row r="91" spans="1:7" ht="49.2" customHeight="1">
      <c r="A91" s="723">
        <v>2</v>
      </c>
      <c r="B91" s="720" t="s">
        <v>4161</v>
      </c>
      <c r="C91" s="733" t="s">
        <v>4162</v>
      </c>
      <c r="D91" s="734"/>
      <c r="E91" s="720" t="s">
        <v>4163</v>
      </c>
      <c r="F91" s="757">
        <v>0</v>
      </c>
      <c r="G91" s="720" t="s">
        <v>4099</v>
      </c>
    </row>
    <row r="92" spans="1:7" ht="14.4" thickBot="1">
      <c r="A92" s="724"/>
      <c r="B92" s="722"/>
      <c r="C92" s="735"/>
      <c r="D92" s="736"/>
      <c r="E92" s="722"/>
      <c r="F92" s="758"/>
      <c r="G92" s="722"/>
    </row>
    <row r="93" spans="1:7" ht="103.8" thickBot="1">
      <c r="A93" s="416">
        <v>3</v>
      </c>
      <c r="B93" s="417" t="s">
        <v>4164</v>
      </c>
      <c r="C93" s="705" t="s">
        <v>4142</v>
      </c>
      <c r="D93" s="698"/>
      <c r="E93" s="417" t="s">
        <v>4165</v>
      </c>
      <c r="F93" s="418">
        <v>0</v>
      </c>
      <c r="G93" s="417" t="s">
        <v>4099</v>
      </c>
    </row>
    <row r="94" spans="1:7" ht="91.2" thickBot="1">
      <c r="A94" s="416">
        <v>4</v>
      </c>
      <c r="B94" s="417" t="s">
        <v>4166</v>
      </c>
      <c r="C94" s="705" t="s">
        <v>4167</v>
      </c>
      <c r="D94" s="698"/>
      <c r="E94" s="417" t="s">
        <v>4168</v>
      </c>
      <c r="F94" s="417"/>
      <c r="G94" s="417" t="s">
        <v>4099</v>
      </c>
    </row>
    <row r="95" spans="1:7" ht="14.4">
      <c r="A95" s="430"/>
      <c r="B95" s="431"/>
      <c r="C95" s="431"/>
      <c r="D95" s="431"/>
      <c r="E95" s="431"/>
      <c r="F95" s="431"/>
      <c r="G95" s="431"/>
    </row>
    <row r="96" spans="1:7">
      <c r="A96" s="434"/>
    </row>
    <row r="97" spans="1:7" ht="14.4" thickBot="1">
      <c r="A97" s="413" t="s">
        <v>4169</v>
      </c>
    </row>
    <row r="98" spans="1:7" ht="15" customHeight="1" thickBot="1">
      <c r="A98" s="711" t="s">
        <v>4058</v>
      </c>
      <c r="B98" s="712"/>
      <c r="C98" s="712"/>
      <c r="D98" s="712"/>
      <c r="E98" s="712"/>
      <c r="F98" s="712"/>
      <c r="G98" s="713"/>
    </row>
    <row r="99" spans="1:7" ht="38.4" thickBot="1">
      <c r="A99" s="414" t="s">
        <v>4095</v>
      </c>
      <c r="B99" s="415" t="s">
        <v>4060</v>
      </c>
      <c r="C99" s="415" t="s">
        <v>4061</v>
      </c>
      <c r="D99" s="415" t="s">
        <v>4062</v>
      </c>
      <c r="E99" s="422" t="s">
        <v>4063</v>
      </c>
      <c r="F99" s="423"/>
      <c r="G99" s="415" t="s">
        <v>4059</v>
      </c>
    </row>
    <row r="100" spans="1:7" ht="63.6" thickBot="1">
      <c r="A100" s="416">
        <v>1</v>
      </c>
      <c r="B100" s="417" t="s">
        <v>4170</v>
      </c>
      <c r="C100" s="417" t="s">
        <v>4171</v>
      </c>
      <c r="D100" s="417">
        <v>2021</v>
      </c>
      <c r="E100" s="432">
        <v>1</v>
      </c>
      <c r="F100" s="433"/>
      <c r="G100" s="417" t="s">
        <v>4099</v>
      </c>
    </row>
    <row r="101" spans="1:7" ht="49.2" customHeight="1">
      <c r="A101" s="426">
        <v>2</v>
      </c>
      <c r="B101" s="428" t="s">
        <v>4172</v>
      </c>
      <c r="C101" s="428" t="s">
        <v>4173</v>
      </c>
      <c r="D101" s="428">
        <v>2021</v>
      </c>
      <c r="E101" s="435">
        <v>1</v>
      </c>
      <c r="F101" s="436"/>
      <c r="G101" s="428" t="s">
        <v>4099</v>
      </c>
    </row>
    <row r="102" spans="1:7" ht="14.4" thickBot="1">
      <c r="A102" s="416"/>
      <c r="B102" s="429"/>
      <c r="C102" s="429"/>
      <c r="D102" s="429"/>
      <c r="E102" s="437"/>
      <c r="F102" s="418"/>
      <c r="G102" s="429"/>
    </row>
    <row r="103" spans="1:7" ht="51" thickBot="1">
      <c r="A103" s="416">
        <v>3</v>
      </c>
      <c r="B103" s="417" t="s">
        <v>4174</v>
      </c>
      <c r="C103" s="417" t="s">
        <v>4175</v>
      </c>
      <c r="D103" s="417">
        <v>2021</v>
      </c>
      <c r="E103" s="432">
        <v>1</v>
      </c>
      <c r="F103" s="433"/>
      <c r="G103" s="417" t="s">
        <v>4099</v>
      </c>
    </row>
    <row r="104" spans="1:7" ht="14.4" thickBot="1">
      <c r="A104" s="429"/>
      <c r="B104" s="417"/>
      <c r="C104" s="417"/>
      <c r="D104" s="417"/>
      <c r="E104" s="424"/>
      <c r="F104" s="425"/>
      <c r="G104" s="417"/>
    </row>
    <row r="105" spans="1:7" ht="15" customHeight="1" thickBot="1">
      <c r="A105" s="706" t="s">
        <v>4089</v>
      </c>
      <c r="B105" s="707"/>
      <c r="C105" s="707"/>
      <c r="D105" s="707"/>
      <c r="E105" s="707"/>
      <c r="F105" s="707"/>
      <c r="G105" s="708"/>
    </row>
    <row r="106" spans="1:7" ht="38.4" thickBot="1">
      <c r="A106" s="416">
        <v>1</v>
      </c>
      <c r="B106" s="417" t="s">
        <v>4176</v>
      </c>
      <c r="C106" s="417" t="s">
        <v>4177</v>
      </c>
      <c r="D106" s="417" t="s">
        <v>4178</v>
      </c>
      <c r="E106" s="432">
        <v>0.5</v>
      </c>
      <c r="F106" s="433"/>
      <c r="G106" s="417" t="s">
        <v>4099</v>
      </c>
    </row>
    <row r="107" spans="1:7" ht="14.4" thickBot="1">
      <c r="A107" s="429"/>
      <c r="B107" s="417"/>
      <c r="C107" s="417"/>
      <c r="D107" s="417"/>
      <c r="E107" s="424"/>
      <c r="F107" s="425"/>
      <c r="G107" s="417"/>
    </row>
    <row r="108" spans="1:7" ht="15" customHeight="1" thickBot="1">
      <c r="A108" s="706" t="s">
        <v>4152</v>
      </c>
      <c r="B108" s="707"/>
      <c r="C108" s="707"/>
      <c r="D108" s="707"/>
      <c r="E108" s="707"/>
      <c r="F108" s="707"/>
      <c r="G108" s="708"/>
    </row>
    <row r="109" spans="1:7" ht="63.6" thickBot="1">
      <c r="A109" s="416">
        <v>1</v>
      </c>
      <c r="B109" s="417" t="s">
        <v>4179</v>
      </c>
      <c r="C109" s="417" t="s">
        <v>4180</v>
      </c>
      <c r="D109" s="417">
        <v>2021</v>
      </c>
      <c r="E109" s="432">
        <v>0.25</v>
      </c>
      <c r="F109" s="433"/>
      <c r="G109" s="417" t="s">
        <v>4099</v>
      </c>
    </row>
    <row r="110" spans="1:7" ht="126.6" thickBot="1">
      <c r="A110" s="416">
        <v>2</v>
      </c>
      <c r="B110" s="417" t="s">
        <v>4181</v>
      </c>
      <c r="C110" s="417" t="s">
        <v>4182</v>
      </c>
      <c r="D110" s="417">
        <v>2021</v>
      </c>
      <c r="E110" s="432">
        <v>0.3</v>
      </c>
      <c r="F110" s="433"/>
      <c r="G110" s="417" t="s">
        <v>4099</v>
      </c>
    </row>
    <row r="111" spans="1:7" ht="76.2" thickBot="1">
      <c r="A111" s="416">
        <v>3</v>
      </c>
      <c r="B111" s="417" t="s">
        <v>4183</v>
      </c>
      <c r="C111" s="417" t="s">
        <v>4184</v>
      </c>
      <c r="D111" s="417">
        <v>2021</v>
      </c>
      <c r="E111" s="432">
        <v>0.1</v>
      </c>
      <c r="F111" s="433"/>
      <c r="G111" s="417" t="s">
        <v>4099</v>
      </c>
    </row>
    <row r="112" spans="1:7" ht="15" customHeight="1" thickBot="1">
      <c r="A112" s="706" t="s">
        <v>4107</v>
      </c>
      <c r="B112" s="707"/>
      <c r="C112" s="707"/>
      <c r="D112" s="707"/>
      <c r="E112" s="707"/>
      <c r="F112" s="707"/>
      <c r="G112" s="708"/>
    </row>
    <row r="113" spans="1:7" ht="38.4" thickBot="1">
      <c r="A113" s="416">
        <v>1</v>
      </c>
      <c r="B113" s="417" t="s">
        <v>4185</v>
      </c>
      <c r="C113" s="417" t="s">
        <v>4186</v>
      </c>
      <c r="D113" s="424">
        <v>2021</v>
      </c>
      <c r="E113" s="425"/>
      <c r="F113" s="418">
        <v>0</v>
      </c>
      <c r="G113" s="417" t="s">
        <v>4099</v>
      </c>
    </row>
    <row r="114" spans="1:7" ht="38.4" thickBot="1">
      <c r="A114" s="416">
        <v>2</v>
      </c>
      <c r="B114" s="417" t="s">
        <v>4187</v>
      </c>
      <c r="C114" s="417" t="s">
        <v>4188</v>
      </c>
      <c r="D114" s="424">
        <v>2021</v>
      </c>
      <c r="E114" s="425"/>
      <c r="F114" s="418">
        <v>0</v>
      </c>
      <c r="G114" s="417" t="s">
        <v>4099</v>
      </c>
    </row>
    <row r="115" spans="1:7" ht="38.4" thickBot="1">
      <c r="A115" s="416">
        <v>3</v>
      </c>
      <c r="B115" s="417" t="s">
        <v>4185</v>
      </c>
      <c r="C115" s="417" t="s">
        <v>4186</v>
      </c>
      <c r="D115" s="424">
        <v>2021</v>
      </c>
      <c r="E115" s="425"/>
      <c r="F115" s="418">
        <v>0</v>
      </c>
      <c r="G115" s="417" t="s">
        <v>4099</v>
      </c>
    </row>
    <row r="116" spans="1:7" ht="38.4" thickBot="1">
      <c r="A116" s="416">
        <v>4</v>
      </c>
      <c r="B116" s="417" t="s">
        <v>4189</v>
      </c>
      <c r="C116" s="417" t="s">
        <v>4190</v>
      </c>
      <c r="D116" s="424">
        <v>2021</v>
      </c>
      <c r="E116" s="425"/>
      <c r="F116" s="418">
        <v>0</v>
      </c>
      <c r="G116" s="417" t="s">
        <v>4099</v>
      </c>
    </row>
    <row r="117" spans="1:7" ht="51" thickBot="1">
      <c r="A117" s="438">
        <v>5</v>
      </c>
      <c r="B117" s="417" t="s">
        <v>4191</v>
      </c>
      <c r="C117" s="417" t="s">
        <v>4192</v>
      </c>
      <c r="D117" s="705">
        <v>2021</v>
      </c>
      <c r="E117" s="698"/>
      <c r="F117" s="418">
        <v>0</v>
      </c>
      <c r="G117" s="417" t="s">
        <v>4099</v>
      </c>
    </row>
    <row r="118" spans="1:7" ht="38.4" thickBot="1">
      <c r="A118" s="438">
        <v>6</v>
      </c>
      <c r="B118" s="417" t="s">
        <v>4193</v>
      </c>
      <c r="C118" s="417" t="s">
        <v>4194</v>
      </c>
      <c r="D118" s="705" t="s">
        <v>4195</v>
      </c>
      <c r="E118" s="698"/>
      <c r="F118" s="418">
        <v>0</v>
      </c>
      <c r="G118" s="417" t="s">
        <v>4099</v>
      </c>
    </row>
    <row r="119" spans="1:7" ht="38.4" thickBot="1">
      <c r="A119" s="438">
        <v>7</v>
      </c>
      <c r="B119" s="417" t="s">
        <v>4196</v>
      </c>
      <c r="C119" s="417" t="s">
        <v>4197</v>
      </c>
      <c r="D119" s="705">
        <v>2021</v>
      </c>
      <c r="E119" s="698"/>
      <c r="F119" s="418">
        <v>0</v>
      </c>
      <c r="G119" s="417" t="s">
        <v>4099</v>
      </c>
    </row>
    <row r="120" spans="1:7" ht="38.4" thickBot="1">
      <c r="A120" s="438">
        <v>8</v>
      </c>
      <c r="B120" s="417" t="s">
        <v>4198</v>
      </c>
      <c r="C120" s="417" t="s">
        <v>4177</v>
      </c>
      <c r="D120" s="705">
        <v>2021</v>
      </c>
      <c r="E120" s="698"/>
      <c r="F120" s="418">
        <v>0</v>
      </c>
      <c r="G120" s="417" t="s">
        <v>4099</v>
      </c>
    </row>
    <row r="121" spans="1:7" ht="38.4" thickBot="1">
      <c r="A121" s="438">
        <v>9</v>
      </c>
      <c r="B121" s="417" t="s">
        <v>4199</v>
      </c>
      <c r="C121" s="417" t="s">
        <v>4200</v>
      </c>
      <c r="D121" s="705">
        <v>2021</v>
      </c>
      <c r="E121" s="698"/>
      <c r="F121" s="418">
        <v>0</v>
      </c>
      <c r="G121" s="417" t="s">
        <v>4099</v>
      </c>
    </row>
    <row r="122" spans="1:7" ht="38.4" thickBot="1">
      <c r="A122" s="438">
        <v>10</v>
      </c>
      <c r="B122" s="417" t="s">
        <v>4201</v>
      </c>
      <c r="C122" s="417" t="s">
        <v>4202</v>
      </c>
      <c r="D122" s="705">
        <v>2021</v>
      </c>
      <c r="E122" s="698"/>
      <c r="F122" s="418">
        <v>0</v>
      </c>
      <c r="G122" s="417" t="s">
        <v>4099</v>
      </c>
    </row>
    <row r="123" spans="1:7" ht="38.4" thickBot="1">
      <c r="A123" s="438">
        <v>11</v>
      </c>
      <c r="B123" s="417" t="s">
        <v>4203</v>
      </c>
      <c r="C123" s="417" t="s">
        <v>4204</v>
      </c>
      <c r="D123" s="705" t="s">
        <v>4205</v>
      </c>
      <c r="E123" s="698"/>
      <c r="F123" s="418">
        <v>0</v>
      </c>
      <c r="G123" s="417" t="s">
        <v>4099</v>
      </c>
    </row>
    <row r="124" spans="1:7" ht="51" thickBot="1">
      <c r="A124" s="438">
        <v>12</v>
      </c>
      <c r="B124" s="417" t="s">
        <v>4206</v>
      </c>
      <c r="C124" s="417" t="s">
        <v>4148</v>
      </c>
      <c r="D124" s="705" t="s">
        <v>4163</v>
      </c>
      <c r="E124" s="698"/>
      <c r="F124" s="418">
        <v>0</v>
      </c>
      <c r="G124" s="417" t="s">
        <v>4099</v>
      </c>
    </row>
    <row r="125" spans="1:7" ht="38.4" thickBot="1">
      <c r="A125" s="438">
        <v>13</v>
      </c>
      <c r="B125" s="417" t="s">
        <v>4207</v>
      </c>
      <c r="C125" s="417" t="s">
        <v>4208</v>
      </c>
      <c r="D125" s="705" t="s">
        <v>4163</v>
      </c>
      <c r="E125" s="698"/>
      <c r="F125" s="418">
        <v>0</v>
      </c>
      <c r="G125" s="417" t="s">
        <v>4099</v>
      </c>
    </row>
    <row r="126" spans="1:7" ht="51" thickBot="1">
      <c r="A126" s="438">
        <v>14</v>
      </c>
      <c r="B126" s="417" t="s">
        <v>4209</v>
      </c>
      <c r="C126" s="417">
        <v>12000</v>
      </c>
      <c r="D126" s="705" t="s">
        <v>4163</v>
      </c>
      <c r="E126" s="698"/>
      <c r="F126" s="418">
        <v>0</v>
      </c>
      <c r="G126" s="417" t="s">
        <v>4099</v>
      </c>
    </row>
    <row r="127" spans="1:7" ht="31.2" customHeight="1">
      <c r="A127" s="439">
        <v>15</v>
      </c>
      <c r="B127" s="720" t="s">
        <v>4210</v>
      </c>
      <c r="C127" s="440" t="s">
        <v>4148</v>
      </c>
      <c r="D127" s="733">
        <v>2022</v>
      </c>
      <c r="E127" s="734"/>
      <c r="F127" s="720"/>
      <c r="G127" s="720" t="s">
        <v>4099</v>
      </c>
    </row>
    <row r="128" spans="1:7" ht="14.4" thickBot="1">
      <c r="A128" s="441"/>
      <c r="B128" s="722"/>
      <c r="C128" s="417" t="s">
        <v>4148</v>
      </c>
      <c r="D128" s="735">
        <v>2023</v>
      </c>
      <c r="E128" s="736"/>
      <c r="F128" s="722"/>
      <c r="G128" s="722"/>
    </row>
    <row r="129" spans="1:7" ht="38.4" thickBot="1">
      <c r="A129" s="438">
        <v>16</v>
      </c>
      <c r="B129" s="417" t="s">
        <v>4211</v>
      </c>
      <c r="C129" s="417" t="s">
        <v>4212</v>
      </c>
      <c r="D129" s="705">
        <v>2021</v>
      </c>
      <c r="E129" s="698"/>
      <c r="F129" s="418">
        <v>0</v>
      </c>
      <c r="G129" s="417" t="s">
        <v>4099</v>
      </c>
    </row>
    <row r="130" spans="1:7" ht="38.4" thickBot="1">
      <c r="A130" s="438">
        <v>17</v>
      </c>
      <c r="B130" s="417" t="s">
        <v>4213</v>
      </c>
      <c r="C130" s="417" t="s">
        <v>4208</v>
      </c>
      <c r="D130" s="705">
        <v>2021</v>
      </c>
      <c r="E130" s="698"/>
      <c r="F130" s="418">
        <v>0</v>
      </c>
      <c r="G130" s="417" t="s">
        <v>4099</v>
      </c>
    </row>
    <row r="131" spans="1:7" ht="112.2" customHeight="1">
      <c r="A131" s="439">
        <v>18</v>
      </c>
      <c r="B131" s="720" t="s">
        <v>4214</v>
      </c>
      <c r="C131" s="440" t="s">
        <v>4085</v>
      </c>
      <c r="D131" s="733">
        <v>2021</v>
      </c>
      <c r="E131" s="734"/>
      <c r="F131" s="757">
        <v>0</v>
      </c>
      <c r="G131" s="720" t="s">
        <v>4099</v>
      </c>
    </row>
    <row r="132" spans="1:7" ht="14.4" thickBot="1">
      <c r="A132" s="441"/>
      <c r="B132" s="722"/>
      <c r="C132" s="417" t="s">
        <v>4215</v>
      </c>
      <c r="D132" s="735">
        <v>2023</v>
      </c>
      <c r="E132" s="736"/>
      <c r="F132" s="758"/>
      <c r="G132" s="722"/>
    </row>
    <row r="133" spans="1:7" ht="103.2" customHeight="1">
      <c r="A133" s="439">
        <v>19</v>
      </c>
      <c r="B133" s="720" t="s">
        <v>4216</v>
      </c>
      <c r="C133" s="440" t="s">
        <v>4217</v>
      </c>
      <c r="D133" s="733">
        <v>2022</v>
      </c>
      <c r="E133" s="734"/>
      <c r="F133" s="757">
        <v>0</v>
      </c>
      <c r="G133" s="720" t="s">
        <v>4099</v>
      </c>
    </row>
    <row r="134" spans="1:7" ht="14.4" thickBot="1">
      <c r="A134" s="441"/>
      <c r="B134" s="722"/>
      <c r="C134" s="417" t="s">
        <v>4218</v>
      </c>
      <c r="D134" s="735">
        <v>2023</v>
      </c>
      <c r="E134" s="736"/>
      <c r="F134" s="758"/>
      <c r="G134" s="722"/>
    </row>
    <row r="135" spans="1:7" ht="25.2">
      <c r="A135" s="439">
        <v>20</v>
      </c>
      <c r="B135" s="440" t="s">
        <v>4219</v>
      </c>
      <c r="C135" s="440">
        <v>23615</v>
      </c>
      <c r="D135" s="733">
        <v>2022</v>
      </c>
      <c r="E135" s="734"/>
      <c r="F135" s="757">
        <v>0</v>
      </c>
      <c r="G135" s="720" t="s">
        <v>4099</v>
      </c>
    </row>
    <row r="136" spans="1:7" ht="25.2">
      <c r="A136" s="442"/>
      <c r="B136" s="440" t="s">
        <v>4220</v>
      </c>
      <c r="C136" s="440"/>
      <c r="D136" s="744"/>
      <c r="E136" s="745"/>
      <c r="F136" s="762"/>
      <c r="G136" s="721"/>
    </row>
    <row r="137" spans="1:7" ht="50.4">
      <c r="A137" s="442"/>
      <c r="B137" s="440" t="s">
        <v>4221</v>
      </c>
      <c r="C137" s="440">
        <v>30750</v>
      </c>
      <c r="D137" s="744">
        <v>2022</v>
      </c>
      <c r="E137" s="745"/>
      <c r="F137" s="762"/>
      <c r="G137" s="721"/>
    </row>
    <row r="138" spans="1:7">
      <c r="A138" s="442"/>
      <c r="B138" s="440" t="s">
        <v>4222</v>
      </c>
      <c r="C138" s="440"/>
      <c r="D138" s="744"/>
      <c r="E138" s="745"/>
      <c r="F138" s="762"/>
      <c r="G138" s="721"/>
    </row>
    <row r="139" spans="1:7">
      <c r="A139" s="442"/>
      <c r="B139" s="443"/>
      <c r="C139" s="440">
        <v>48882</v>
      </c>
      <c r="D139" s="744">
        <v>2022</v>
      </c>
      <c r="E139" s="745"/>
      <c r="F139" s="762"/>
      <c r="G139" s="721"/>
    </row>
    <row r="140" spans="1:7" ht="14.4" thickBot="1">
      <c r="A140" s="441"/>
      <c r="B140" s="444"/>
      <c r="C140" s="444"/>
      <c r="D140" s="735"/>
      <c r="E140" s="736"/>
      <c r="F140" s="758"/>
      <c r="G140" s="722"/>
    </row>
    <row r="141" spans="1:7" ht="38.4" thickBot="1">
      <c r="A141" s="438">
        <v>21</v>
      </c>
      <c r="B141" s="417" t="s">
        <v>4223</v>
      </c>
      <c r="C141" s="417">
        <v>396073</v>
      </c>
      <c r="D141" s="705">
        <v>2022</v>
      </c>
      <c r="E141" s="698"/>
      <c r="F141" s="418">
        <v>0</v>
      </c>
      <c r="G141" s="417" t="s">
        <v>4099</v>
      </c>
    </row>
    <row r="142" spans="1:7" ht="38.4" thickBot="1">
      <c r="A142" s="438">
        <v>22</v>
      </c>
      <c r="B142" s="417" t="s">
        <v>4224</v>
      </c>
      <c r="C142" s="417" t="s">
        <v>4177</v>
      </c>
      <c r="D142" s="705" t="s">
        <v>4163</v>
      </c>
      <c r="E142" s="698"/>
      <c r="F142" s="418">
        <v>0</v>
      </c>
      <c r="G142" s="417" t="s">
        <v>4099</v>
      </c>
    </row>
    <row r="143" spans="1:7" ht="31.2" customHeight="1">
      <c r="A143" s="439">
        <v>23</v>
      </c>
      <c r="B143" s="720" t="s">
        <v>4225</v>
      </c>
      <c r="C143" s="440">
        <v>65000</v>
      </c>
      <c r="D143" s="733">
        <v>2021</v>
      </c>
      <c r="E143" s="734"/>
      <c r="F143" s="757">
        <v>0</v>
      </c>
      <c r="G143" s="720" t="s">
        <v>4099</v>
      </c>
    </row>
    <row r="144" spans="1:7" ht="14.4" thickBot="1">
      <c r="A144" s="441"/>
      <c r="B144" s="722"/>
      <c r="C144" s="417">
        <v>65000</v>
      </c>
      <c r="D144" s="735">
        <v>2022</v>
      </c>
      <c r="E144" s="736"/>
      <c r="F144" s="758"/>
      <c r="G144" s="722"/>
    </row>
    <row r="145" spans="1:9" ht="14.4">
      <c r="A145" s="430"/>
      <c r="B145" s="431"/>
      <c r="C145" s="431"/>
      <c r="D145" s="431"/>
      <c r="E145" s="431"/>
      <c r="F145" s="431"/>
      <c r="G145" s="431"/>
      <c r="H145" s="431"/>
    </row>
    <row r="146" spans="1:9">
      <c r="A146" s="434"/>
    </row>
    <row r="147" spans="1:9" ht="14.4" thickBot="1">
      <c r="A147" s="421" t="s">
        <v>4226</v>
      </c>
    </row>
    <row r="148" spans="1:9" ht="14.4" thickBot="1">
      <c r="A148" s="759" t="s">
        <v>4058</v>
      </c>
      <c r="B148" s="760"/>
      <c r="C148" s="760"/>
      <c r="D148" s="760"/>
      <c r="E148" s="760"/>
      <c r="F148" s="760"/>
      <c r="G148" s="760"/>
      <c r="H148" s="760"/>
      <c r="I148" s="761"/>
    </row>
    <row r="149" spans="1:9" ht="14.4" thickBot="1">
      <c r="A149" s="414" t="s">
        <v>4116</v>
      </c>
      <c r="B149" s="415" t="s">
        <v>4227</v>
      </c>
      <c r="C149" s="415" t="s">
        <v>4061</v>
      </c>
      <c r="D149" s="714" t="s">
        <v>4062</v>
      </c>
      <c r="E149" s="715"/>
      <c r="F149" s="714" t="s">
        <v>4063</v>
      </c>
      <c r="G149" s="716"/>
      <c r="H149" s="715"/>
      <c r="I149" s="415" t="s">
        <v>4059</v>
      </c>
    </row>
    <row r="150" spans="1:9" ht="38.4" thickBot="1">
      <c r="A150" s="416">
        <v>1</v>
      </c>
      <c r="B150" s="445" t="s">
        <v>4228</v>
      </c>
      <c r="C150" s="417" t="s">
        <v>4229</v>
      </c>
      <c r="D150" s="705">
        <v>2022</v>
      </c>
      <c r="E150" s="697"/>
      <c r="F150" s="698"/>
      <c r="G150" s="702">
        <v>1</v>
      </c>
      <c r="H150" s="704"/>
      <c r="I150" s="417" t="s">
        <v>4099</v>
      </c>
    </row>
    <row r="151" spans="1:9" ht="38.4" thickBot="1">
      <c r="A151" s="416">
        <v>2</v>
      </c>
      <c r="B151" s="445" t="s">
        <v>4230</v>
      </c>
      <c r="C151" s="417" t="s">
        <v>4229</v>
      </c>
      <c r="D151" s="705">
        <v>2022</v>
      </c>
      <c r="E151" s="697"/>
      <c r="F151" s="698"/>
      <c r="G151" s="702">
        <v>1</v>
      </c>
      <c r="H151" s="704"/>
      <c r="I151" s="417" t="s">
        <v>4099</v>
      </c>
    </row>
    <row r="152" spans="1:9" ht="38.4" thickBot="1">
      <c r="A152" s="416">
        <v>3</v>
      </c>
      <c r="B152" s="445" t="s">
        <v>4231</v>
      </c>
      <c r="C152" s="417" t="s">
        <v>4229</v>
      </c>
      <c r="D152" s="705">
        <v>2022</v>
      </c>
      <c r="E152" s="697"/>
      <c r="F152" s="698"/>
      <c r="G152" s="702">
        <v>1</v>
      </c>
      <c r="H152" s="704"/>
      <c r="I152" s="417" t="s">
        <v>4099</v>
      </c>
    </row>
    <row r="153" spans="1:9" ht="38.4" thickBot="1">
      <c r="A153" s="416">
        <v>4</v>
      </c>
      <c r="B153" s="445" t="s">
        <v>4232</v>
      </c>
      <c r="C153" s="417" t="s">
        <v>4229</v>
      </c>
      <c r="D153" s="705">
        <v>2022</v>
      </c>
      <c r="E153" s="697"/>
      <c r="F153" s="698"/>
      <c r="G153" s="702">
        <v>1</v>
      </c>
      <c r="H153" s="704"/>
      <c r="I153" s="417" t="s">
        <v>4099</v>
      </c>
    </row>
    <row r="154" spans="1:9" ht="38.4" thickBot="1">
      <c r="A154" s="416">
        <v>5</v>
      </c>
      <c r="B154" s="445" t="s">
        <v>4233</v>
      </c>
      <c r="C154" s="417" t="s">
        <v>4229</v>
      </c>
      <c r="D154" s="705">
        <v>2022</v>
      </c>
      <c r="E154" s="697"/>
      <c r="F154" s="698"/>
      <c r="G154" s="702">
        <v>1</v>
      </c>
      <c r="H154" s="704"/>
      <c r="I154" s="417" t="s">
        <v>4099</v>
      </c>
    </row>
    <row r="155" spans="1:9" ht="38.4" thickBot="1">
      <c r="A155" s="416">
        <v>6</v>
      </c>
      <c r="B155" s="445" t="s">
        <v>4234</v>
      </c>
      <c r="C155" s="417" t="s">
        <v>4229</v>
      </c>
      <c r="D155" s="705">
        <v>2022</v>
      </c>
      <c r="E155" s="697"/>
      <c r="F155" s="698"/>
      <c r="G155" s="702">
        <v>1</v>
      </c>
      <c r="H155" s="704"/>
      <c r="I155" s="417" t="s">
        <v>4099</v>
      </c>
    </row>
    <row r="156" spans="1:9" ht="51" thickBot="1">
      <c r="A156" s="416">
        <v>7</v>
      </c>
      <c r="B156" s="445" t="s">
        <v>4235</v>
      </c>
      <c r="C156" s="417" t="s">
        <v>4229</v>
      </c>
      <c r="D156" s="705">
        <v>2022</v>
      </c>
      <c r="E156" s="697"/>
      <c r="F156" s="698"/>
      <c r="G156" s="702">
        <v>1</v>
      </c>
      <c r="H156" s="704"/>
      <c r="I156" s="417" t="s">
        <v>4099</v>
      </c>
    </row>
    <row r="157" spans="1:9" ht="38.4" thickBot="1">
      <c r="A157" s="416">
        <v>8</v>
      </c>
      <c r="B157" s="445" t="s">
        <v>4236</v>
      </c>
      <c r="C157" s="417" t="s">
        <v>4229</v>
      </c>
      <c r="D157" s="705">
        <v>2022</v>
      </c>
      <c r="E157" s="697"/>
      <c r="F157" s="698"/>
      <c r="G157" s="702">
        <v>1</v>
      </c>
      <c r="H157" s="704"/>
      <c r="I157" s="417" t="s">
        <v>4099</v>
      </c>
    </row>
    <row r="158" spans="1:9" ht="14.4" thickBot="1">
      <c r="A158" s="754" t="s">
        <v>4089</v>
      </c>
      <c r="B158" s="755"/>
      <c r="C158" s="755"/>
      <c r="D158" s="755"/>
      <c r="E158" s="755"/>
      <c r="F158" s="755"/>
      <c r="G158" s="755"/>
      <c r="H158" s="755"/>
      <c r="I158" s="756"/>
    </row>
    <row r="159" spans="1:9" ht="14.4" thickBot="1">
      <c r="A159" s="416">
        <v>1</v>
      </c>
      <c r="B159" s="417"/>
      <c r="C159" s="705"/>
      <c r="D159" s="698"/>
      <c r="E159" s="705"/>
      <c r="F159" s="697"/>
      <c r="G159" s="698"/>
      <c r="H159" s="417"/>
      <c r="I159" s="417"/>
    </row>
    <row r="160" spans="1:9" ht="14.4" thickBot="1">
      <c r="A160" s="706" t="s">
        <v>4119</v>
      </c>
      <c r="B160" s="707"/>
      <c r="C160" s="707"/>
      <c r="D160" s="707"/>
      <c r="E160" s="707"/>
      <c r="F160" s="707"/>
      <c r="G160" s="707"/>
      <c r="H160" s="707"/>
      <c r="I160" s="708"/>
    </row>
    <row r="161" spans="1:9" ht="14.4" thickBot="1">
      <c r="A161" s="416">
        <v>1</v>
      </c>
      <c r="B161" s="417"/>
      <c r="C161" s="705"/>
      <c r="D161" s="698"/>
      <c r="E161" s="705"/>
      <c r="F161" s="697"/>
      <c r="G161" s="698"/>
      <c r="H161" s="417"/>
      <c r="I161" s="417"/>
    </row>
    <row r="162" spans="1:9" ht="14.4" thickBot="1">
      <c r="A162" s="706" t="s">
        <v>4107</v>
      </c>
      <c r="B162" s="707"/>
      <c r="C162" s="707"/>
      <c r="D162" s="707"/>
      <c r="E162" s="707"/>
      <c r="F162" s="707"/>
      <c r="G162" s="707"/>
      <c r="H162" s="707"/>
      <c r="I162" s="708"/>
    </row>
    <row r="163" spans="1:9" ht="51" thickBot="1">
      <c r="A163" s="416">
        <v>1</v>
      </c>
      <c r="B163" s="417" t="s">
        <v>4237</v>
      </c>
      <c r="C163" s="705" t="s">
        <v>4229</v>
      </c>
      <c r="D163" s="698"/>
      <c r="E163" s="705">
        <v>2022</v>
      </c>
      <c r="F163" s="697"/>
      <c r="G163" s="698"/>
      <c r="H163" s="447">
        <v>0</v>
      </c>
      <c r="I163" s="417" t="s">
        <v>4099</v>
      </c>
    </row>
    <row r="164" spans="1:9" ht="51" thickBot="1">
      <c r="A164" s="416">
        <v>2</v>
      </c>
      <c r="B164" s="417" t="s">
        <v>4237</v>
      </c>
      <c r="C164" s="705" t="s">
        <v>4229</v>
      </c>
      <c r="D164" s="698"/>
      <c r="E164" s="705">
        <v>2022</v>
      </c>
      <c r="F164" s="697"/>
      <c r="G164" s="698"/>
      <c r="H164" s="447">
        <v>0</v>
      </c>
      <c r="I164" s="417" t="s">
        <v>4099</v>
      </c>
    </row>
    <row r="165" spans="1:9" ht="38.4" thickBot="1">
      <c r="A165" s="416">
        <v>3</v>
      </c>
      <c r="B165" s="445" t="s">
        <v>4238</v>
      </c>
      <c r="C165" s="697" t="s">
        <v>4229</v>
      </c>
      <c r="D165" s="698"/>
      <c r="E165" s="705">
        <v>2022</v>
      </c>
      <c r="F165" s="697"/>
      <c r="G165" s="698"/>
      <c r="H165" s="447">
        <v>0</v>
      </c>
      <c r="I165" s="417" t="s">
        <v>4099</v>
      </c>
    </row>
    <row r="166" spans="1:9" ht="38.4" thickBot="1">
      <c r="A166" s="416">
        <v>4</v>
      </c>
      <c r="B166" s="445" t="s">
        <v>4239</v>
      </c>
      <c r="C166" s="697" t="s">
        <v>4229</v>
      </c>
      <c r="D166" s="698"/>
      <c r="E166" s="705">
        <v>2022</v>
      </c>
      <c r="F166" s="697"/>
      <c r="G166" s="698"/>
      <c r="H166" s="447">
        <v>0</v>
      </c>
      <c r="I166" s="417" t="s">
        <v>4099</v>
      </c>
    </row>
    <row r="167" spans="1:9" ht="14.4">
      <c r="A167" s="430"/>
      <c r="B167" s="431"/>
      <c r="C167" s="431"/>
      <c r="D167" s="431"/>
      <c r="E167" s="431"/>
      <c r="F167" s="431"/>
      <c r="G167" s="431"/>
      <c r="H167" s="431"/>
      <c r="I167" s="431"/>
    </row>
    <row r="168" spans="1:9">
      <c r="A168" s="434"/>
    </row>
    <row r="169" spans="1:9" ht="14.4" thickBot="1">
      <c r="A169" s="421" t="s">
        <v>4240</v>
      </c>
    </row>
    <row r="170" spans="1:9" ht="22.95" customHeight="1" thickBot="1">
      <c r="A170" s="448"/>
      <c r="B170" s="711" t="s">
        <v>4058</v>
      </c>
      <c r="C170" s="712"/>
      <c r="D170" s="712"/>
      <c r="E170" s="712"/>
      <c r="F170" s="713"/>
      <c r="G170" s="449"/>
    </row>
    <row r="171" spans="1:9" ht="25.8" thickBot="1">
      <c r="A171" s="450" t="s">
        <v>4241</v>
      </c>
      <c r="B171" s="415" t="s">
        <v>4060</v>
      </c>
      <c r="C171" s="714" t="s">
        <v>4061</v>
      </c>
      <c r="D171" s="715"/>
      <c r="E171" s="415" t="s">
        <v>4062</v>
      </c>
      <c r="F171" s="415" t="s">
        <v>4063</v>
      </c>
      <c r="G171" s="415" t="s">
        <v>4059</v>
      </c>
    </row>
    <row r="172" spans="1:9" ht="51" thickBot="1">
      <c r="A172" s="416">
        <v>1</v>
      </c>
      <c r="B172" s="417" t="s">
        <v>4242</v>
      </c>
      <c r="C172" s="705" t="s">
        <v>4229</v>
      </c>
      <c r="D172" s="698"/>
      <c r="E172" s="417">
        <v>2022</v>
      </c>
      <c r="F172" s="447">
        <v>1</v>
      </c>
      <c r="G172" s="417" t="s">
        <v>4099</v>
      </c>
    </row>
    <row r="173" spans="1:9" ht="51" thickBot="1">
      <c r="A173" s="416">
        <v>2</v>
      </c>
      <c r="B173" s="417" t="s">
        <v>4243</v>
      </c>
      <c r="C173" s="705" t="s">
        <v>4229</v>
      </c>
      <c r="D173" s="698"/>
      <c r="E173" s="417">
        <v>2022</v>
      </c>
      <c r="F173" s="447">
        <v>1</v>
      </c>
      <c r="G173" s="417" t="s">
        <v>4099</v>
      </c>
    </row>
    <row r="174" spans="1:9" ht="38.4" thickBot="1">
      <c r="A174" s="416">
        <v>3</v>
      </c>
      <c r="B174" s="445" t="s">
        <v>4244</v>
      </c>
      <c r="C174" s="697" t="s">
        <v>4229</v>
      </c>
      <c r="D174" s="698"/>
      <c r="E174" s="417">
        <v>2022</v>
      </c>
      <c r="F174" s="447">
        <v>1</v>
      </c>
      <c r="G174" s="417" t="s">
        <v>4099</v>
      </c>
    </row>
    <row r="175" spans="1:9" ht="76.2" thickBot="1">
      <c r="A175" s="416">
        <v>4</v>
      </c>
      <c r="B175" s="445" t="s">
        <v>4245</v>
      </c>
      <c r="C175" s="697" t="s">
        <v>4229</v>
      </c>
      <c r="D175" s="698"/>
      <c r="E175" s="417">
        <v>2022</v>
      </c>
      <c r="F175" s="447">
        <v>1</v>
      </c>
      <c r="G175" s="417" t="s">
        <v>4099</v>
      </c>
    </row>
    <row r="176" spans="1:9" ht="63.6" thickBot="1">
      <c r="A176" s="416">
        <v>5</v>
      </c>
      <c r="B176" s="445" t="s">
        <v>4246</v>
      </c>
      <c r="C176" s="697" t="s">
        <v>4229</v>
      </c>
      <c r="D176" s="698"/>
      <c r="E176" s="417">
        <v>2022</v>
      </c>
      <c r="F176" s="447">
        <v>1</v>
      </c>
      <c r="G176" s="417" t="s">
        <v>4099</v>
      </c>
    </row>
    <row r="177" spans="1:9" ht="22.95" customHeight="1" thickBot="1">
      <c r="A177" s="451"/>
      <c r="B177" s="754" t="s">
        <v>4089</v>
      </c>
      <c r="C177" s="755"/>
      <c r="D177" s="755"/>
      <c r="E177" s="755"/>
      <c r="F177" s="756"/>
      <c r="G177" s="452"/>
    </row>
    <row r="178" spans="1:9" ht="14.4" thickBot="1">
      <c r="A178" s="416">
        <v>1</v>
      </c>
      <c r="B178" s="417"/>
      <c r="C178" s="417"/>
      <c r="D178" s="705"/>
      <c r="E178" s="698"/>
      <c r="F178" s="417"/>
      <c r="G178" s="417"/>
    </row>
    <row r="179" spans="1:9" ht="22.95" customHeight="1" thickBot="1">
      <c r="A179" s="451"/>
      <c r="B179" s="706" t="s">
        <v>4119</v>
      </c>
      <c r="C179" s="707"/>
      <c r="D179" s="707"/>
      <c r="E179" s="707"/>
      <c r="F179" s="708"/>
      <c r="G179" s="452"/>
    </row>
    <row r="180" spans="1:9" ht="14.4" thickBot="1">
      <c r="A180" s="416">
        <v>1</v>
      </c>
      <c r="B180" s="417"/>
      <c r="C180" s="417"/>
      <c r="D180" s="705"/>
      <c r="E180" s="698"/>
      <c r="F180" s="417"/>
      <c r="G180" s="417"/>
    </row>
    <row r="181" spans="1:9" ht="22.95" customHeight="1" thickBot="1">
      <c r="A181" s="451"/>
      <c r="B181" s="706" t="s">
        <v>4107</v>
      </c>
      <c r="C181" s="707"/>
      <c r="D181" s="707"/>
      <c r="E181" s="707"/>
      <c r="F181" s="708"/>
      <c r="G181" s="452"/>
    </row>
    <row r="182" spans="1:9" ht="38.4" thickBot="1">
      <c r="A182" s="416">
        <v>1</v>
      </c>
      <c r="B182" s="445" t="s">
        <v>4247</v>
      </c>
      <c r="C182" s="417" t="s">
        <v>4229</v>
      </c>
      <c r="D182" s="705">
        <v>2022</v>
      </c>
      <c r="E182" s="698"/>
      <c r="F182" s="447">
        <v>0</v>
      </c>
      <c r="G182" s="417" t="s">
        <v>4099</v>
      </c>
    </row>
    <row r="183" spans="1:9" ht="38.4" thickBot="1">
      <c r="A183" s="416">
        <v>2</v>
      </c>
      <c r="B183" s="445" t="s">
        <v>4248</v>
      </c>
      <c r="C183" s="417" t="s">
        <v>4229</v>
      </c>
      <c r="D183" s="705">
        <v>2022</v>
      </c>
      <c r="E183" s="698"/>
      <c r="F183" s="447">
        <v>0</v>
      </c>
      <c r="G183" s="417" t="s">
        <v>4099</v>
      </c>
    </row>
    <row r="184" spans="1:9" ht="14.4">
      <c r="A184" s="430"/>
      <c r="B184" s="431"/>
      <c r="C184" s="431"/>
      <c r="D184" s="431"/>
      <c r="E184" s="431"/>
      <c r="F184" s="431"/>
      <c r="G184" s="431"/>
    </row>
    <row r="185" spans="1:9">
      <c r="A185" s="421"/>
    </row>
    <row r="186" spans="1:9" ht="14.4" thickBot="1">
      <c r="A186" s="413" t="s">
        <v>4249</v>
      </c>
    </row>
    <row r="187" spans="1:9" ht="14.4" thickBot="1">
      <c r="A187" s="448"/>
      <c r="B187" s="711" t="s">
        <v>4058</v>
      </c>
      <c r="C187" s="712"/>
      <c r="D187" s="712"/>
      <c r="E187" s="712"/>
      <c r="F187" s="712"/>
      <c r="G187" s="712"/>
      <c r="H187" s="712"/>
      <c r="I187" s="713"/>
    </row>
    <row r="188" spans="1:9" ht="14.4" thickBot="1">
      <c r="A188" s="414" t="s">
        <v>4095</v>
      </c>
      <c r="B188" s="415" t="s">
        <v>4060</v>
      </c>
      <c r="C188" s="714" t="s">
        <v>4061</v>
      </c>
      <c r="D188" s="715"/>
      <c r="E188" s="714" t="s">
        <v>4062</v>
      </c>
      <c r="F188" s="715"/>
      <c r="G188" s="714" t="s">
        <v>4063</v>
      </c>
      <c r="H188" s="715"/>
      <c r="I188" s="415" t="s">
        <v>4059</v>
      </c>
    </row>
    <row r="189" spans="1:9" ht="37.799999999999997">
      <c r="A189" s="741">
        <v>1</v>
      </c>
      <c r="B189" s="453" t="s">
        <v>4250</v>
      </c>
      <c r="C189" s="733" t="s">
        <v>4229</v>
      </c>
      <c r="D189" s="734"/>
      <c r="E189" s="733">
        <v>2022</v>
      </c>
      <c r="F189" s="734"/>
      <c r="G189" s="746">
        <v>1</v>
      </c>
      <c r="H189" s="747"/>
      <c r="I189" s="720" t="s">
        <v>4099</v>
      </c>
    </row>
    <row r="190" spans="1:9" ht="37.799999999999997">
      <c r="A190" s="742"/>
      <c r="B190" s="453" t="s">
        <v>4251</v>
      </c>
      <c r="C190" s="744"/>
      <c r="D190" s="745"/>
      <c r="E190" s="744"/>
      <c r="F190" s="745"/>
      <c r="G190" s="748"/>
      <c r="H190" s="749"/>
      <c r="I190" s="721"/>
    </row>
    <row r="191" spans="1:9" ht="63">
      <c r="A191" s="742"/>
      <c r="B191" s="453" t="s">
        <v>4252</v>
      </c>
      <c r="C191" s="744"/>
      <c r="D191" s="745"/>
      <c r="E191" s="744"/>
      <c r="F191" s="745"/>
      <c r="G191" s="748"/>
      <c r="H191" s="749"/>
      <c r="I191" s="721"/>
    </row>
    <row r="192" spans="1:9" ht="50.4">
      <c r="A192" s="742"/>
      <c r="B192" s="453" t="s">
        <v>4253</v>
      </c>
      <c r="C192" s="744"/>
      <c r="D192" s="745"/>
      <c r="E192" s="744"/>
      <c r="F192" s="745"/>
      <c r="G192" s="748"/>
      <c r="H192" s="749"/>
      <c r="I192" s="721"/>
    </row>
    <row r="193" spans="1:9" ht="14.4" thickBot="1">
      <c r="A193" s="743"/>
      <c r="B193" s="455" t="s">
        <v>4254</v>
      </c>
      <c r="C193" s="735"/>
      <c r="D193" s="736"/>
      <c r="E193" s="735"/>
      <c r="F193" s="736"/>
      <c r="G193" s="750"/>
      <c r="H193" s="751"/>
      <c r="I193" s="722"/>
    </row>
    <row r="194" spans="1:9" ht="58.2" customHeight="1">
      <c r="A194" s="723">
        <v>2</v>
      </c>
      <c r="B194" s="752" t="s">
        <v>4255</v>
      </c>
      <c r="C194" s="733" t="s">
        <v>4229</v>
      </c>
      <c r="D194" s="734"/>
      <c r="E194" s="733">
        <v>2022</v>
      </c>
      <c r="F194" s="734"/>
      <c r="G194" s="746">
        <v>1</v>
      </c>
      <c r="H194" s="747"/>
      <c r="I194" s="720" t="s">
        <v>4099</v>
      </c>
    </row>
    <row r="195" spans="1:9" ht="14.4" thickBot="1">
      <c r="A195" s="724"/>
      <c r="B195" s="753"/>
      <c r="C195" s="735"/>
      <c r="D195" s="736"/>
      <c r="E195" s="735"/>
      <c r="F195" s="736"/>
      <c r="G195" s="750"/>
      <c r="H195" s="751"/>
      <c r="I195" s="722"/>
    </row>
    <row r="196" spans="1:9" ht="38.4" thickBot="1">
      <c r="A196" s="416">
        <v>3</v>
      </c>
      <c r="B196" s="455" t="s">
        <v>4256</v>
      </c>
      <c r="C196" s="705" t="s">
        <v>4229</v>
      </c>
      <c r="D196" s="698"/>
      <c r="E196" s="705">
        <v>2022</v>
      </c>
      <c r="F196" s="698"/>
      <c r="G196" s="702">
        <v>1</v>
      </c>
      <c r="H196" s="704"/>
      <c r="I196" s="417" t="s">
        <v>4099</v>
      </c>
    </row>
    <row r="197" spans="1:9" ht="38.4" thickBot="1">
      <c r="A197" s="416">
        <v>4</v>
      </c>
      <c r="B197" s="455" t="s">
        <v>4257</v>
      </c>
      <c r="C197" s="705" t="s">
        <v>4229</v>
      </c>
      <c r="D197" s="698"/>
      <c r="E197" s="705">
        <v>2022</v>
      </c>
      <c r="F197" s="698"/>
      <c r="G197" s="702">
        <v>1</v>
      </c>
      <c r="H197" s="704"/>
      <c r="I197" s="417" t="s">
        <v>4099</v>
      </c>
    </row>
    <row r="198" spans="1:9" ht="14.4" thickBot="1">
      <c r="A198" s="706" t="s">
        <v>4089</v>
      </c>
      <c r="B198" s="707"/>
      <c r="C198" s="707"/>
      <c r="D198" s="707"/>
      <c r="E198" s="707"/>
      <c r="F198" s="707"/>
      <c r="G198" s="707"/>
      <c r="H198" s="707"/>
      <c r="I198" s="708"/>
    </row>
    <row r="199" spans="1:9" ht="38.4" thickBot="1">
      <c r="A199" s="416">
        <v>1</v>
      </c>
      <c r="B199" s="455" t="s">
        <v>4258</v>
      </c>
      <c r="C199" s="705" t="s">
        <v>4229</v>
      </c>
      <c r="D199" s="697"/>
      <c r="E199" s="698"/>
      <c r="F199" s="705">
        <v>2022</v>
      </c>
      <c r="G199" s="698"/>
      <c r="H199" s="447">
        <v>0.9</v>
      </c>
      <c r="I199" s="417" t="s">
        <v>4099</v>
      </c>
    </row>
    <row r="200" spans="1:9" ht="38.4" thickBot="1">
      <c r="A200" s="416">
        <v>2</v>
      </c>
      <c r="B200" s="417" t="s">
        <v>4259</v>
      </c>
      <c r="C200" s="705" t="s">
        <v>4229</v>
      </c>
      <c r="D200" s="697"/>
      <c r="E200" s="698"/>
      <c r="F200" s="705">
        <v>2022</v>
      </c>
      <c r="G200" s="698"/>
      <c r="H200" s="447">
        <v>0.85</v>
      </c>
      <c r="I200" s="417" t="s">
        <v>4099</v>
      </c>
    </row>
    <row r="201" spans="1:9" ht="38.4" thickBot="1">
      <c r="A201" s="416">
        <v>3</v>
      </c>
      <c r="B201" s="417" t="s">
        <v>4260</v>
      </c>
      <c r="C201" s="705">
        <v>241680</v>
      </c>
      <c r="D201" s="697"/>
      <c r="E201" s="698"/>
      <c r="F201" s="705">
        <v>2021</v>
      </c>
      <c r="G201" s="698"/>
      <c r="H201" s="447">
        <v>0.7</v>
      </c>
      <c r="I201" s="417" t="s">
        <v>4099</v>
      </c>
    </row>
    <row r="202" spans="1:9" ht="14.4" thickBot="1">
      <c r="A202" s="706" t="s">
        <v>4106</v>
      </c>
      <c r="B202" s="707"/>
      <c r="C202" s="707"/>
      <c r="D202" s="707"/>
      <c r="E202" s="707"/>
      <c r="F202" s="707"/>
      <c r="G202" s="707"/>
      <c r="H202" s="707"/>
      <c r="I202" s="708"/>
    </row>
    <row r="203" spans="1:9" ht="14.4" thickBot="1">
      <c r="A203" s="416">
        <v>1</v>
      </c>
      <c r="B203" s="417"/>
      <c r="C203" s="705"/>
      <c r="D203" s="697"/>
      <c r="E203" s="698"/>
      <c r="F203" s="705"/>
      <c r="G203" s="698"/>
      <c r="H203" s="417"/>
      <c r="I203" s="417"/>
    </row>
    <row r="204" spans="1:9" ht="14.4" thickBot="1">
      <c r="A204" s="706" t="s">
        <v>4107</v>
      </c>
      <c r="B204" s="707"/>
      <c r="C204" s="707"/>
      <c r="D204" s="707"/>
      <c r="E204" s="707"/>
      <c r="F204" s="707"/>
      <c r="G204" s="707"/>
      <c r="H204" s="707"/>
      <c r="I204" s="708"/>
    </row>
    <row r="205" spans="1:9" ht="76.95" customHeight="1">
      <c r="A205" s="723">
        <v>1</v>
      </c>
      <c r="B205" s="731" t="s">
        <v>4261</v>
      </c>
      <c r="C205" s="732"/>
      <c r="D205" s="733" t="s">
        <v>4229</v>
      </c>
      <c r="E205" s="734"/>
      <c r="F205" s="733">
        <v>2022</v>
      </c>
      <c r="G205" s="734"/>
      <c r="H205" s="737">
        <v>0</v>
      </c>
      <c r="I205" s="720" t="s">
        <v>4099</v>
      </c>
    </row>
    <row r="206" spans="1:9" ht="22.95" customHeight="1" thickBot="1">
      <c r="A206" s="724"/>
      <c r="B206" s="739" t="s">
        <v>4262</v>
      </c>
      <c r="C206" s="740"/>
      <c r="D206" s="735"/>
      <c r="E206" s="736"/>
      <c r="F206" s="735"/>
      <c r="G206" s="736"/>
      <c r="H206" s="738"/>
      <c r="I206" s="722"/>
    </row>
    <row r="207" spans="1:9" ht="38.4" thickBot="1">
      <c r="A207" s="416">
        <v>2</v>
      </c>
      <c r="B207" s="705" t="s">
        <v>4263</v>
      </c>
      <c r="C207" s="698"/>
      <c r="D207" s="705" t="s">
        <v>4229</v>
      </c>
      <c r="E207" s="698"/>
      <c r="F207" s="705">
        <v>2022</v>
      </c>
      <c r="G207" s="698"/>
      <c r="H207" s="447">
        <v>0</v>
      </c>
      <c r="I207" s="417" t="s">
        <v>4099</v>
      </c>
    </row>
    <row r="208" spans="1:9" ht="22.95" customHeight="1">
      <c r="A208" s="723">
        <v>3</v>
      </c>
      <c r="B208" s="733" t="s">
        <v>4264</v>
      </c>
      <c r="C208" s="734"/>
      <c r="D208" s="733" t="s">
        <v>4229</v>
      </c>
      <c r="E208" s="734"/>
      <c r="F208" s="733">
        <v>2022</v>
      </c>
      <c r="G208" s="734"/>
      <c r="H208" s="737">
        <v>0</v>
      </c>
      <c r="I208" s="720" t="s">
        <v>4099</v>
      </c>
    </row>
    <row r="209" spans="1:9" ht="40.950000000000003" customHeight="1" thickBot="1">
      <c r="A209" s="724"/>
      <c r="B209" s="735" t="s">
        <v>4265</v>
      </c>
      <c r="C209" s="736"/>
      <c r="D209" s="735"/>
      <c r="E209" s="736"/>
      <c r="F209" s="735"/>
      <c r="G209" s="736"/>
      <c r="H209" s="738"/>
      <c r="I209" s="722"/>
    </row>
    <row r="210" spans="1:9" ht="22.95" customHeight="1">
      <c r="A210" s="723">
        <v>4</v>
      </c>
      <c r="B210" s="731" t="s">
        <v>4266</v>
      </c>
      <c r="C210" s="732"/>
      <c r="D210" s="733" t="s">
        <v>4229</v>
      </c>
      <c r="E210" s="734"/>
      <c r="F210" s="733">
        <v>2022</v>
      </c>
      <c r="G210" s="734"/>
      <c r="H210" s="737">
        <v>0</v>
      </c>
      <c r="I210" s="720" t="s">
        <v>4099</v>
      </c>
    </row>
    <row r="211" spans="1:9" ht="31.95" customHeight="1" thickBot="1">
      <c r="A211" s="724"/>
      <c r="B211" s="739" t="s">
        <v>4267</v>
      </c>
      <c r="C211" s="740"/>
      <c r="D211" s="735"/>
      <c r="E211" s="736"/>
      <c r="F211" s="735"/>
      <c r="G211" s="736"/>
      <c r="H211" s="738"/>
      <c r="I211" s="722"/>
    </row>
    <row r="212" spans="1:9" ht="58.5" customHeight="1" thickBot="1">
      <c r="A212" s="416">
        <v>5</v>
      </c>
      <c r="B212" s="729" t="s">
        <v>4268</v>
      </c>
      <c r="C212" s="730"/>
      <c r="D212" s="705" t="s">
        <v>4269</v>
      </c>
      <c r="E212" s="698"/>
      <c r="F212" s="705">
        <v>22022</v>
      </c>
      <c r="G212" s="698"/>
      <c r="H212" s="447">
        <v>0</v>
      </c>
      <c r="I212" s="417" t="s">
        <v>4099</v>
      </c>
    </row>
    <row r="213" spans="1:9" ht="49.95" customHeight="1" thickBot="1">
      <c r="A213" s="416">
        <v>6</v>
      </c>
      <c r="B213" s="729" t="s">
        <v>4270</v>
      </c>
      <c r="C213" s="730"/>
      <c r="D213" s="705">
        <v>118224</v>
      </c>
      <c r="E213" s="698"/>
      <c r="F213" s="705" t="s">
        <v>4271</v>
      </c>
      <c r="G213" s="698"/>
      <c r="H213" s="447">
        <v>0</v>
      </c>
      <c r="I213" s="417" t="s">
        <v>4099</v>
      </c>
    </row>
    <row r="214" spans="1:9" ht="38.4" thickBot="1">
      <c r="A214" s="416">
        <v>7</v>
      </c>
      <c r="B214" s="729" t="s">
        <v>4272</v>
      </c>
      <c r="C214" s="730"/>
      <c r="D214" s="705" t="s">
        <v>4273</v>
      </c>
      <c r="E214" s="698"/>
      <c r="F214" s="705">
        <v>2022</v>
      </c>
      <c r="G214" s="698"/>
      <c r="H214" s="447">
        <v>0</v>
      </c>
      <c r="I214" s="417" t="s">
        <v>4099</v>
      </c>
    </row>
    <row r="215" spans="1:9" ht="38.4" thickBot="1">
      <c r="A215" s="416">
        <v>8</v>
      </c>
      <c r="B215" s="729" t="s">
        <v>4274</v>
      </c>
      <c r="C215" s="730"/>
      <c r="D215" s="705" t="s">
        <v>4275</v>
      </c>
      <c r="E215" s="698"/>
      <c r="F215" s="705">
        <v>2022</v>
      </c>
      <c r="G215" s="698"/>
      <c r="H215" s="447">
        <v>0</v>
      </c>
      <c r="I215" s="417" t="s">
        <v>4099</v>
      </c>
    </row>
    <row r="216" spans="1:9" ht="38.4" thickBot="1">
      <c r="A216" s="416">
        <v>9</v>
      </c>
      <c r="B216" s="729" t="s">
        <v>4276</v>
      </c>
      <c r="C216" s="730"/>
      <c r="D216" s="705" t="s">
        <v>4277</v>
      </c>
      <c r="E216" s="698"/>
      <c r="F216" s="705">
        <v>2022</v>
      </c>
      <c r="G216" s="698"/>
      <c r="H216" s="447">
        <v>0</v>
      </c>
      <c r="I216" s="417" t="s">
        <v>4099</v>
      </c>
    </row>
    <row r="217" spans="1:9" ht="67.5" customHeight="1" thickBot="1">
      <c r="A217" s="416">
        <v>10</v>
      </c>
      <c r="B217" s="729" t="s">
        <v>4278</v>
      </c>
      <c r="C217" s="730"/>
      <c r="D217" s="705" t="s">
        <v>4279</v>
      </c>
      <c r="E217" s="698"/>
      <c r="F217" s="705">
        <v>2022</v>
      </c>
      <c r="G217" s="698"/>
      <c r="H217" s="447">
        <v>0</v>
      </c>
      <c r="I217" s="417" t="s">
        <v>4099</v>
      </c>
    </row>
    <row r="218" spans="1:9" ht="49.5" customHeight="1" thickBot="1">
      <c r="A218" s="416">
        <v>11</v>
      </c>
      <c r="B218" s="729" t="s">
        <v>4280</v>
      </c>
      <c r="C218" s="730"/>
      <c r="D218" s="705" t="s">
        <v>4281</v>
      </c>
      <c r="E218" s="698"/>
      <c r="F218" s="705">
        <v>2021</v>
      </c>
      <c r="G218" s="698"/>
      <c r="H218" s="447">
        <v>0</v>
      </c>
      <c r="I218" s="417" t="s">
        <v>4099</v>
      </c>
    </row>
    <row r="219" spans="1:9" ht="38.4" thickBot="1">
      <c r="A219" s="416">
        <v>12</v>
      </c>
      <c r="B219" s="729" t="s">
        <v>4282</v>
      </c>
      <c r="C219" s="730"/>
      <c r="D219" s="705">
        <v>46800</v>
      </c>
      <c r="E219" s="698"/>
      <c r="F219" s="705">
        <v>2022</v>
      </c>
      <c r="G219" s="698"/>
      <c r="H219" s="447">
        <v>0</v>
      </c>
      <c r="I219" s="417" t="s">
        <v>4099</v>
      </c>
    </row>
    <row r="220" spans="1:9" ht="14.4">
      <c r="A220" s="430"/>
      <c r="B220" s="431"/>
      <c r="C220" s="431"/>
      <c r="D220" s="431"/>
      <c r="E220" s="431"/>
      <c r="F220" s="431"/>
      <c r="G220" s="431"/>
      <c r="H220" s="431"/>
      <c r="I220" s="431"/>
    </row>
    <row r="221" spans="1:9">
      <c r="A221" s="434"/>
    </row>
    <row r="222" spans="1:9" ht="14.4" thickBot="1">
      <c r="A222" s="413" t="s">
        <v>4283</v>
      </c>
    </row>
    <row r="223" spans="1:9" ht="14.4" thickBot="1">
      <c r="A223" s="448"/>
      <c r="B223" s="711" t="s">
        <v>4058</v>
      </c>
      <c r="C223" s="712"/>
      <c r="D223" s="712"/>
      <c r="E223" s="712"/>
      <c r="F223" s="712"/>
      <c r="G223" s="713"/>
    </row>
    <row r="224" spans="1:9" ht="25.8" thickBot="1">
      <c r="A224" s="450" t="s">
        <v>4284</v>
      </c>
      <c r="B224" s="415" t="s">
        <v>4060</v>
      </c>
      <c r="C224" s="415" t="s">
        <v>4061</v>
      </c>
      <c r="D224" s="714" t="s">
        <v>4062</v>
      </c>
      <c r="E224" s="715"/>
      <c r="F224" s="415" t="s">
        <v>4063</v>
      </c>
      <c r="G224" s="415" t="s">
        <v>4059</v>
      </c>
    </row>
    <row r="225" spans="1:7" ht="14.4" thickBot="1">
      <c r="A225" s="416">
        <v>1</v>
      </c>
      <c r="B225" s="417"/>
      <c r="C225" s="417"/>
      <c r="D225" s="705"/>
      <c r="E225" s="698"/>
      <c r="F225" s="417"/>
      <c r="G225" s="417"/>
    </row>
    <row r="226" spans="1:7" ht="22.95" customHeight="1" thickBot="1">
      <c r="A226" s="451"/>
      <c r="B226" s="706" t="s">
        <v>4089</v>
      </c>
      <c r="C226" s="707"/>
      <c r="D226" s="707"/>
      <c r="E226" s="707"/>
      <c r="F226" s="707"/>
      <c r="G226" s="708"/>
    </row>
    <row r="227" spans="1:7" ht="14.4" thickBot="1">
      <c r="A227" s="416">
        <v>1</v>
      </c>
      <c r="B227" s="417"/>
      <c r="C227" s="417"/>
      <c r="D227" s="705"/>
      <c r="E227" s="698"/>
      <c r="F227" s="417"/>
      <c r="G227" s="417"/>
    </row>
    <row r="228" spans="1:7" ht="14.4" thickBot="1">
      <c r="A228" s="706" t="s">
        <v>4119</v>
      </c>
      <c r="B228" s="707"/>
      <c r="C228" s="707"/>
      <c r="D228" s="707"/>
      <c r="E228" s="707"/>
      <c r="F228" s="707"/>
      <c r="G228" s="708"/>
    </row>
    <row r="229" spans="1:7" ht="14.4" thickBot="1">
      <c r="A229" s="416">
        <v>1</v>
      </c>
      <c r="B229" s="417"/>
      <c r="C229" s="417"/>
      <c r="D229" s="705"/>
      <c r="E229" s="698"/>
      <c r="F229" s="417"/>
      <c r="G229" s="417"/>
    </row>
    <row r="230" spans="1:7" ht="22.95" customHeight="1" thickBot="1">
      <c r="A230" s="451"/>
      <c r="B230" s="706" t="s">
        <v>4091</v>
      </c>
      <c r="C230" s="707"/>
      <c r="D230" s="707"/>
      <c r="E230" s="707"/>
      <c r="F230" s="707"/>
      <c r="G230" s="708"/>
    </row>
    <row r="231" spans="1:7" ht="88.8" thickBot="1">
      <c r="A231" s="416">
        <v>1</v>
      </c>
      <c r="B231" s="417" t="s">
        <v>4285</v>
      </c>
      <c r="C231" s="705">
        <v>160000</v>
      </c>
      <c r="D231" s="698"/>
      <c r="E231" s="417">
        <v>2022</v>
      </c>
      <c r="F231" s="417" t="s">
        <v>4286</v>
      </c>
      <c r="G231" s="417" t="s">
        <v>4287</v>
      </c>
    </row>
    <row r="232" spans="1:7" ht="25.8" thickBot="1">
      <c r="A232" s="416">
        <v>2</v>
      </c>
      <c r="B232" s="417" t="s">
        <v>4288</v>
      </c>
      <c r="C232" s="705">
        <v>700000</v>
      </c>
      <c r="D232" s="698"/>
      <c r="E232" s="417">
        <v>2022</v>
      </c>
      <c r="F232" s="420"/>
      <c r="G232" s="420"/>
    </row>
    <row r="233" spans="1:7" ht="25.8" thickBot="1">
      <c r="A233" s="416">
        <v>3</v>
      </c>
      <c r="B233" s="417" t="s">
        <v>4289</v>
      </c>
      <c r="C233" s="705">
        <v>500000</v>
      </c>
      <c r="D233" s="698"/>
      <c r="E233" s="417">
        <v>2022</v>
      </c>
      <c r="F233" s="420"/>
      <c r="G233" s="420"/>
    </row>
    <row r="234" spans="1:7" ht="38.4" thickBot="1">
      <c r="A234" s="416">
        <v>4</v>
      </c>
      <c r="B234" s="417" t="s">
        <v>4290</v>
      </c>
      <c r="C234" s="705">
        <v>200000</v>
      </c>
      <c r="D234" s="698"/>
      <c r="E234" s="417">
        <v>2022</v>
      </c>
      <c r="F234" s="420"/>
      <c r="G234" s="420"/>
    </row>
    <row r="235" spans="1:7" ht="25.8" thickBot="1">
      <c r="A235" s="416">
        <v>5</v>
      </c>
      <c r="B235" s="417" t="s">
        <v>4291</v>
      </c>
      <c r="C235" s="705">
        <v>200000</v>
      </c>
      <c r="D235" s="698"/>
      <c r="E235" s="417">
        <v>2022</v>
      </c>
      <c r="F235" s="420"/>
      <c r="G235" s="420"/>
    </row>
    <row r="236" spans="1:7" ht="25.8" thickBot="1">
      <c r="A236" s="416">
        <v>6</v>
      </c>
      <c r="B236" s="417" t="s">
        <v>4292</v>
      </c>
      <c r="C236" s="705">
        <v>100000</v>
      </c>
      <c r="D236" s="698"/>
      <c r="E236" s="417">
        <v>2022</v>
      </c>
      <c r="F236" s="420"/>
      <c r="G236" s="420"/>
    </row>
    <row r="237" spans="1:7" ht="25.8" thickBot="1">
      <c r="A237" s="416">
        <v>7</v>
      </c>
      <c r="B237" s="417" t="s">
        <v>4293</v>
      </c>
      <c r="C237" s="705">
        <v>300000</v>
      </c>
      <c r="D237" s="698"/>
      <c r="E237" s="417">
        <v>2023</v>
      </c>
      <c r="F237" s="420"/>
      <c r="G237" s="420"/>
    </row>
    <row r="238" spans="1:7" ht="14.4">
      <c r="A238" s="430"/>
      <c r="B238" s="431"/>
      <c r="C238" s="431"/>
      <c r="D238" s="431"/>
      <c r="E238" s="431"/>
      <c r="F238" s="431"/>
      <c r="G238" s="431"/>
    </row>
    <row r="239" spans="1:7" ht="14.4" thickBot="1">
      <c r="A239" s="413" t="s">
        <v>4294</v>
      </c>
    </row>
    <row r="240" spans="1:7" ht="14.4" thickBot="1">
      <c r="A240" s="448"/>
      <c r="B240" s="711" t="s">
        <v>4058</v>
      </c>
      <c r="C240" s="712"/>
      <c r="D240" s="712"/>
      <c r="E240" s="712"/>
      <c r="F240" s="712"/>
      <c r="G240" s="713"/>
    </row>
    <row r="241" spans="1:7" ht="25.8" thickBot="1">
      <c r="A241" s="414" t="s">
        <v>4095</v>
      </c>
      <c r="B241" s="415" t="s">
        <v>4060</v>
      </c>
      <c r="C241" s="415" t="s">
        <v>4061</v>
      </c>
      <c r="D241" s="714" t="s">
        <v>4062</v>
      </c>
      <c r="E241" s="715"/>
      <c r="F241" s="415" t="s">
        <v>4063</v>
      </c>
      <c r="G241" s="415" t="s">
        <v>4059</v>
      </c>
    </row>
    <row r="242" spans="1:7" ht="14.4" thickBot="1">
      <c r="A242" s="416">
        <v>1</v>
      </c>
      <c r="B242" s="417"/>
      <c r="C242" s="417"/>
      <c r="D242" s="705"/>
      <c r="E242" s="698"/>
      <c r="F242" s="417"/>
      <c r="G242" s="417"/>
    </row>
    <row r="243" spans="1:7" ht="14.4" thickBot="1">
      <c r="A243" s="714" t="s">
        <v>4089</v>
      </c>
      <c r="B243" s="716"/>
      <c r="C243" s="716"/>
      <c r="D243" s="716"/>
      <c r="E243" s="716"/>
      <c r="F243" s="716"/>
      <c r="G243" s="715"/>
    </row>
    <row r="244" spans="1:7" ht="14.4" thickBot="1">
      <c r="A244" s="416">
        <v>1</v>
      </c>
      <c r="B244" s="417"/>
      <c r="C244" s="417"/>
      <c r="D244" s="705"/>
      <c r="E244" s="698"/>
      <c r="F244" s="417"/>
      <c r="G244" s="417"/>
    </row>
    <row r="245" spans="1:7" ht="22.95" customHeight="1" thickBot="1">
      <c r="A245" s="706" t="s">
        <v>4295</v>
      </c>
      <c r="B245" s="707"/>
      <c r="C245" s="707"/>
      <c r="D245" s="707"/>
      <c r="E245" s="707"/>
      <c r="F245" s="707"/>
      <c r="G245" s="708"/>
    </row>
    <row r="246" spans="1:7" ht="14.4" thickBot="1">
      <c r="A246" s="416">
        <v>1</v>
      </c>
      <c r="B246" s="417"/>
      <c r="C246" s="417"/>
      <c r="D246" s="705"/>
      <c r="E246" s="698"/>
      <c r="F246" s="417"/>
      <c r="G246" s="417"/>
    </row>
    <row r="247" spans="1:7" ht="22.95" customHeight="1" thickBot="1">
      <c r="A247" s="451"/>
      <c r="B247" s="706" t="s">
        <v>4091</v>
      </c>
      <c r="C247" s="707"/>
      <c r="D247" s="707"/>
      <c r="E247" s="707"/>
      <c r="F247" s="707"/>
      <c r="G247" s="708"/>
    </row>
    <row r="248" spans="1:7" ht="51" thickBot="1">
      <c r="A248" s="416">
        <v>1</v>
      </c>
      <c r="B248" s="417" t="s">
        <v>4296</v>
      </c>
      <c r="C248" s="725" t="s">
        <v>4297</v>
      </c>
      <c r="D248" s="726"/>
      <c r="E248" s="417">
        <v>2021</v>
      </c>
      <c r="F248" s="420"/>
      <c r="G248" s="417" t="s">
        <v>4099</v>
      </c>
    </row>
    <row r="249" spans="1:7" ht="38.4" thickBot="1">
      <c r="A249" s="416">
        <v>2</v>
      </c>
      <c r="B249" s="417" t="s">
        <v>4298</v>
      </c>
      <c r="C249" s="705">
        <v>24170</v>
      </c>
      <c r="D249" s="698"/>
      <c r="E249" s="417" t="s">
        <v>4299</v>
      </c>
      <c r="F249" s="417"/>
      <c r="G249" s="417" t="s">
        <v>4099</v>
      </c>
    </row>
    <row r="250" spans="1:7" ht="51" thickBot="1">
      <c r="A250" s="416">
        <v>3</v>
      </c>
      <c r="B250" s="417" t="s">
        <v>4300</v>
      </c>
      <c r="C250" s="705">
        <v>145728</v>
      </c>
      <c r="D250" s="698"/>
      <c r="E250" s="417" t="s">
        <v>4301</v>
      </c>
      <c r="F250" s="420"/>
      <c r="G250" s="417" t="s">
        <v>4099</v>
      </c>
    </row>
    <row r="251" spans="1:7" ht="38.4" thickBot="1">
      <c r="A251" s="416">
        <v>4</v>
      </c>
      <c r="B251" s="417" t="s">
        <v>4302</v>
      </c>
      <c r="C251" s="705">
        <v>20000</v>
      </c>
      <c r="D251" s="698"/>
      <c r="E251" s="417" t="s">
        <v>4303</v>
      </c>
      <c r="F251" s="420"/>
      <c r="G251" s="417" t="s">
        <v>4099</v>
      </c>
    </row>
    <row r="252" spans="1:7" ht="38.4" thickBot="1">
      <c r="A252" s="416">
        <v>5</v>
      </c>
      <c r="B252" s="417" t="s">
        <v>4304</v>
      </c>
      <c r="C252" s="705">
        <v>90000</v>
      </c>
      <c r="D252" s="698"/>
      <c r="E252" s="417" t="s">
        <v>4305</v>
      </c>
      <c r="F252" s="420"/>
      <c r="G252" s="417" t="s">
        <v>4099</v>
      </c>
    </row>
    <row r="253" spans="1:7" ht="38.4" thickBot="1">
      <c r="A253" s="416">
        <v>6</v>
      </c>
      <c r="B253" s="417" t="s">
        <v>4306</v>
      </c>
      <c r="C253" s="705">
        <v>80000</v>
      </c>
      <c r="D253" s="698"/>
      <c r="E253" s="417" t="s">
        <v>4307</v>
      </c>
      <c r="F253" s="420"/>
      <c r="G253" s="417" t="s">
        <v>4099</v>
      </c>
    </row>
    <row r="254" spans="1:7" ht="38.4" thickBot="1">
      <c r="A254" s="416">
        <v>7</v>
      </c>
      <c r="B254" s="417" t="s">
        <v>4308</v>
      </c>
      <c r="C254" s="705">
        <v>17127</v>
      </c>
      <c r="D254" s="698"/>
      <c r="E254" s="417" t="s">
        <v>4301</v>
      </c>
      <c r="F254" s="420"/>
      <c r="G254" s="417" t="s">
        <v>4099</v>
      </c>
    </row>
    <row r="255" spans="1:7" ht="38.4" thickBot="1">
      <c r="A255" s="416">
        <v>8</v>
      </c>
      <c r="B255" s="417" t="s">
        <v>4309</v>
      </c>
      <c r="C255" s="705">
        <v>17127</v>
      </c>
      <c r="D255" s="698"/>
      <c r="E255" s="417" t="s">
        <v>4301</v>
      </c>
      <c r="F255" s="420"/>
      <c r="G255" s="417" t="s">
        <v>4099</v>
      </c>
    </row>
    <row r="256" spans="1:7" ht="38.4" thickBot="1">
      <c r="A256" s="416">
        <v>9</v>
      </c>
      <c r="B256" s="417" t="s">
        <v>4310</v>
      </c>
      <c r="C256" s="705">
        <v>34254</v>
      </c>
      <c r="D256" s="698"/>
      <c r="E256" s="417" t="s">
        <v>4301</v>
      </c>
      <c r="F256" s="457"/>
      <c r="G256" s="417" t="s">
        <v>4099</v>
      </c>
    </row>
    <row r="257" spans="1:9" ht="38.4" thickBot="1">
      <c r="A257" s="416">
        <v>10</v>
      </c>
      <c r="B257" s="417" t="s">
        <v>4311</v>
      </c>
      <c r="C257" s="705">
        <v>17127</v>
      </c>
      <c r="D257" s="698"/>
      <c r="E257" s="417" t="s">
        <v>4301</v>
      </c>
      <c r="F257" s="420"/>
      <c r="G257" s="417" t="s">
        <v>4099</v>
      </c>
    </row>
    <row r="258" spans="1:9" ht="14.4">
      <c r="A258" s="430"/>
      <c r="B258" s="431"/>
      <c r="C258" s="431"/>
      <c r="D258" s="431"/>
      <c r="E258" s="431"/>
      <c r="F258" s="431"/>
      <c r="G258" s="431"/>
    </row>
    <row r="259" spans="1:9">
      <c r="A259" s="421"/>
    </row>
    <row r="260" spans="1:9" ht="14.4" thickBot="1">
      <c r="A260" s="413" t="s">
        <v>4312</v>
      </c>
    </row>
    <row r="261" spans="1:9" ht="14.4" thickBot="1">
      <c r="A261" s="711" t="s">
        <v>4058</v>
      </c>
      <c r="B261" s="712"/>
      <c r="C261" s="712"/>
      <c r="D261" s="712"/>
      <c r="E261" s="712"/>
      <c r="F261" s="712"/>
      <c r="G261" s="712"/>
      <c r="H261" s="712"/>
      <c r="I261" s="713"/>
    </row>
    <row r="262" spans="1:9" ht="14.4" thickBot="1">
      <c r="A262" s="414" t="s">
        <v>4095</v>
      </c>
      <c r="B262" s="415" t="s">
        <v>4060</v>
      </c>
      <c r="C262" s="714" t="s">
        <v>4061</v>
      </c>
      <c r="D262" s="715"/>
      <c r="E262" s="714" t="s">
        <v>4062</v>
      </c>
      <c r="F262" s="715"/>
      <c r="G262" s="714" t="s">
        <v>4063</v>
      </c>
      <c r="H262" s="715"/>
      <c r="I262" s="458"/>
    </row>
    <row r="263" spans="1:9" ht="14.4" thickBot="1">
      <c r="A263" s="416">
        <v>1</v>
      </c>
      <c r="B263" s="417"/>
      <c r="C263" s="705"/>
      <c r="D263" s="698"/>
      <c r="E263" s="705"/>
      <c r="F263" s="698"/>
      <c r="G263" s="705"/>
      <c r="H263" s="698"/>
      <c r="I263" s="417"/>
    </row>
    <row r="264" spans="1:9" ht="14.4" thickBot="1">
      <c r="A264" s="706" t="s">
        <v>4089</v>
      </c>
      <c r="B264" s="707"/>
      <c r="C264" s="707"/>
      <c r="D264" s="707"/>
      <c r="E264" s="707"/>
      <c r="F264" s="707"/>
      <c r="G264" s="707"/>
      <c r="H264" s="707"/>
      <c r="I264" s="708"/>
    </row>
    <row r="265" spans="1:9" ht="14.4" thickBot="1">
      <c r="A265" s="416">
        <v>1</v>
      </c>
      <c r="B265" s="417"/>
      <c r="C265" s="705"/>
      <c r="D265" s="698"/>
      <c r="E265" s="705"/>
      <c r="F265" s="698"/>
      <c r="G265" s="705"/>
      <c r="H265" s="698"/>
      <c r="I265" s="417"/>
    </row>
    <row r="266" spans="1:9" ht="14.4" thickBot="1">
      <c r="A266" s="706" t="s">
        <v>4119</v>
      </c>
      <c r="B266" s="707"/>
      <c r="C266" s="707"/>
      <c r="D266" s="707"/>
      <c r="E266" s="707"/>
      <c r="F266" s="707"/>
      <c r="G266" s="707"/>
      <c r="H266" s="707"/>
      <c r="I266" s="708"/>
    </row>
    <row r="267" spans="1:9" ht="14.4" thickBot="1">
      <c r="A267" s="416">
        <v>1</v>
      </c>
      <c r="B267" s="417"/>
      <c r="C267" s="705"/>
      <c r="D267" s="698"/>
      <c r="E267" s="705"/>
      <c r="F267" s="698"/>
      <c r="G267" s="705"/>
      <c r="H267" s="698"/>
      <c r="I267" s="417"/>
    </row>
    <row r="268" spans="1:9" ht="14.4" thickBot="1">
      <c r="A268" s="706" t="s">
        <v>4091</v>
      </c>
      <c r="B268" s="707"/>
      <c r="C268" s="707"/>
      <c r="D268" s="707"/>
      <c r="E268" s="707"/>
      <c r="F268" s="707"/>
      <c r="G268" s="707"/>
      <c r="H268" s="707"/>
      <c r="I268" s="708"/>
    </row>
    <row r="269" spans="1:9" ht="100.5" customHeight="1" thickBot="1">
      <c r="A269" s="416">
        <v>1</v>
      </c>
      <c r="B269" s="705" t="s">
        <v>4313</v>
      </c>
      <c r="C269" s="698"/>
      <c r="D269" s="705">
        <v>955400</v>
      </c>
      <c r="E269" s="698"/>
      <c r="F269" s="705" t="s">
        <v>4314</v>
      </c>
      <c r="G269" s="698"/>
      <c r="H269" s="420"/>
      <c r="I269" s="420"/>
    </row>
    <row r="270" spans="1:9" ht="25.5" customHeight="1" thickBot="1">
      <c r="A270" s="416">
        <v>2</v>
      </c>
      <c r="B270" s="705" t="s">
        <v>4315</v>
      </c>
      <c r="C270" s="698"/>
      <c r="D270" s="705">
        <v>588360</v>
      </c>
      <c r="E270" s="698"/>
      <c r="F270" s="705" t="s">
        <v>4316</v>
      </c>
      <c r="G270" s="698"/>
      <c r="H270" s="420"/>
      <c r="I270" s="420"/>
    </row>
    <row r="271" spans="1:9" ht="40.950000000000003" customHeight="1" thickBot="1">
      <c r="A271" s="416">
        <v>3</v>
      </c>
      <c r="B271" s="705" t="s">
        <v>4317</v>
      </c>
      <c r="C271" s="698"/>
      <c r="D271" s="705">
        <v>177600</v>
      </c>
      <c r="E271" s="698"/>
      <c r="F271" s="727">
        <v>45108</v>
      </c>
      <c r="G271" s="728"/>
      <c r="H271" s="420"/>
      <c r="I271" s="420"/>
    </row>
    <row r="272" spans="1:9" ht="46.5" customHeight="1" thickBot="1">
      <c r="A272" s="416">
        <v>4</v>
      </c>
      <c r="B272" s="705" t="s">
        <v>4318</v>
      </c>
      <c r="C272" s="698"/>
      <c r="D272" s="705">
        <v>144600</v>
      </c>
      <c r="E272" s="698"/>
      <c r="F272" s="705" t="s">
        <v>4319</v>
      </c>
      <c r="G272" s="698"/>
      <c r="H272" s="420"/>
      <c r="I272" s="420"/>
    </row>
    <row r="273" spans="1:9" ht="52.5" customHeight="1" thickBot="1">
      <c r="A273" s="416">
        <v>5</v>
      </c>
      <c r="B273" s="705" t="s">
        <v>4320</v>
      </c>
      <c r="C273" s="698"/>
      <c r="D273" s="705">
        <v>340000</v>
      </c>
      <c r="E273" s="698"/>
      <c r="F273" s="705" t="s">
        <v>4321</v>
      </c>
      <c r="G273" s="698"/>
      <c r="H273" s="420"/>
      <c r="I273" s="420"/>
    </row>
    <row r="274" spans="1:9" ht="79.5" customHeight="1" thickBot="1">
      <c r="A274" s="416">
        <v>6</v>
      </c>
      <c r="B274" s="705" t="s">
        <v>4322</v>
      </c>
      <c r="C274" s="698"/>
      <c r="D274" s="705">
        <v>940400</v>
      </c>
      <c r="E274" s="698"/>
      <c r="F274" s="705" t="s">
        <v>4323</v>
      </c>
      <c r="G274" s="698"/>
      <c r="H274" s="420"/>
      <c r="I274" s="420"/>
    </row>
    <row r="275" spans="1:9" ht="73.5" customHeight="1" thickBot="1">
      <c r="A275" s="416">
        <v>7</v>
      </c>
      <c r="B275" s="705" t="s">
        <v>4324</v>
      </c>
      <c r="C275" s="698"/>
      <c r="D275" s="705">
        <v>805510</v>
      </c>
      <c r="E275" s="698"/>
      <c r="F275" s="705" t="s">
        <v>4325</v>
      </c>
      <c r="G275" s="698"/>
      <c r="H275" s="420"/>
      <c r="I275" s="420"/>
    </row>
    <row r="276" spans="1:9" ht="37.5" customHeight="1" thickBot="1">
      <c r="A276" s="416">
        <v>8</v>
      </c>
      <c r="B276" s="705" t="s">
        <v>4326</v>
      </c>
      <c r="C276" s="698"/>
      <c r="D276" s="705">
        <v>404767</v>
      </c>
      <c r="E276" s="698"/>
      <c r="F276" s="705" t="s">
        <v>4327</v>
      </c>
      <c r="G276" s="698"/>
      <c r="H276" s="420"/>
      <c r="I276" s="420"/>
    </row>
    <row r="277" spans="1:9" ht="22.95" customHeight="1" thickBot="1">
      <c r="A277" s="416">
        <v>9</v>
      </c>
      <c r="B277" s="705" t="s">
        <v>4328</v>
      </c>
      <c r="C277" s="698"/>
      <c r="D277" s="705">
        <v>802716</v>
      </c>
      <c r="E277" s="698"/>
      <c r="F277" s="705" t="s">
        <v>4329</v>
      </c>
      <c r="G277" s="698"/>
      <c r="H277" s="420"/>
      <c r="I277" s="420"/>
    </row>
    <row r="278" spans="1:9" ht="40.950000000000003" customHeight="1" thickBot="1">
      <c r="A278" s="416">
        <v>10</v>
      </c>
      <c r="B278" s="705" t="s">
        <v>4330</v>
      </c>
      <c r="C278" s="698"/>
      <c r="D278" s="705">
        <v>137190.70000000001</v>
      </c>
      <c r="E278" s="698"/>
      <c r="F278" s="705" t="s">
        <v>4331</v>
      </c>
      <c r="G278" s="698"/>
      <c r="H278" s="420"/>
      <c r="I278" s="420"/>
    </row>
    <row r="279" spans="1:9" ht="14.4">
      <c r="A279" s="430"/>
      <c r="B279" s="431"/>
      <c r="C279" s="431"/>
      <c r="D279" s="431"/>
      <c r="E279" s="431"/>
      <c r="F279" s="431"/>
      <c r="G279" s="431"/>
      <c r="H279" s="431"/>
      <c r="I279" s="431"/>
    </row>
    <row r="280" spans="1:9">
      <c r="A280" s="434"/>
    </row>
    <row r="281" spans="1:9" ht="14.4" thickBot="1">
      <c r="A281" s="413" t="s">
        <v>4332</v>
      </c>
    </row>
    <row r="282" spans="1:9" ht="14.4" thickBot="1">
      <c r="A282" s="711" t="s">
        <v>4058</v>
      </c>
      <c r="B282" s="712"/>
      <c r="C282" s="712"/>
      <c r="D282" s="712"/>
      <c r="E282" s="712"/>
      <c r="F282" s="713"/>
    </row>
    <row r="283" spans="1:9" ht="38.4" thickBot="1">
      <c r="A283" s="414" t="s">
        <v>4095</v>
      </c>
      <c r="B283" s="415" t="s">
        <v>4060</v>
      </c>
      <c r="C283" s="415" t="s">
        <v>4061</v>
      </c>
      <c r="D283" s="415" t="s">
        <v>4062</v>
      </c>
      <c r="E283" s="415" t="s">
        <v>4063</v>
      </c>
      <c r="F283" s="415" t="s">
        <v>4059</v>
      </c>
    </row>
    <row r="284" spans="1:9" ht="14.4" thickBot="1">
      <c r="A284" s="416">
        <v>1</v>
      </c>
      <c r="B284" s="417"/>
      <c r="C284" s="417"/>
      <c r="D284" s="417"/>
      <c r="E284" s="417"/>
      <c r="F284" s="417"/>
    </row>
    <row r="285" spans="1:9" ht="22.95" customHeight="1" thickBot="1">
      <c r="A285" s="706" t="s">
        <v>4089</v>
      </c>
      <c r="B285" s="707"/>
      <c r="C285" s="707"/>
      <c r="D285" s="707"/>
      <c r="E285" s="707"/>
      <c r="F285" s="708"/>
    </row>
    <row r="286" spans="1:9" ht="14.4" thickBot="1">
      <c r="A286" s="416">
        <v>1</v>
      </c>
      <c r="B286" s="417"/>
      <c r="C286" s="417"/>
      <c r="D286" s="417"/>
      <c r="E286" s="417"/>
      <c r="F286" s="417"/>
    </row>
    <row r="287" spans="1:9" ht="22.95" customHeight="1" thickBot="1">
      <c r="A287" s="451"/>
      <c r="B287" s="706" t="s">
        <v>4119</v>
      </c>
      <c r="C287" s="707"/>
      <c r="D287" s="707"/>
      <c r="E287" s="708"/>
      <c r="F287" s="452"/>
    </row>
    <row r="288" spans="1:9" ht="14.4" thickBot="1">
      <c r="A288" s="416">
        <v>1</v>
      </c>
      <c r="B288" s="417"/>
      <c r="C288" s="417"/>
      <c r="D288" s="417"/>
      <c r="E288" s="417"/>
      <c r="F288" s="417"/>
    </row>
    <row r="289" spans="1:8" ht="22.95" customHeight="1" thickBot="1">
      <c r="A289" s="706" t="s">
        <v>4091</v>
      </c>
      <c r="B289" s="707"/>
      <c r="C289" s="707"/>
      <c r="D289" s="707"/>
      <c r="E289" s="707"/>
      <c r="F289" s="708"/>
    </row>
    <row r="290" spans="1:8" ht="38.4" thickBot="1">
      <c r="A290" s="416">
        <v>1</v>
      </c>
      <c r="B290" s="417" t="s">
        <v>4333</v>
      </c>
      <c r="C290" s="417">
        <v>214552</v>
      </c>
      <c r="D290" s="417" t="s">
        <v>4334</v>
      </c>
      <c r="E290" s="420"/>
      <c r="F290" s="417" t="s">
        <v>4335</v>
      </c>
    </row>
    <row r="291" spans="1:8" ht="51" thickBot="1">
      <c r="A291" s="416">
        <v>2</v>
      </c>
      <c r="B291" s="417" t="s">
        <v>4336</v>
      </c>
      <c r="C291" s="417">
        <v>1921554.37</v>
      </c>
      <c r="D291" s="417" t="s">
        <v>4337</v>
      </c>
      <c r="E291" s="420"/>
      <c r="F291" s="417" t="s">
        <v>4335</v>
      </c>
    </row>
    <row r="292" spans="1:8" ht="51" thickBot="1">
      <c r="A292" s="416">
        <v>3</v>
      </c>
      <c r="B292" s="417" t="s">
        <v>4338</v>
      </c>
      <c r="C292" s="417">
        <v>600000</v>
      </c>
      <c r="D292" s="417" t="s">
        <v>4339</v>
      </c>
      <c r="E292" s="420"/>
      <c r="F292" s="417" t="s">
        <v>4335</v>
      </c>
    </row>
    <row r="293" spans="1:8" ht="38.4" thickBot="1">
      <c r="A293" s="416">
        <v>4</v>
      </c>
      <c r="B293" s="417" t="s">
        <v>4340</v>
      </c>
      <c r="C293" s="417">
        <v>73000</v>
      </c>
      <c r="D293" s="417" t="s">
        <v>4341</v>
      </c>
      <c r="E293" s="420"/>
      <c r="F293" s="417" t="s">
        <v>4335</v>
      </c>
    </row>
    <row r="294" spans="1:8" ht="51" thickBot="1">
      <c r="A294" s="416">
        <v>5</v>
      </c>
      <c r="B294" s="417" t="s">
        <v>4342</v>
      </c>
      <c r="C294" s="459">
        <v>540000</v>
      </c>
      <c r="D294" s="417" t="s">
        <v>4339</v>
      </c>
      <c r="E294" s="420"/>
      <c r="F294" s="417" t="s">
        <v>4335</v>
      </c>
    </row>
    <row r="295" spans="1:8" ht="38.4" thickBot="1">
      <c r="A295" s="416">
        <v>6</v>
      </c>
      <c r="B295" s="417" t="s">
        <v>4343</v>
      </c>
      <c r="C295" s="459">
        <v>200000</v>
      </c>
      <c r="D295" s="417" t="s">
        <v>4344</v>
      </c>
      <c r="E295" s="420"/>
      <c r="F295" s="417" t="s">
        <v>4335</v>
      </c>
    </row>
    <row r="296" spans="1:8" ht="51" thickBot="1">
      <c r="A296" s="416">
        <v>7</v>
      </c>
      <c r="B296" s="417" t="s">
        <v>4345</v>
      </c>
      <c r="C296" s="459">
        <v>200000</v>
      </c>
      <c r="D296" s="417" t="s">
        <v>4339</v>
      </c>
      <c r="E296" s="420"/>
      <c r="F296" s="417" t="s">
        <v>4335</v>
      </c>
    </row>
    <row r="297" spans="1:8" ht="51" thickBot="1">
      <c r="A297" s="416">
        <v>8</v>
      </c>
      <c r="B297" s="417" t="s">
        <v>4346</v>
      </c>
      <c r="C297" s="459">
        <v>436880</v>
      </c>
      <c r="D297" s="417" t="s">
        <v>4347</v>
      </c>
      <c r="E297" s="420"/>
      <c r="F297" s="417" t="s">
        <v>4335</v>
      </c>
    </row>
    <row r="298" spans="1:8" ht="51" thickBot="1">
      <c r="A298" s="416">
        <v>9</v>
      </c>
      <c r="B298" s="417" t="s">
        <v>4348</v>
      </c>
      <c r="C298" s="459">
        <v>138080</v>
      </c>
      <c r="D298" s="417" t="s">
        <v>4349</v>
      </c>
      <c r="E298" s="420"/>
      <c r="F298" s="417" t="s">
        <v>4335</v>
      </c>
    </row>
    <row r="299" spans="1:8" ht="51" thickBot="1">
      <c r="A299" s="416">
        <v>10</v>
      </c>
      <c r="B299" s="417" t="s">
        <v>4350</v>
      </c>
      <c r="C299" s="417" t="s">
        <v>4351</v>
      </c>
      <c r="D299" s="417" t="s">
        <v>4352</v>
      </c>
      <c r="E299" s="420"/>
      <c r="F299" s="417" t="s">
        <v>4335</v>
      </c>
    </row>
    <row r="300" spans="1:8" ht="51" thickBot="1">
      <c r="A300" s="416">
        <v>11</v>
      </c>
      <c r="B300" s="417" t="s">
        <v>4353</v>
      </c>
      <c r="C300" s="459">
        <v>1303768</v>
      </c>
      <c r="D300" s="417" t="s">
        <v>4354</v>
      </c>
      <c r="E300" s="420"/>
      <c r="F300" s="417" t="s">
        <v>4335</v>
      </c>
    </row>
    <row r="301" spans="1:8">
      <c r="A301" s="434"/>
    </row>
    <row r="302" spans="1:8" ht="14.4" thickBot="1">
      <c r="A302" s="413" t="s">
        <v>4355</v>
      </c>
    </row>
    <row r="303" spans="1:8" ht="14.4" thickBot="1">
      <c r="A303" s="711" t="s">
        <v>4058</v>
      </c>
      <c r="B303" s="712"/>
      <c r="C303" s="712"/>
      <c r="D303" s="712"/>
      <c r="E303" s="712"/>
      <c r="F303" s="712"/>
      <c r="G303" s="712"/>
      <c r="H303" s="713"/>
    </row>
    <row r="304" spans="1:8" ht="38.4" thickBot="1">
      <c r="A304" s="414" t="s">
        <v>4095</v>
      </c>
      <c r="B304" s="415" t="s">
        <v>4060</v>
      </c>
      <c r="C304" s="714" t="s">
        <v>4061</v>
      </c>
      <c r="D304" s="715"/>
      <c r="E304" s="714" t="s">
        <v>4062</v>
      </c>
      <c r="F304" s="715"/>
      <c r="G304" s="415" t="s">
        <v>4063</v>
      </c>
      <c r="H304" s="415" t="s">
        <v>4059</v>
      </c>
    </row>
    <row r="305" spans="1:8" ht="14.4" thickBot="1">
      <c r="A305" s="416">
        <v>1</v>
      </c>
      <c r="B305" s="417"/>
      <c r="C305" s="705"/>
      <c r="D305" s="698"/>
      <c r="E305" s="705"/>
      <c r="F305" s="698"/>
      <c r="G305" s="417"/>
      <c r="H305" s="417"/>
    </row>
    <row r="306" spans="1:8" ht="14.4" thickBot="1">
      <c r="A306" s="416"/>
      <c r="B306" s="417"/>
      <c r="C306" s="705"/>
      <c r="D306" s="698"/>
      <c r="E306" s="705"/>
      <c r="F306" s="698"/>
      <c r="G306" s="417"/>
      <c r="H306" s="417"/>
    </row>
    <row r="307" spans="1:8" ht="14.4" thickBot="1">
      <c r="A307" s="706" t="s">
        <v>4089</v>
      </c>
      <c r="B307" s="707"/>
      <c r="C307" s="707"/>
      <c r="D307" s="707"/>
      <c r="E307" s="707"/>
      <c r="F307" s="707"/>
      <c r="G307" s="707"/>
      <c r="H307" s="708"/>
    </row>
    <row r="308" spans="1:8" ht="14.4" thickBot="1">
      <c r="A308" s="416">
        <v>1</v>
      </c>
      <c r="B308" s="417"/>
      <c r="C308" s="705"/>
      <c r="D308" s="698"/>
      <c r="E308" s="705"/>
      <c r="F308" s="698"/>
      <c r="G308" s="417"/>
      <c r="H308" s="417"/>
    </row>
    <row r="309" spans="1:8" ht="14.4" thickBot="1">
      <c r="A309" s="706" t="s">
        <v>4119</v>
      </c>
      <c r="B309" s="707"/>
      <c r="C309" s="707"/>
      <c r="D309" s="707"/>
      <c r="E309" s="707"/>
      <c r="F309" s="707"/>
      <c r="G309" s="707"/>
      <c r="H309" s="708"/>
    </row>
    <row r="310" spans="1:8" ht="14.4" thickBot="1">
      <c r="A310" s="416">
        <v>1</v>
      </c>
      <c r="B310" s="417"/>
      <c r="C310" s="705"/>
      <c r="D310" s="698"/>
      <c r="E310" s="705"/>
      <c r="F310" s="698"/>
      <c r="G310" s="417"/>
      <c r="H310" s="417"/>
    </row>
    <row r="311" spans="1:8" ht="14.4" thickBot="1">
      <c r="A311" s="706" t="s">
        <v>4091</v>
      </c>
      <c r="B311" s="707"/>
      <c r="C311" s="707"/>
      <c r="D311" s="707"/>
      <c r="E311" s="707"/>
      <c r="F311" s="707"/>
      <c r="G311" s="707"/>
      <c r="H311" s="708"/>
    </row>
    <row r="312" spans="1:8" ht="110.7" customHeight="1" thickBot="1">
      <c r="A312" s="416">
        <v>1</v>
      </c>
      <c r="B312" s="417" t="s">
        <v>4356</v>
      </c>
      <c r="C312" s="417" t="s">
        <v>4357</v>
      </c>
      <c r="D312" s="705" t="s">
        <v>4358</v>
      </c>
      <c r="E312" s="698"/>
      <c r="F312" s="725"/>
      <c r="G312" s="726"/>
      <c r="H312" s="420"/>
    </row>
    <row r="313" spans="1:8" ht="14.4" thickBot="1">
      <c r="A313" s="416">
        <v>2</v>
      </c>
      <c r="B313" s="417" t="s">
        <v>4359</v>
      </c>
      <c r="C313" s="417" t="s">
        <v>4360</v>
      </c>
      <c r="D313" s="705" t="s">
        <v>4361</v>
      </c>
      <c r="E313" s="698"/>
      <c r="F313" s="725"/>
      <c r="G313" s="726"/>
      <c r="H313" s="420"/>
    </row>
    <row r="314" spans="1:8" ht="25.8" thickBot="1">
      <c r="A314" s="416">
        <v>3</v>
      </c>
      <c r="B314" s="417" t="s">
        <v>4362</v>
      </c>
      <c r="C314" s="417" t="s">
        <v>4363</v>
      </c>
      <c r="D314" s="705" t="s">
        <v>4364</v>
      </c>
      <c r="E314" s="698"/>
      <c r="F314" s="725"/>
      <c r="G314" s="726"/>
      <c r="H314" s="420"/>
    </row>
    <row r="315" spans="1:8" ht="14.4">
      <c r="A315" s="430"/>
      <c r="B315" s="431"/>
      <c r="C315" s="431"/>
      <c r="D315" s="431"/>
      <c r="E315" s="431"/>
      <c r="F315" s="431"/>
      <c r="G315" s="431"/>
      <c r="H315" s="431"/>
    </row>
    <row r="316" spans="1:8">
      <c r="A316" s="434"/>
    </row>
    <row r="317" spans="1:8" ht="14.4" thickBot="1">
      <c r="A317" s="413" t="s">
        <v>4365</v>
      </c>
    </row>
    <row r="318" spans="1:8" ht="22.95" customHeight="1" thickBot="1">
      <c r="A318" s="448"/>
      <c r="B318" s="711" t="s">
        <v>4058</v>
      </c>
      <c r="C318" s="712"/>
      <c r="D318" s="712"/>
      <c r="E318" s="712"/>
      <c r="F318" s="713"/>
    </row>
    <row r="319" spans="1:8" ht="38.4" thickBot="1">
      <c r="A319" s="414" t="s">
        <v>4095</v>
      </c>
      <c r="B319" s="415" t="s">
        <v>4060</v>
      </c>
      <c r="C319" s="415" t="s">
        <v>4061</v>
      </c>
      <c r="D319" s="415" t="s">
        <v>4062</v>
      </c>
      <c r="E319" s="415" t="s">
        <v>4063</v>
      </c>
      <c r="F319" s="446" t="s">
        <v>4059</v>
      </c>
    </row>
    <row r="320" spans="1:8" ht="14.4" thickBot="1">
      <c r="A320" s="416">
        <v>1</v>
      </c>
      <c r="B320" s="417"/>
      <c r="C320" s="417"/>
      <c r="D320" s="417"/>
      <c r="E320" s="417"/>
      <c r="F320" s="417"/>
    </row>
    <row r="321" spans="1:6" ht="22.95" customHeight="1" thickBot="1">
      <c r="A321" s="706" t="s">
        <v>4089</v>
      </c>
      <c r="B321" s="707"/>
      <c r="C321" s="707"/>
      <c r="D321" s="707"/>
      <c r="E321" s="707"/>
      <c r="F321" s="708"/>
    </row>
    <row r="322" spans="1:6" ht="14.4" thickBot="1">
      <c r="A322" s="416">
        <v>1</v>
      </c>
      <c r="B322" s="417"/>
      <c r="C322" s="417"/>
      <c r="D322" s="417"/>
      <c r="E322" s="417"/>
      <c r="F322" s="417"/>
    </row>
    <row r="323" spans="1:6" ht="22.95" customHeight="1" thickBot="1">
      <c r="A323" s="706" t="s">
        <v>4119</v>
      </c>
      <c r="B323" s="707"/>
      <c r="C323" s="707"/>
      <c r="D323" s="707"/>
      <c r="E323" s="707"/>
      <c r="F323" s="708"/>
    </row>
    <row r="324" spans="1:6" ht="14.4" thickBot="1">
      <c r="A324" s="416">
        <v>1</v>
      </c>
      <c r="B324" s="417"/>
      <c r="C324" s="417"/>
      <c r="D324" s="417"/>
      <c r="E324" s="417"/>
      <c r="F324" s="417"/>
    </row>
    <row r="325" spans="1:6" ht="22.95" customHeight="1" thickBot="1">
      <c r="A325" s="706" t="s">
        <v>4091</v>
      </c>
      <c r="B325" s="707"/>
      <c r="C325" s="707"/>
      <c r="D325" s="707"/>
      <c r="E325" s="707"/>
      <c r="F325" s="708"/>
    </row>
    <row r="326" spans="1:6" ht="25.8" thickBot="1">
      <c r="A326" s="460">
        <v>1</v>
      </c>
      <c r="B326" s="461" t="s">
        <v>4366</v>
      </c>
      <c r="C326" s="456" t="s">
        <v>4367</v>
      </c>
      <c r="D326" s="456" t="s">
        <v>4301</v>
      </c>
      <c r="E326" s="456"/>
      <c r="F326" s="456"/>
    </row>
    <row r="327" spans="1:6" ht="25.8" thickBot="1">
      <c r="A327" s="462">
        <v>2</v>
      </c>
      <c r="B327" s="463" t="s">
        <v>4368</v>
      </c>
      <c r="C327" s="464" t="s">
        <v>4369</v>
      </c>
      <c r="D327" s="464" t="s">
        <v>4301</v>
      </c>
      <c r="E327" s="465"/>
      <c r="F327" s="465"/>
    </row>
    <row r="328" spans="1:6" ht="76.2" thickBot="1">
      <c r="A328" s="454">
        <v>3</v>
      </c>
      <c r="B328" s="455" t="s">
        <v>4370</v>
      </c>
      <c r="C328" s="417" t="s">
        <v>4371</v>
      </c>
      <c r="D328" s="417" t="s">
        <v>4301</v>
      </c>
      <c r="E328" s="417"/>
      <c r="F328" s="417"/>
    </row>
    <row r="329" spans="1:6" ht="51" thickBot="1">
      <c r="A329" s="462">
        <v>4</v>
      </c>
      <c r="B329" s="463" t="s">
        <v>4372</v>
      </c>
      <c r="C329" s="464" t="s">
        <v>4373</v>
      </c>
      <c r="D329" s="464" t="s">
        <v>4305</v>
      </c>
      <c r="E329" s="465"/>
      <c r="F329" s="465"/>
    </row>
    <row r="330" spans="1:6" ht="51" thickBot="1">
      <c r="A330" s="454">
        <v>5</v>
      </c>
      <c r="B330" s="455" t="s">
        <v>4374</v>
      </c>
      <c r="C330" s="417" t="s">
        <v>4068</v>
      </c>
      <c r="D330" s="417" t="s">
        <v>4305</v>
      </c>
      <c r="E330" s="417"/>
      <c r="F330" s="417"/>
    </row>
    <row r="331" spans="1:6" ht="51" thickBot="1">
      <c r="A331" s="466"/>
      <c r="B331" s="467" t="s">
        <v>4375</v>
      </c>
      <c r="C331" s="465"/>
      <c r="D331" s="464">
        <v>2022</v>
      </c>
      <c r="E331" s="465"/>
      <c r="F331" s="465"/>
    </row>
    <row r="332" spans="1:6" ht="101.4" thickBot="1">
      <c r="A332" s="454">
        <v>7</v>
      </c>
      <c r="B332" s="455" t="s">
        <v>4376</v>
      </c>
      <c r="C332" s="417" t="s">
        <v>4068</v>
      </c>
      <c r="D332" s="417" t="s">
        <v>4305</v>
      </c>
      <c r="E332" s="417"/>
      <c r="F332" s="417"/>
    </row>
    <row r="333" spans="1:6" ht="25.8" thickBot="1">
      <c r="A333" s="468">
        <v>8</v>
      </c>
      <c r="B333" s="469" t="s">
        <v>4377</v>
      </c>
      <c r="C333" s="470" t="s">
        <v>4378</v>
      </c>
      <c r="D333" s="470" t="s">
        <v>4305</v>
      </c>
      <c r="E333" s="471"/>
      <c r="F333" s="471"/>
    </row>
    <row r="334" spans="1:6" ht="25.8" thickBot="1">
      <c r="A334" s="466"/>
      <c r="B334" s="472" t="s">
        <v>4379</v>
      </c>
      <c r="C334" s="417" t="s">
        <v>4380</v>
      </c>
      <c r="D334" s="417" t="s">
        <v>4381</v>
      </c>
      <c r="E334" s="417"/>
      <c r="F334" s="417"/>
    </row>
    <row r="335" spans="1:6" ht="63.6" thickBot="1">
      <c r="A335" s="462">
        <v>10</v>
      </c>
      <c r="B335" s="463" t="s">
        <v>4382</v>
      </c>
      <c r="C335" s="464" t="s">
        <v>4383</v>
      </c>
      <c r="D335" s="464" t="s">
        <v>4305</v>
      </c>
      <c r="E335" s="465"/>
      <c r="F335" s="465"/>
    </row>
    <row r="336" spans="1:6" ht="63.6" thickBot="1">
      <c r="A336" s="454">
        <v>11</v>
      </c>
      <c r="B336" s="455" t="s">
        <v>4384</v>
      </c>
      <c r="C336" s="417" t="s">
        <v>4385</v>
      </c>
      <c r="D336" s="417" t="s">
        <v>4305</v>
      </c>
      <c r="E336" s="417"/>
      <c r="F336" s="417"/>
    </row>
    <row r="337" spans="1:6" ht="76.2" thickBot="1">
      <c r="A337" s="462">
        <v>12</v>
      </c>
      <c r="B337" s="463" t="s">
        <v>4386</v>
      </c>
      <c r="C337" s="464" t="s">
        <v>4387</v>
      </c>
      <c r="D337" s="464" t="s">
        <v>4305</v>
      </c>
      <c r="E337" s="465"/>
      <c r="F337" s="465"/>
    </row>
    <row r="338" spans="1:6" ht="51" thickBot="1">
      <c r="A338" s="454">
        <v>13</v>
      </c>
      <c r="B338" s="455" t="s">
        <v>4388</v>
      </c>
      <c r="C338" s="417" t="s">
        <v>4389</v>
      </c>
      <c r="D338" s="417">
        <v>2021</v>
      </c>
      <c r="E338" s="417"/>
      <c r="F338" s="417"/>
    </row>
    <row r="339" spans="1:6" ht="38.4" thickBot="1">
      <c r="A339" s="462">
        <v>14</v>
      </c>
      <c r="B339" s="463" t="s">
        <v>4390</v>
      </c>
      <c r="C339" s="464" t="s">
        <v>4391</v>
      </c>
      <c r="D339" s="464" t="s">
        <v>4301</v>
      </c>
      <c r="E339" s="465"/>
      <c r="F339" s="465"/>
    </row>
    <row r="340" spans="1:6" ht="38.4" thickBot="1">
      <c r="A340" s="454">
        <v>15</v>
      </c>
      <c r="B340" s="455" t="s">
        <v>4392</v>
      </c>
      <c r="C340" s="417" t="s">
        <v>4393</v>
      </c>
      <c r="D340" s="417" t="s">
        <v>4305</v>
      </c>
      <c r="E340" s="417"/>
      <c r="F340" s="417"/>
    </row>
    <row r="341" spans="1:6" ht="25.8" thickBot="1">
      <c r="A341" s="462">
        <v>16</v>
      </c>
      <c r="B341" s="463" t="s">
        <v>4394</v>
      </c>
      <c r="C341" s="464" t="s">
        <v>4395</v>
      </c>
      <c r="D341" s="464" t="s">
        <v>4301</v>
      </c>
      <c r="E341" s="465"/>
      <c r="F341" s="465"/>
    </row>
    <row r="342" spans="1:6" ht="63.6" thickBot="1">
      <c r="A342" s="466"/>
      <c r="B342" s="472" t="s">
        <v>4396</v>
      </c>
      <c r="C342" s="417" t="s">
        <v>4180</v>
      </c>
      <c r="D342" s="417">
        <v>2022</v>
      </c>
      <c r="E342" s="417"/>
      <c r="F342" s="417"/>
    </row>
    <row r="343" spans="1:6" ht="88.8" thickBot="1">
      <c r="A343" s="462">
        <v>18</v>
      </c>
      <c r="B343" s="463" t="s">
        <v>4397</v>
      </c>
      <c r="C343" s="464" t="s">
        <v>4398</v>
      </c>
      <c r="D343" s="464" t="s">
        <v>4301</v>
      </c>
      <c r="E343" s="465"/>
      <c r="F343" s="465"/>
    </row>
    <row r="344" spans="1:6" ht="51" thickBot="1">
      <c r="A344" s="466"/>
      <c r="B344" s="472" t="s">
        <v>4399</v>
      </c>
      <c r="C344" s="417" t="s">
        <v>4400</v>
      </c>
      <c r="D344" s="417">
        <v>2022</v>
      </c>
      <c r="E344" s="417"/>
      <c r="F344" s="417"/>
    </row>
    <row r="345" spans="1:6" ht="25.8" thickBot="1">
      <c r="A345" s="462">
        <v>20</v>
      </c>
      <c r="B345" s="463" t="s">
        <v>4401</v>
      </c>
      <c r="C345" s="464" t="s">
        <v>4073</v>
      </c>
      <c r="D345" s="464" t="s">
        <v>4305</v>
      </c>
      <c r="E345" s="465"/>
      <c r="F345" s="465"/>
    </row>
    <row r="346" spans="1:6" ht="38.4" thickBot="1">
      <c r="A346" s="454">
        <v>21</v>
      </c>
      <c r="B346" s="455" t="s">
        <v>4402</v>
      </c>
      <c r="C346" s="417" t="s">
        <v>4403</v>
      </c>
      <c r="D346" s="417" t="s">
        <v>4305</v>
      </c>
      <c r="E346" s="417"/>
      <c r="F346" s="417"/>
    </row>
    <row r="347" spans="1:6" ht="63.6" thickBot="1">
      <c r="A347" s="462">
        <v>22</v>
      </c>
      <c r="B347" s="463" t="s">
        <v>4404</v>
      </c>
      <c r="C347" s="464" t="s">
        <v>4405</v>
      </c>
      <c r="D347" s="464" t="s">
        <v>4301</v>
      </c>
      <c r="E347" s="465"/>
      <c r="F347" s="465"/>
    </row>
    <row r="348" spans="1:6" ht="25.8" thickBot="1">
      <c r="A348" s="454">
        <v>23</v>
      </c>
      <c r="B348" s="455" t="s">
        <v>4406</v>
      </c>
      <c r="C348" s="417" t="s">
        <v>4078</v>
      </c>
      <c r="D348" s="417"/>
      <c r="E348" s="417"/>
      <c r="F348" s="417"/>
    </row>
    <row r="349" spans="1:6" ht="88.8" thickBot="1">
      <c r="A349" s="462">
        <v>24</v>
      </c>
      <c r="B349" s="463" t="s">
        <v>4407</v>
      </c>
      <c r="C349" s="464" t="s">
        <v>4408</v>
      </c>
      <c r="D349" s="464">
        <v>2021</v>
      </c>
      <c r="E349" s="465"/>
      <c r="F349" s="465"/>
    </row>
    <row r="350" spans="1:6" ht="76.2" thickBot="1">
      <c r="A350" s="454">
        <v>25</v>
      </c>
      <c r="B350" s="455" t="s">
        <v>4409</v>
      </c>
      <c r="C350" s="417" t="s">
        <v>4093</v>
      </c>
      <c r="D350" s="417" t="s">
        <v>4305</v>
      </c>
      <c r="E350" s="417"/>
      <c r="F350" s="417"/>
    </row>
    <row r="351" spans="1:6" ht="63.6" thickBot="1">
      <c r="A351" s="462">
        <v>26</v>
      </c>
      <c r="B351" s="463" t="s">
        <v>4410</v>
      </c>
      <c r="C351" s="464" t="s">
        <v>4405</v>
      </c>
      <c r="D351" s="464" t="s">
        <v>4305</v>
      </c>
      <c r="E351" s="465"/>
      <c r="F351" s="465"/>
    </row>
    <row r="352" spans="1:6" ht="76.2" thickBot="1">
      <c r="A352" s="454">
        <v>27</v>
      </c>
      <c r="B352" s="455" t="s">
        <v>4411</v>
      </c>
      <c r="C352" s="417" t="s">
        <v>4412</v>
      </c>
      <c r="D352" s="417" t="s">
        <v>4305</v>
      </c>
      <c r="E352" s="417"/>
      <c r="F352" s="417"/>
    </row>
    <row r="353" spans="1:8" ht="76.2" thickBot="1">
      <c r="A353" s="468">
        <v>28</v>
      </c>
      <c r="B353" s="469" t="s">
        <v>4413</v>
      </c>
      <c r="C353" s="470" t="s">
        <v>4414</v>
      </c>
      <c r="D353" s="470" t="s">
        <v>4163</v>
      </c>
      <c r="E353" s="471"/>
      <c r="F353" s="471"/>
    </row>
    <row r="354" spans="1:8" ht="76.2" thickBot="1">
      <c r="A354" s="473">
        <v>29</v>
      </c>
      <c r="B354" s="474" t="s">
        <v>4415</v>
      </c>
      <c r="C354" s="475" t="s">
        <v>4416</v>
      </c>
      <c r="D354" s="475" t="s">
        <v>4301</v>
      </c>
      <c r="E354" s="475"/>
      <c r="F354" s="475"/>
    </row>
    <row r="355" spans="1:8" ht="88.8" thickBot="1">
      <c r="A355" s="468">
        <v>30</v>
      </c>
      <c r="B355" s="469" t="s">
        <v>4417</v>
      </c>
      <c r="C355" s="470" t="s">
        <v>4418</v>
      </c>
      <c r="D355" s="470" t="s">
        <v>4305</v>
      </c>
      <c r="E355" s="471"/>
      <c r="F355" s="471"/>
    </row>
    <row r="356" spans="1:8" ht="25.8" thickBot="1">
      <c r="A356" s="473">
        <v>31</v>
      </c>
      <c r="B356" s="474" t="s">
        <v>4419</v>
      </c>
      <c r="C356" s="475" t="s">
        <v>4420</v>
      </c>
      <c r="D356" s="475" t="s">
        <v>4301</v>
      </c>
      <c r="E356" s="475"/>
      <c r="F356" s="475"/>
    </row>
    <row r="357" spans="1:8" ht="76.2" thickBot="1">
      <c r="A357" s="468">
        <v>32</v>
      </c>
      <c r="B357" s="469" t="s">
        <v>4421</v>
      </c>
      <c r="C357" s="470" t="s">
        <v>4422</v>
      </c>
      <c r="D357" s="470" t="s">
        <v>4301</v>
      </c>
      <c r="E357" s="471"/>
      <c r="F357" s="471"/>
    </row>
    <row r="358" spans="1:8" ht="76.2" thickBot="1">
      <c r="A358" s="473">
        <v>33</v>
      </c>
      <c r="B358" s="474" t="s">
        <v>4423</v>
      </c>
      <c r="C358" s="475" t="s">
        <v>4373</v>
      </c>
      <c r="D358" s="475" t="s">
        <v>4305</v>
      </c>
      <c r="E358" s="475"/>
      <c r="F358" s="475"/>
    </row>
    <row r="359" spans="1:8" ht="51" thickBot="1">
      <c r="A359" s="468">
        <v>34</v>
      </c>
      <c r="B359" s="469" t="s">
        <v>4424</v>
      </c>
      <c r="C359" s="470" t="s">
        <v>4068</v>
      </c>
      <c r="D359" s="470" t="s">
        <v>4305</v>
      </c>
      <c r="E359" s="471"/>
      <c r="F359" s="471"/>
    </row>
    <row r="360" spans="1:8" ht="101.4" thickBot="1">
      <c r="A360" s="473">
        <v>35</v>
      </c>
      <c r="B360" s="474" t="s">
        <v>4425</v>
      </c>
      <c r="C360" s="475" t="s">
        <v>4068</v>
      </c>
      <c r="D360" s="475" t="s">
        <v>4305</v>
      </c>
      <c r="E360" s="475"/>
      <c r="F360" s="475"/>
    </row>
    <row r="361" spans="1:8">
      <c r="A361" s="434"/>
    </row>
    <row r="362" spans="1:8" ht="14.4" thickBot="1">
      <c r="A362" s="413" t="s">
        <v>4426</v>
      </c>
    </row>
    <row r="363" spans="1:8" ht="14.4" thickBot="1">
      <c r="A363" s="711" t="s">
        <v>4058</v>
      </c>
      <c r="B363" s="712"/>
      <c r="C363" s="712"/>
      <c r="D363" s="712"/>
      <c r="E363" s="712"/>
      <c r="F363" s="712"/>
      <c r="G363" s="712"/>
      <c r="H363" s="713"/>
    </row>
    <row r="364" spans="1:8" ht="38.4" thickBot="1">
      <c r="A364" s="450" t="s">
        <v>4284</v>
      </c>
      <c r="B364" s="415" t="s">
        <v>4060</v>
      </c>
      <c r="C364" s="415" t="s">
        <v>4061</v>
      </c>
      <c r="D364" s="714" t="s">
        <v>4062</v>
      </c>
      <c r="E364" s="716"/>
      <c r="F364" s="715"/>
      <c r="G364" s="415" t="s">
        <v>4063</v>
      </c>
      <c r="H364" s="415" t="s">
        <v>4059</v>
      </c>
    </row>
    <row r="365" spans="1:8" ht="25.8" thickBot="1">
      <c r="A365" s="416">
        <v>1</v>
      </c>
      <c r="B365" s="417" t="s">
        <v>4427</v>
      </c>
      <c r="C365" s="417"/>
      <c r="D365" s="705"/>
      <c r="E365" s="697"/>
      <c r="F365" s="698"/>
      <c r="G365" s="417" t="s">
        <v>4428</v>
      </c>
      <c r="H365" s="417" t="s">
        <v>4429</v>
      </c>
    </row>
    <row r="366" spans="1:8" ht="25.8" thickBot="1">
      <c r="A366" s="416">
        <v>2</v>
      </c>
      <c r="B366" s="417" t="s">
        <v>4430</v>
      </c>
      <c r="C366" s="417"/>
      <c r="D366" s="705"/>
      <c r="E366" s="697"/>
      <c r="F366" s="698"/>
      <c r="G366" s="418">
        <v>1</v>
      </c>
      <c r="H366" s="417" t="s">
        <v>4429</v>
      </c>
    </row>
    <row r="367" spans="1:8" ht="25.8" thickBot="1">
      <c r="A367" s="416">
        <v>3</v>
      </c>
      <c r="B367" s="417" t="s">
        <v>4431</v>
      </c>
      <c r="C367" s="417"/>
      <c r="D367" s="705"/>
      <c r="E367" s="697"/>
      <c r="F367" s="698"/>
      <c r="G367" s="418">
        <v>1</v>
      </c>
      <c r="H367" s="417" t="s">
        <v>4429</v>
      </c>
    </row>
    <row r="368" spans="1:8" ht="25.8" thickBot="1">
      <c r="A368" s="416">
        <v>4</v>
      </c>
      <c r="B368" s="417" t="s">
        <v>4432</v>
      </c>
      <c r="C368" s="417"/>
      <c r="D368" s="705"/>
      <c r="E368" s="697"/>
      <c r="F368" s="698"/>
      <c r="G368" s="418">
        <v>1</v>
      </c>
      <c r="H368" s="417" t="s">
        <v>4429</v>
      </c>
    </row>
    <row r="369" spans="1:8" ht="25.8" thickBot="1">
      <c r="A369" s="416">
        <v>5</v>
      </c>
      <c r="B369" s="417" t="s">
        <v>4433</v>
      </c>
      <c r="C369" s="417"/>
      <c r="D369" s="705"/>
      <c r="E369" s="697"/>
      <c r="F369" s="698"/>
      <c r="G369" s="418">
        <v>1</v>
      </c>
      <c r="H369" s="417" t="s">
        <v>4429</v>
      </c>
    </row>
    <row r="370" spans="1:8" ht="14.4" thickBot="1">
      <c r="A370" s="706" t="s">
        <v>4089</v>
      </c>
      <c r="B370" s="707"/>
      <c r="C370" s="707"/>
      <c r="D370" s="707"/>
      <c r="E370" s="707"/>
      <c r="F370" s="707"/>
      <c r="G370" s="707"/>
      <c r="H370" s="708"/>
    </row>
    <row r="371" spans="1:8" ht="38.4" thickBot="1">
      <c r="A371" s="416">
        <v>1</v>
      </c>
      <c r="B371" s="417" t="s">
        <v>4434</v>
      </c>
      <c r="C371" s="417"/>
      <c r="D371" s="705"/>
      <c r="E371" s="697"/>
      <c r="F371" s="698"/>
      <c r="G371" s="417" t="s">
        <v>4435</v>
      </c>
      <c r="H371" s="417"/>
    </row>
    <row r="372" spans="1:8" ht="38.4" thickBot="1">
      <c r="A372" s="416">
        <v>2</v>
      </c>
      <c r="B372" s="417" t="s">
        <v>4436</v>
      </c>
      <c r="C372" s="417"/>
      <c r="D372" s="705"/>
      <c r="E372" s="697"/>
      <c r="F372" s="698"/>
      <c r="G372" s="417" t="s">
        <v>4435</v>
      </c>
      <c r="H372" s="417"/>
    </row>
    <row r="373" spans="1:8" ht="38.4" thickBot="1">
      <c r="A373" s="416">
        <v>3</v>
      </c>
      <c r="B373" s="417" t="s">
        <v>4437</v>
      </c>
      <c r="C373" s="417"/>
      <c r="D373" s="705"/>
      <c r="E373" s="697"/>
      <c r="F373" s="698"/>
      <c r="G373" s="417" t="s">
        <v>4435</v>
      </c>
      <c r="H373" s="417"/>
    </row>
    <row r="374" spans="1:8" ht="88.8" thickBot="1">
      <c r="A374" s="416">
        <v>4</v>
      </c>
      <c r="B374" s="417" t="s">
        <v>4438</v>
      </c>
      <c r="C374" s="417"/>
      <c r="D374" s="705"/>
      <c r="E374" s="697"/>
      <c r="F374" s="698"/>
      <c r="G374" s="417" t="s">
        <v>4439</v>
      </c>
      <c r="H374" s="417"/>
    </row>
    <row r="375" spans="1:8" ht="25.8" thickBot="1">
      <c r="A375" s="416">
        <v>5</v>
      </c>
      <c r="B375" s="417" t="s">
        <v>4440</v>
      </c>
      <c r="C375" s="417"/>
      <c r="D375" s="705"/>
      <c r="E375" s="697"/>
      <c r="F375" s="698"/>
      <c r="G375" s="417" t="s">
        <v>4441</v>
      </c>
      <c r="H375" s="417"/>
    </row>
    <row r="376" spans="1:8" ht="38.4" thickBot="1">
      <c r="A376" s="416">
        <v>6</v>
      </c>
      <c r="B376" s="417" t="s">
        <v>4442</v>
      </c>
      <c r="C376" s="417"/>
      <c r="D376" s="705"/>
      <c r="E376" s="697"/>
      <c r="F376" s="698"/>
      <c r="G376" s="417" t="s">
        <v>4435</v>
      </c>
      <c r="H376" s="417"/>
    </row>
    <row r="377" spans="1:8" ht="38.4" thickBot="1">
      <c r="A377" s="416">
        <v>7</v>
      </c>
      <c r="B377" s="417" t="s">
        <v>4443</v>
      </c>
      <c r="C377" s="417"/>
      <c r="D377" s="705"/>
      <c r="E377" s="697"/>
      <c r="F377" s="698"/>
      <c r="G377" s="417" t="s">
        <v>4435</v>
      </c>
      <c r="H377" s="417"/>
    </row>
    <row r="378" spans="1:8" ht="14.4" thickBot="1">
      <c r="A378" s="706" t="s">
        <v>4119</v>
      </c>
      <c r="B378" s="707"/>
      <c r="C378" s="707"/>
      <c r="D378" s="707"/>
      <c r="E378" s="707"/>
      <c r="F378" s="707"/>
      <c r="G378" s="707"/>
      <c r="H378" s="708"/>
    </row>
    <row r="379" spans="1:8" ht="14.4" thickBot="1">
      <c r="A379" s="416">
        <v>1</v>
      </c>
      <c r="B379" s="417"/>
      <c r="C379" s="705"/>
      <c r="D379" s="697"/>
      <c r="E379" s="698"/>
      <c r="F379" s="417"/>
      <c r="G379" s="417"/>
      <c r="H379" s="417"/>
    </row>
    <row r="380" spans="1:8" ht="14.4" thickBot="1">
      <c r="A380" s="706" t="s">
        <v>4091</v>
      </c>
      <c r="B380" s="707"/>
      <c r="C380" s="707"/>
      <c r="D380" s="707"/>
      <c r="E380" s="707"/>
      <c r="F380" s="707"/>
      <c r="G380" s="707"/>
      <c r="H380" s="708"/>
    </row>
    <row r="381" spans="1:8" ht="14.4" thickBot="1">
      <c r="A381" s="416">
        <v>1</v>
      </c>
      <c r="B381" s="417"/>
      <c r="C381" s="705"/>
      <c r="D381" s="698"/>
      <c r="E381" s="705"/>
      <c r="F381" s="698"/>
      <c r="G381" s="420"/>
      <c r="H381" s="420"/>
    </row>
    <row r="382" spans="1:8" ht="14.4">
      <c r="A382" s="430"/>
      <c r="B382" s="431"/>
      <c r="C382" s="431"/>
      <c r="D382" s="431"/>
      <c r="E382" s="431"/>
      <c r="F382" s="431"/>
      <c r="G382" s="431"/>
      <c r="H382" s="431"/>
    </row>
    <row r="383" spans="1:8">
      <c r="A383" s="434"/>
    </row>
    <row r="384" spans="1:8" ht="14.4" thickBot="1">
      <c r="A384" s="413" t="s">
        <v>4444</v>
      </c>
    </row>
    <row r="385" spans="1:5" ht="25.8" thickBot="1">
      <c r="A385" s="476" t="s">
        <v>4445</v>
      </c>
      <c r="B385" s="456" t="s">
        <v>4446</v>
      </c>
      <c r="C385" s="456" t="s">
        <v>4447</v>
      </c>
      <c r="D385" s="456" t="s">
        <v>4448</v>
      </c>
      <c r="E385" s="456" t="s">
        <v>4449</v>
      </c>
    </row>
    <row r="386" spans="1:5" ht="25.8" thickBot="1">
      <c r="A386" s="416" t="s">
        <v>4450</v>
      </c>
      <c r="B386" s="417" t="s">
        <v>4451</v>
      </c>
      <c r="C386" s="417" t="s">
        <v>4452</v>
      </c>
      <c r="D386" s="417" t="s">
        <v>4453</v>
      </c>
      <c r="E386" s="417" t="s">
        <v>4454</v>
      </c>
    </row>
    <row r="387" spans="1:5" ht="63.6" thickBot="1">
      <c r="A387" s="477">
        <v>44621</v>
      </c>
      <c r="B387" s="417" t="s">
        <v>4455</v>
      </c>
      <c r="C387" s="417" t="s">
        <v>4456</v>
      </c>
      <c r="D387" s="417" t="s">
        <v>4457</v>
      </c>
      <c r="E387" s="417" t="s">
        <v>4458</v>
      </c>
    </row>
    <row r="388" spans="1:5" ht="38.4" thickBot="1">
      <c r="A388" s="477">
        <v>44621</v>
      </c>
      <c r="B388" s="417" t="s">
        <v>4459</v>
      </c>
      <c r="C388" s="417" t="s">
        <v>4460</v>
      </c>
      <c r="D388" s="417" t="s">
        <v>4461</v>
      </c>
      <c r="E388" s="417" t="s">
        <v>4462</v>
      </c>
    </row>
    <row r="389" spans="1:5" ht="25.8" thickBot="1">
      <c r="A389" s="416" t="s">
        <v>4463</v>
      </c>
      <c r="B389" s="417" t="s">
        <v>4464</v>
      </c>
      <c r="C389" s="417" t="s">
        <v>4465</v>
      </c>
      <c r="D389" s="417" t="s">
        <v>4466</v>
      </c>
      <c r="E389" s="417" t="s">
        <v>4467</v>
      </c>
    </row>
    <row r="390" spans="1:5" ht="51" thickBot="1">
      <c r="A390" s="477">
        <v>44713</v>
      </c>
      <c r="B390" s="417" t="s">
        <v>4468</v>
      </c>
      <c r="C390" s="417" t="s">
        <v>4469</v>
      </c>
      <c r="D390" s="417" t="s">
        <v>4470</v>
      </c>
      <c r="E390" s="417" t="s">
        <v>4471</v>
      </c>
    </row>
    <row r="391" spans="1:5" ht="14.4" thickBot="1">
      <c r="A391" s="477">
        <v>44743</v>
      </c>
      <c r="B391" s="417"/>
      <c r="C391" s="417"/>
      <c r="D391" s="417"/>
      <c r="E391" s="417"/>
    </row>
    <row r="392" spans="1:5" ht="14.4" thickBot="1">
      <c r="A392" s="416"/>
      <c r="B392" s="417"/>
      <c r="C392" s="417"/>
      <c r="D392" s="417"/>
      <c r="E392" s="417"/>
    </row>
    <row r="393" spans="1:5" ht="38.4" thickBot="1">
      <c r="A393" s="416" t="s">
        <v>4472</v>
      </c>
      <c r="B393" s="417" t="s">
        <v>4473</v>
      </c>
      <c r="C393" s="417" t="s">
        <v>4474</v>
      </c>
      <c r="D393" s="417" t="s">
        <v>4475</v>
      </c>
      <c r="E393" s="417" t="s">
        <v>4476</v>
      </c>
    </row>
    <row r="394" spans="1:5" ht="14.4" thickBot="1">
      <c r="A394" s="434" t="s">
        <v>4477</v>
      </c>
    </row>
    <row r="395" spans="1:5">
      <c r="A395" s="723" t="s">
        <v>4478</v>
      </c>
      <c r="B395" s="427"/>
      <c r="C395" s="720" t="s">
        <v>4479</v>
      </c>
      <c r="D395" s="720" t="s">
        <v>4448</v>
      </c>
      <c r="E395" s="720" t="s">
        <v>4449</v>
      </c>
    </row>
    <row r="396" spans="1:5" ht="14.4" thickBot="1">
      <c r="A396" s="724"/>
      <c r="B396" s="417" t="s">
        <v>4480</v>
      </c>
      <c r="C396" s="722"/>
      <c r="D396" s="722"/>
      <c r="E396" s="722"/>
    </row>
    <row r="397" spans="1:5" ht="25.8" thickBot="1">
      <c r="A397" s="477">
        <v>44958</v>
      </c>
      <c r="B397" s="417" t="s">
        <v>4481</v>
      </c>
      <c r="C397" s="417" t="s">
        <v>1243</v>
      </c>
      <c r="D397" s="417" t="s">
        <v>4482</v>
      </c>
      <c r="E397" s="417" t="s">
        <v>4483</v>
      </c>
    </row>
    <row r="398" spans="1:5">
      <c r="A398" s="717">
        <v>44986</v>
      </c>
      <c r="B398" s="720" t="s">
        <v>4484</v>
      </c>
      <c r="C398" s="720" t="s">
        <v>4485</v>
      </c>
      <c r="D398" s="720" t="s">
        <v>4486</v>
      </c>
      <c r="E398" s="720" t="s">
        <v>4487</v>
      </c>
    </row>
    <row r="399" spans="1:5">
      <c r="A399" s="718"/>
      <c r="B399" s="721"/>
      <c r="C399" s="721"/>
      <c r="D399" s="721"/>
      <c r="E399" s="721"/>
    </row>
    <row r="400" spans="1:5" ht="14.4" thickBot="1">
      <c r="A400" s="719"/>
      <c r="B400" s="722"/>
      <c r="C400" s="722"/>
      <c r="D400" s="722"/>
      <c r="E400" s="722"/>
    </row>
    <row r="401" spans="1:9" ht="38.4" thickBot="1">
      <c r="A401" s="477">
        <v>45017</v>
      </c>
      <c r="B401" s="417" t="s">
        <v>4488</v>
      </c>
      <c r="C401" s="417" t="s">
        <v>4489</v>
      </c>
      <c r="D401" s="417" t="s">
        <v>4475</v>
      </c>
      <c r="E401" s="417" t="s">
        <v>4490</v>
      </c>
    </row>
    <row r="402" spans="1:9" ht="38.4" thickBot="1">
      <c r="A402" s="477">
        <v>44927</v>
      </c>
      <c r="B402" s="417" t="s">
        <v>4469</v>
      </c>
      <c r="C402" s="417"/>
      <c r="D402" s="417" t="s">
        <v>4491</v>
      </c>
      <c r="E402" s="417" t="s">
        <v>4492</v>
      </c>
    </row>
    <row r="403" spans="1:9" ht="38.4" thickBot="1">
      <c r="A403" s="477">
        <v>45078</v>
      </c>
      <c r="B403" s="417" t="s">
        <v>4493</v>
      </c>
      <c r="C403" s="417"/>
      <c r="D403" s="417" t="s">
        <v>4486</v>
      </c>
      <c r="E403" s="417" t="s">
        <v>4494</v>
      </c>
    </row>
    <row r="404" spans="1:9" ht="38.4" thickBot="1">
      <c r="A404" s="416" t="s">
        <v>4495</v>
      </c>
      <c r="B404" s="417" t="s">
        <v>4496</v>
      </c>
      <c r="C404" s="417" t="s">
        <v>4497</v>
      </c>
      <c r="D404" s="417" t="s">
        <v>4498</v>
      </c>
      <c r="E404" s="417" t="s">
        <v>4499</v>
      </c>
    </row>
    <row r="405" spans="1:9">
      <c r="A405" s="421"/>
    </row>
    <row r="406" spans="1:9" ht="14.4" thickBot="1">
      <c r="A406" s="413" t="s">
        <v>4500</v>
      </c>
    </row>
    <row r="407" spans="1:9" ht="14.4" thickBot="1">
      <c r="A407" s="448"/>
      <c r="B407" s="711" t="s">
        <v>4058</v>
      </c>
      <c r="C407" s="712"/>
      <c r="D407" s="712"/>
      <c r="E407" s="712"/>
      <c r="F407" s="712"/>
      <c r="G407" s="712"/>
      <c r="H407" s="712"/>
      <c r="I407" s="713"/>
    </row>
    <row r="408" spans="1:9" ht="22.95" customHeight="1" thickBot="1">
      <c r="A408" s="414" t="s">
        <v>4095</v>
      </c>
      <c r="B408" s="714" t="s">
        <v>4060</v>
      </c>
      <c r="C408" s="715"/>
      <c r="D408" s="415" t="s">
        <v>4061</v>
      </c>
      <c r="E408" s="714" t="s">
        <v>4062</v>
      </c>
      <c r="F408" s="715"/>
      <c r="G408" s="714" t="s">
        <v>4063</v>
      </c>
      <c r="H408" s="715"/>
      <c r="I408" s="415" t="s">
        <v>4059</v>
      </c>
    </row>
    <row r="409" spans="1:9" ht="14.4" thickBot="1">
      <c r="A409" s="454">
        <v>1</v>
      </c>
      <c r="B409" s="709"/>
      <c r="C409" s="710"/>
      <c r="D409" s="417"/>
      <c r="E409" s="705"/>
      <c r="F409" s="698"/>
      <c r="G409" s="699"/>
      <c r="H409" s="701"/>
      <c r="I409" s="417"/>
    </row>
    <row r="410" spans="1:9" ht="14.4" thickBot="1">
      <c r="A410" s="706" t="s">
        <v>4089</v>
      </c>
      <c r="B410" s="707"/>
      <c r="C410" s="707"/>
      <c r="D410" s="707"/>
      <c r="E410" s="707"/>
      <c r="F410" s="707"/>
      <c r="G410" s="707"/>
      <c r="H410" s="707"/>
      <c r="I410" s="708"/>
    </row>
    <row r="411" spans="1:9" ht="14.4" thickBot="1">
      <c r="A411" s="416">
        <v>1</v>
      </c>
      <c r="B411" s="709"/>
      <c r="C411" s="710"/>
      <c r="D411" s="417"/>
      <c r="E411" s="417"/>
      <c r="F411" s="699"/>
      <c r="G411" s="701"/>
      <c r="H411" s="705"/>
      <c r="I411" s="698"/>
    </row>
    <row r="412" spans="1:9" ht="14.4" thickBot="1">
      <c r="A412" s="706" t="s">
        <v>4106</v>
      </c>
      <c r="B412" s="707"/>
      <c r="C412" s="707"/>
      <c r="D412" s="707"/>
      <c r="E412" s="707"/>
      <c r="F412" s="707"/>
      <c r="G412" s="707"/>
      <c r="H412" s="707"/>
      <c r="I412" s="708"/>
    </row>
    <row r="413" spans="1:9" ht="14.4" thickBot="1">
      <c r="A413" s="416">
        <v>1</v>
      </c>
      <c r="B413" s="705"/>
      <c r="C413" s="698"/>
      <c r="D413" s="417"/>
      <c r="E413" s="417"/>
      <c r="F413" s="705"/>
      <c r="G413" s="697"/>
      <c r="H413" s="698"/>
      <c r="I413" s="417"/>
    </row>
    <row r="414" spans="1:9" ht="14.4" thickBot="1">
      <c r="A414" s="706" t="s">
        <v>4107</v>
      </c>
      <c r="B414" s="707"/>
      <c r="C414" s="707"/>
      <c r="D414" s="707"/>
      <c r="E414" s="707"/>
      <c r="F414" s="707"/>
      <c r="G414" s="707"/>
      <c r="H414" s="707"/>
      <c r="I414" s="708"/>
    </row>
    <row r="415" spans="1:9" ht="51" thickBot="1">
      <c r="A415" s="416">
        <v>1</v>
      </c>
      <c r="B415" s="455" t="s">
        <v>4501</v>
      </c>
      <c r="C415" s="705" t="s">
        <v>4502</v>
      </c>
      <c r="D415" s="698"/>
      <c r="E415" s="417" t="s">
        <v>4503</v>
      </c>
      <c r="F415" s="702">
        <v>0</v>
      </c>
      <c r="G415" s="703"/>
      <c r="H415" s="704"/>
      <c r="I415" s="417"/>
    </row>
    <row r="416" spans="1:9" ht="38.4" thickBot="1">
      <c r="A416" s="416">
        <v>2</v>
      </c>
      <c r="B416" s="417" t="s">
        <v>4504</v>
      </c>
      <c r="C416" s="705" t="s">
        <v>4505</v>
      </c>
      <c r="D416" s="698"/>
      <c r="E416" s="417" t="s">
        <v>4506</v>
      </c>
      <c r="F416" s="702">
        <v>0</v>
      </c>
      <c r="G416" s="703"/>
      <c r="H416" s="704"/>
      <c r="I416" s="417"/>
    </row>
    <row r="417" spans="1:10" ht="63.6" thickBot="1">
      <c r="A417" s="416">
        <v>3</v>
      </c>
      <c r="B417" s="417" t="s">
        <v>4507</v>
      </c>
      <c r="C417" s="705" t="s">
        <v>4508</v>
      </c>
      <c r="D417" s="698"/>
      <c r="E417" s="417" t="s">
        <v>4509</v>
      </c>
      <c r="F417" s="702">
        <v>0</v>
      </c>
      <c r="G417" s="703"/>
      <c r="H417" s="704"/>
      <c r="I417" s="417"/>
    </row>
    <row r="418" spans="1:10" ht="25.8" thickBot="1">
      <c r="A418" s="416">
        <v>4</v>
      </c>
      <c r="B418" s="455" t="s">
        <v>4510</v>
      </c>
      <c r="C418" s="705" t="s">
        <v>4511</v>
      </c>
      <c r="D418" s="698"/>
      <c r="E418" s="478">
        <v>44348</v>
      </c>
      <c r="F418" s="702">
        <v>0</v>
      </c>
      <c r="G418" s="703"/>
      <c r="H418" s="704"/>
      <c r="I418" s="417"/>
    </row>
    <row r="419" spans="1:10" ht="25.8" thickBot="1">
      <c r="A419" s="416">
        <v>5</v>
      </c>
      <c r="B419" s="445" t="s">
        <v>4512</v>
      </c>
      <c r="C419" s="697" t="s">
        <v>4513</v>
      </c>
      <c r="D419" s="698"/>
      <c r="E419" s="417" t="s">
        <v>4514</v>
      </c>
      <c r="F419" s="702">
        <v>0</v>
      </c>
      <c r="G419" s="703"/>
      <c r="H419" s="704"/>
      <c r="I419" s="417"/>
    </row>
    <row r="420" spans="1:10" ht="25.8" thickBot="1">
      <c r="A420" s="416">
        <v>6</v>
      </c>
      <c r="B420" s="445" t="s">
        <v>4515</v>
      </c>
      <c r="C420" s="697" t="s">
        <v>4516</v>
      </c>
      <c r="D420" s="698"/>
      <c r="E420" s="417" t="s">
        <v>4517</v>
      </c>
      <c r="F420" s="702">
        <v>0</v>
      </c>
      <c r="G420" s="703"/>
      <c r="H420" s="704"/>
      <c r="I420" s="417"/>
    </row>
    <row r="421" spans="1:10" ht="14.4">
      <c r="A421" s="430"/>
      <c r="B421" s="431"/>
      <c r="C421" s="431"/>
      <c r="D421" s="431"/>
      <c r="E421" s="431"/>
      <c r="F421" s="431"/>
      <c r="G421" s="431"/>
      <c r="H421" s="431"/>
      <c r="I421" s="431"/>
    </row>
    <row r="422" spans="1:10">
      <c r="A422" s="434"/>
    </row>
    <row r="423" spans="1:10" ht="14.4" thickBot="1">
      <c r="A423" s="434"/>
    </row>
    <row r="424" spans="1:10" ht="14.4" thickBot="1">
      <c r="A424" s="448"/>
      <c r="B424" s="711" t="s">
        <v>4058</v>
      </c>
      <c r="C424" s="712"/>
      <c r="D424" s="712"/>
      <c r="E424" s="712"/>
      <c r="F424" s="712"/>
      <c r="G424" s="712"/>
      <c r="H424" s="712"/>
      <c r="I424" s="712"/>
      <c r="J424" s="713"/>
    </row>
    <row r="425" spans="1:10" ht="22.95" customHeight="1" thickBot="1">
      <c r="A425" s="414" t="s">
        <v>4095</v>
      </c>
      <c r="B425" s="714" t="s">
        <v>4060</v>
      </c>
      <c r="C425" s="715"/>
      <c r="D425" s="415" t="s">
        <v>4061</v>
      </c>
      <c r="E425" s="714" t="s">
        <v>4062</v>
      </c>
      <c r="F425" s="716"/>
      <c r="G425" s="715"/>
      <c r="H425" s="714" t="s">
        <v>4518</v>
      </c>
      <c r="I425" s="715"/>
      <c r="J425" s="415" t="s">
        <v>4059</v>
      </c>
    </row>
    <row r="426" spans="1:10" ht="14.4" thickBot="1">
      <c r="A426" s="454">
        <v>1</v>
      </c>
      <c r="B426" s="709"/>
      <c r="C426" s="710"/>
      <c r="D426" s="417"/>
      <c r="E426" s="705"/>
      <c r="F426" s="697"/>
      <c r="G426" s="698"/>
      <c r="H426" s="699"/>
      <c r="I426" s="701"/>
      <c r="J426" s="417"/>
    </row>
    <row r="427" spans="1:10" ht="14.4" thickBot="1">
      <c r="A427" s="706" t="s">
        <v>4089</v>
      </c>
      <c r="B427" s="707"/>
      <c r="C427" s="707"/>
      <c r="D427" s="707"/>
      <c r="E427" s="707"/>
      <c r="F427" s="707"/>
      <c r="G427" s="707"/>
      <c r="H427" s="707"/>
      <c r="I427" s="707"/>
      <c r="J427" s="708"/>
    </row>
    <row r="428" spans="1:10" ht="14.4" thickBot="1">
      <c r="A428" s="416">
        <v>1</v>
      </c>
      <c r="B428" s="709"/>
      <c r="C428" s="710"/>
      <c r="D428" s="417"/>
      <c r="E428" s="705"/>
      <c r="F428" s="698"/>
      <c r="G428" s="699"/>
      <c r="H428" s="701"/>
      <c r="I428" s="705"/>
      <c r="J428" s="698"/>
    </row>
    <row r="429" spans="1:10" ht="14.4" thickBot="1">
      <c r="A429" s="706" t="s">
        <v>4106</v>
      </c>
      <c r="B429" s="707"/>
      <c r="C429" s="707"/>
      <c r="D429" s="707"/>
      <c r="E429" s="707"/>
      <c r="F429" s="707"/>
      <c r="G429" s="707"/>
      <c r="H429" s="707"/>
      <c r="I429" s="707"/>
      <c r="J429" s="708"/>
    </row>
    <row r="430" spans="1:10" ht="14.4" thickBot="1">
      <c r="A430" s="416">
        <v>1</v>
      </c>
      <c r="B430" s="705"/>
      <c r="C430" s="698"/>
      <c r="D430" s="417"/>
      <c r="E430" s="705"/>
      <c r="F430" s="698"/>
      <c r="G430" s="705"/>
      <c r="H430" s="697"/>
      <c r="I430" s="698"/>
      <c r="J430" s="417"/>
    </row>
    <row r="431" spans="1:10" ht="14.4" thickBot="1">
      <c r="A431" s="706" t="s">
        <v>4107</v>
      </c>
      <c r="B431" s="707"/>
      <c r="C431" s="707"/>
      <c r="D431" s="707"/>
      <c r="E431" s="707"/>
      <c r="F431" s="707"/>
      <c r="G431" s="707"/>
      <c r="H431" s="707"/>
      <c r="I431" s="707"/>
      <c r="J431" s="708"/>
    </row>
    <row r="432" spans="1:10" ht="25.8" thickBot="1">
      <c r="A432" s="416">
        <v>1</v>
      </c>
      <c r="B432" s="455" t="s">
        <v>4519</v>
      </c>
      <c r="C432" s="705" t="s">
        <v>4520</v>
      </c>
      <c r="D432" s="697"/>
      <c r="E432" s="698"/>
      <c r="F432" s="417" t="s">
        <v>4503</v>
      </c>
      <c r="G432" s="702">
        <v>0</v>
      </c>
      <c r="H432" s="703"/>
      <c r="I432" s="704"/>
      <c r="J432" s="417"/>
    </row>
    <row r="433" spans="1:10" ht="25.8" thickBot="1">
      <c r="A433" s="416">
        <v>2</v>
      </c>
      <c r="B433" s="417" t="s">
        <v>4521</v>
      </c>
      <c r="C433" s="705" t="s">
        <v>4522</v>
      </c>
      <c r="D433" s="697"/>
      <c r="E433" s="698"/>
      <c r="F433" s="417" t="s">
        <v>4523</v>
      </c>
      <c r="G433" s="702">
        <v>0</v>
      </c>
      <c r="H433" s="703"/>
      <c r="I433" s="704"/>
      <c r="J433" s="417"/>
    </row>
    <row r="434" spans="1:10" ht="25.8" thickBot="1">
      <c r="A434" s="416">
        <v>3</v>
      </c>
      <c r="B434" s="417" t="s">
        <v>4524</v>
      </c>
      <c r="C434" s="705" t="s">
        <v>4525</v>
      </c>
      <c r="D434" s="697"/>
      <c r="E434" s="698"/>
      <c r="F434" s="417" t="s">
        <v>4526</v>
      </c>
      <c r="G434" s="702">
        <v>0</v>
      </c>
      <c r="H434" s="703"/>
      <c r="I434" s="704"/>
      <c r="J434" s="417"/>
    </row>
    <row r="435" spans="1:10" ht="38.4" thickBot="1">
      <c r="A435" s="416">
        <v>4</v>
      </c>
      <c r="B435" s="455" t="s">
        <v>4527</v>
      </c>
      <c r="C435" s="705" t="s">
        <v>4528</v>
      </c>
      <c r="D435" s="697"/>
      <c r="E435" s="698"/>
      <c r="F435" s="417"/>
      <c r="G435" s="702">
        <v>0</v>
      </c>
      <c r="H435" s="703"/>
      <c r="I435" s="704"/>
      <c r="J435" s="417"/>
    </row>
    <row r="436" spans="1:10" ht="25.8" thickBot="1">
      <c r="A436" s="416" t="s">
        <v>4529</v>
      </c>
      <c r="B436" s="445" t="s">
        <v>4530</v>
      </c>
      <c r="C436" s="697" t="s">
        <v>4531</v>
      </c>
      <c r="D436" s="697"/>
      <c r="E436" s="698"/>
      <c r="F436" s="417" t="s">
        <v>4532</v>
      </c>
      <c r="G436" s="702">
        <v>0</v>
      </c>
      <c r="H436" s="703"/>
      <c r="I436" s="704"/>
      <c r="J436" s="417"/>
    </row>
    <row r="437" spans="1:10" ht="25.8" thickBot="1">
      <c r="A437" s="416">
        <v>6</v>
      </c>
      <c r="B437" s="445" t="s">
        <v>4533</v>
      </c>
      <c r="C437" s="697" t="s">
        <v>4534</v>
      </c>
      <c r="D437" s="697"/>
      <c r="E437" s="698"/>
      <c r="F437" s="417" t="s">
        <v>4535</v>
      </c>
      <c r="G437" s="699"/>
      <c r="H437" s="700"/>
      <c r="I437" s="701"/>
      <c r="J437" s="417"/>
    </row>
    <row r="438" spans="1:10" ht="25.8" thickBot="1">
      <c r="A438" s="416">
        <v>7</v>
      </c>
      <c r="B438" s="445" t="s">
        <v>4536</v>
      </c>
      <c r="C438" s="697" t="s">
        <v>4537</v>
      </c>
      <c r="D438" s="697"/>
      <c r="E438" s="698"/>
      <c r="F438" s="417" t="s">
        <v>4535</v>
      </c>
      <c r="G438" s="699"/>
      <c r="H438" s="700"/>
      <c r="I438" s="701"/>
      <c r="J438" s="417"/>
    </row>
    <row r="439" spans="1:10" ht="25.8" thickBot="1">
      <c r="A439" s="416">
        <v>8</v>
      </c>
      <c r="B439" s="445" t="s">
        <v>4538</v>
      </c>
      <c r="C439" s="697" t="s">
        <v>4539</v>
      </c>
      <c r="D439" s="697"/>
      <c r="E439" s="698"/>
      <c r="F439" s="417" t="s">
        <v>4540</v>
      </c>
      <c r="G439" s="699"/>
      <c r="H439" s="700"/>
      <c r="I439" s="701"/>
      <c r="J439" s="417"/>
    </row>
    <row r="440" spans="1:10" ht="38.4" thickBot="1">
      <c r="A440" s="416">
        <v>9</v>
      </c>
      <c r="B440" s="445" t="s">
        <v>4541</v>
      </c>
      <c r="C440" s="697" t="s">
        <v>4542</v>
      </c>
      <c r="D440" s="697"/>
      <c r="E440" s="698"/>
      <c r="F440" s="417" t="s">
        <v>4543</v>
      </c>
      <c r="G440" s="699"/>
      <c r="H440" s="700"/>
      <c r="I440" s="701"/>
      <c r="J440" s="417"/>
    </row>
    <row r="441" spans="1:10" ht="25.8" thickBot="1">
      <c r="A441" s="416">
        <v>10</v>
      </c>
      <c r="B441" s="445" t="s">
        <v>4544</v>
      </c>
      <c r="C441" s="697" t="s">
        <v>4545</v>
      </c>
      <c r="D441" s="697"/>
      <c r="E441" s="698"/>
      <c r="F441" s="478">
        <v>45809</v>
      </c>
      <c r="G441" s="702">
        <v>0</v>
      </c>
      <c r="H441" s="703"/>
      <c r="I441" s="704"/>
      <c r="J441" s="417"/>
    </row>
    <row r="442" spans="1:10" ht="38.4" thickBot="1">
      <c r="A442" s="416">
        <v>11</v>
      </c>
      <c r="B442" s="445" t="s">
        <v>4546</v>
      </c>
      <c r="C442" s="697" t="s">
        <v>4547</v>
      </c>
      <c r="D442" s="697"/>
      <c r="E442" s="698"/>
      <c r="F442" s="417" t="s">
        <v>4548</v>
      </c>
      <c r="G442" s="699"/>
      <c r="H442" s="700"/>
      <c r="I442" s="701"/>
      <c r="J442" s="417"/>
    </row>
    <row r="443" spans="1:10" ht="25.8" thickBot="1">
      <c r="A443" s="416">
        <v>12</v>
      </c>
      <c r="B443" s="445" t="s">
        <v>4549</v>
      </c>
      <c r="C443" s="697" t="s">
        <v>4550</v>
      </c>
      <c r="D443" s="697"/>
      <c r="E443" s="698"/>
      <c r="F443" s="417" t="s">
        <v>4551</v>
      </c>
      <c r="G443" s="699"/>
      <c r="H443" s="700"/>
      <c r="I443" s="701"/>
      <c r="J443" s="417"/>
    </row>
    <row r="444" spans="1:10" ht="25.8" thickBot="1">
      <c r="A444" s="416">
        <v>13</v>
      </c>
      <c r="B444" s="445" t="s">
        <v>4552</v>
      </c>
      <c r="C444" s="697" t="s">
        <v>4553</v>
      </c>
      <c r="D444" s="697"/>
      <c r="E444" s="698"/>
      <c r="F444" s="417"/>
      <c r="G444" s="699"/>
      <c r="H444" s="700"/>
      <c r="I444" s="701"/>
      <c r="J444" s="417"/>
    </row>
    <row r="445" spans="1:10" ht="25.8" thickBot="1">
      <c r="A445" s="416">
        <v>14</v>
      </c>
      <c r="B445" s="445" t="s">
        <v>4554</v>
      </c>
      <c r="C445" s="697">
        <v>537006.20250000001</v>
      </c>
      <c r="D445" s="697"/>
      <c r="E445" s="698"/>
      <c r="F445" s="417" t="s">
        <v>4555</v>
      </c>
      <c r="G445" s="699"/>
      <c r="H445" s="700"/>
      <c r="I445" s="701"/>
      <c r="J445" s="417"/>
    </row>
    <row r="446" spans="1:10" ht="38.4" thickBot="1">
      <c r="A446" s="416">
        <v>15</v>
      </c>
      <c r="B446" s="445" t="s">
        <v>4556</v>
      </c>
      <c r="C446" s="697" t="s">
        <v>4557</v>
      </c>
      <c r="D446" s="697"/>
      <c r="E446" s="698"/>
      <c r="F446" s="417" t="s">
        <v>4558</v>
      </c>
      <c r="G446" s="699"/>
      <c r="H446" s="700"/>
      <c r="I446" s="701"/>
      <c r="J446" s="417"/>
    </row>
    <row r="447" spans="1:10" ht="38.4" thickBot="1">
      <c r="A447" s="416">
        <v>16</v>
      </c>
      <c r="B447" s="445" t="s">
        <v>4559</v>
      </c>
      <c r="C447" s="697" t="s">
        <v>4560</v>
      </c>
      <c r="D447" s="697"/>
      <c r="E447" s="698"/>
      <c r="F447" s="417" t="s">
        <v>4561</v>
      </c>
      <c r="G447" s="699"/>
      <c r="H447" s="700"/>
      <c r="I447" s="701"/>
      <c r="J447" s="417"/>
    </row>
    <row r="448" spans="1:10" ht="14.4" thickBot="1">
      <c r="A448" s="416">
        <v>17</v>
      </c>
      <c r="B448" s="445" t="s">
        <v>4562</v>
      </c>
      <c r="C448" s="697" t="s">
        <v>4563</v>
      </c>
      <c r="D448" s="697"/>
      <c r="E448" s="698"/>
      <c r="F448" s="417" t="s">
        <v>4564</v>
      </c>
      <c r="G448" s="699"/>
      <c r="H448" s="700"/>
      <c r="I448" s="701"/>
      <c r="J448" s="417"/>
    </row>
    <row r="449" spans="1:10" ht="25.8" thickBot="1">
      <c r="A449" s="416">
        <v>18</v>
      </c>
      <c r="B449" s="445" t="s">
        <v>4565</v>
      </c>
      <c r="C449" s="697">
        <v>332494.554</v>
      </c>
      <c r="D449" s="697"/>
      <c r="E449" s="698"/>
      <c r="F449" s="417" t="s">
        <v>4566</v>
      </c>
      <c r="G449" s="699"/>
      <c r="H449" s="700"/>
      <c r="I449" s="701"/>
      <c r="J449" s="417"/>
    </row>
    <row r="450" spans="1:10" ht="25.8" thickBot="1">
      <c r="A450" s="416">
        <v>19</v>
      </c>
      <c r="B450" s="445" t="s">
        <v>4567</v>
      </c>
      <c r="C450" s="697" t="s">
        <v>4568</v>
      </c>
      <c r="D450" s="697"/>
      <c r="E450" s="698"/>
      <c r="F450" s="417" t="s">
        <v>4569</v>
      </c>
      <c r="G450" s="699"/>
      <c r="H450" s="700"/>
      <c r="I450" s="701"/>
      <c r="J450" s="417"/>
    </row>
    <row r="451" spans="1:10" ht="25.8" thickBot="1">
      <c r="A451" s="416">
        <v>20</v>
      </c>
      <c r="B451" s="445" t="s">
        <v>4570</v>
      </c>
      <c r="C451" s="697" t="s">
        <v>4571</v>
      </c>
      <c r="D451" s="697"/>
      <c r="E451" s="698"/>
      <c r="F451" s="417" t="s">
        <v>4572</v>
      </c>
      <c r="G451" s="699"/>
      <c r="H451" s="700"/>
      <c r="I451" s="701"/>
      <c r="J451" s="417"/>
    </row>
    <row r="452" spans="1:10" ht="25.8" thickBot="1">
      <c r="A452" s="416">
        <v>21</v>
      </c>
      <c r="B452" s="445" t="s">
        <v>4573</v>
      </c>
      <c r="C452" s="697" t="s">
        <v>4574</v>
      </c>
      <c r="D452" s="697"/>
      <c r="E452" s="698"/>
      <c r="F452" s="417" t="s">
        <v>4575</v>
      </c>
      <c r="G452" s="699"/>
      <c r="H452" s="700"/>
      <c r="I452" s="701"/>
      <c r="J452" s="417"/>
    </row>
    <row r="453" spans="1:10" ht="38.4" thickBot="1">
      <c r="A453" s="416">
        <v>22</v>
      </c>
      <c r="B453" s="445" t="s">
        <v>4576</v>
      </c>
      <c r="C453" s="697" t="s">
        <v>4577</v>
      </c>
      <c r="D453" s="697"/>
      <c r="E453" s="698"/>
      <c r="F453" s="478">
        <v>45078</v>
      </c>
      <c r="G453" s="699"/>
      <c r="H453" s="700"/>
      <c r="I453" s="701"/>
      <c r="J453" s="417"/>
    </row>
    <row r="454" spans="1:10" ht="25.8" thickBot="1">
      <c r="A454" s="416">
        <v>23</v>
      </c>
      <c r="B454" s="445" t="s">
        <v>4578</v>
      </c>
      <c r="C454" s="697">
        <v>213474.34</v>
      </c>
      <c r="D454" s="697"/>
      <c r="E454" s="698"/>
      <c r="F454" s="417" t="s">
        <v>4579</v>
      </c>
      <c r="G454" s="699"/>
      <c r="H454" s="700"/>
      <c r="I454" s="701"/>
      <c r="J454" s="417"/>
    </row>
    <row r="455" spans="1:10" ht="25.8" thickBot="1">
      <c r="A455" s="416">
        <v>24</v>
      </c>
      <c r="B455" s="445" t="s">
        <v>4580</v>
      </c>
      <c r="C455" s="697" t="s">
        <v>4581</v>
      </c>
      <c r="D455" s="697"/>
      <c r="E455" s="698"/>
      <c r="F455" s="478">
        <v>45108</v>
      </c>
      <c r="G455" s="699"/>
      <c r="H455" s="700"/>
      <c r="I455" s="701"/>
      <c r="J455" s="417"/>
    </row>
    <row r="456" spans="1:10" ht="25.8" thickBot="1">
      <c r="A456" s="416">
        <v>25</v>
      </c>
      <c r="B456" s="445" t="s">
        <v>4582</v>
      </c>
      <c r="C456" s="697" t="s">
        <v>4583</v>
      </c>
      <c r="D456" s="697"/>
      <c r="E456" s="698"/>
      <c r="F456" s="417" t="s">
        <v>4584</v>
      </c>
      <c r="G456" s="699"/>
      <c r="H456" s="700"/>
      <c r="I456" s="701"/>
      <c r="J456" s="417"/>
    </row>
    <row r="457" spans="1:10" ht="25.8" thickBot="1">
      <c r="A457" s="416">
        <v>26</v>
      </c>
      <c r="B457" s="445" t="s">
        <v>4585</v>
      </c>
      <c r="C457" s="697" t="s">
        <v>4586</v>
      </c>
      <c r="D457" s="697"/>
      <c r="E457" s="698"/>
      <c r="F457" s="417" t="s">
        <v>4587</v>
      </c>
      <c r="G457" s="699"/>
      <c r="H457" s="700"/>
      <c r="I457" s="701"/>
      <c r="J457" s="417"/>
    </row>
    <row r="458" spans="1:10" ht="14.4" thickBot="1">
      <c r="A458" s="416"/>
      <c r="B458" s="445"/>
      <c r="C458" s="697"/>
      <c r="D458" s="697"/>
      <c r="E458" s="698"/>
      <c r="F458" s="417"/>
      <c r="G458" s="699"/>
      <c r="H458" s="700"/>
      <c r="I458" s="701"/>
      <c r="J458" s="417"/>
    </row>
    <row r="459" spans="1:10" ht="25.8" thickBot="1">
      <c r="A459" s="416">
        <v>27</v>
      </c>
      <c r="B459" s="445" t="s">
        <v>4588</v>
      </c>
      <c r="C459" s="697" t="s">
        <v>4589</v>
      </c>
      <c r="D459" s="697"/>
      <c r="E459" s="698"/>
      <c r="F459" s="417" t="s">
        <v>4590</v>
      </c>
      <c r="G459" s="699"/>
      <c r="H459" s="700"/>
      <c r="I459" s="701"/>
      <c r="J459" s="417"/>
    </row>
    <row r="460" spans="1:10" ht="25.8" thickBot="1">
      <c r="A460" s="416">
        <v>28</v>
      </c>
      <c r="B460" s="445" t="s">
        <v>4591</v>
      </c>
      <c r="C460" s="697" t="s">
        <v>4592</v>
      </c>
      <c r="D460" s="697"/>
      <c r="E460" s="698"/>
      <c r="F460" s="417" t="s">
        <v>4593</v>
      </c>
      <c r="G460" s="699"/>
      <c r="H460" s="700"/>
      <c r="I460" s="701"/>
      <c r="J460" s="417"/>
    </row>
    <row r="461" spans="1:10" ht="25.8" thickBot="1">
      <c r="A461" s="416">
        <v>29</v>
      </c>
      <c r="B461" s="445" t="s">
        <v>4594</v>
      </c>
      <c r="C461" s="697" t="s">
        <v>4595</v>
      </c>
      <c r="D461" s="697"/>
      <c r="E461" s="698"/>
      <c r="F461" s="417" t="s">
        <v>4596</v>
      </c>
      <c r="G461" s="699"/>
      <c r="H461" s="700"/>
      <c r="I461" s="701"/>
      <c r="J461" s="417"/>
    </row>
    <row r="462" spans="1:10" ht="38.4" thickBot="1">
      <c r="A462" s="416">
        <v>30</v>
      </c>
      <c r="B462" s="445" t="s">
        <v>4597</v>
      </c>
      <c r="C462" s="697">
        <v>155580</v>
      </c>
      <c r="D462" s="697"/>
      <c r="E462" s="698"/>
      <c r="F462" s="478">
        <v>45748</v>
      </c>
      <c r="G462" s="699"/>
      <c r="H462" s="700"/>
      <c r="I462" s="701"/>
      <c r="J462" s="417"/>
    </row>
    <row r="463" spans="1:10" ht="51" thickBot="1">
      <c r="A463" s="416">
        <v>31</v>
      </c>
      <c r="B463" s="445" t="s">
        <v>4598</v>
      </c>
      <c r="C463" s="697" t="s">
        <v>4599</v>
      </c>
      <c r="D463" s="697"/>
      <c r="E463" s="698"/>
      <c r="F463" s="417" t="s">
        <v>4600</v>
      </c>
      <c r="G463" s="699"/>
      <c r="H463" s="700"/>
      <c r="I463" s="701"/>
      <c r="J463" s="417"/>
    </row>
    <row r="464" spans="1:10" ht="25.8" thickBot="1">
      <c r="A464" s="416">
        <v>32</v>
      </c>
      <c r="B464" s="445" t="s">
        <v>4601</v>
      </c>
      <c r="C464" s="697" t="s">
        <v>4602</v>
      </c>
      <c r="D464" s="697"/>
      <c r="E464" s="698"/>
      <c r="F464" s="417" t="s">
        <v>4603</v>
      </c>
      <c r="G464" s="699"/>
      <c r="H464" s="700"/>
      <c r="I464" s="701"/>
      <c r="J464" s="417"/>
    </row>
    <row r="465" spans="1:10" ht="25.8" thickBot="1">
      <c r="A465" s="416">
        <v>33</v>
      </c>
      <c r="B465" s="445" t="s">
        <v>4604</v>
      </c>
      <c r="C465" s="697" t="s">
        <v>4605</v>
      </c>
      <c r="D465" s="697"/>
      <c r="E465" s="698"/>
      <c r="F465" s="478">
        <v>45017</v>
      </c>
      <c r="G465" s="699"/>
      <c r="H465" s="700"/>
      <c r="I465" s="701"/>
      <c r="J465" s="417"/>
    </row>
    <row r="466" spans="1:10" ht="25.8" thickBot="1">
      <c r="A466" s="416">
        <v>34</v>
      </c>
      <c r="B466" s="445" t="s">
        <v>4606</v>
      </c>
      <c r="C466" s="697" t="s">
        <v>4607</v>
      </c>
      <c r="D466" s="697"/>
      <c r="E466" s="698"/>
      <c r="F466" s="417" t="s">
        <v>4608</v>
      </c>
      <c r="G466" s="699"/>
      <c r="H466" s="700"/>
      <c r="I466" s="701"/>
      <c r="J466" s="417"/>
    </row>
    <row r="467" spans="1:10" ht="25.8" thickBot="1">
      <c r="A467" s="416">
        <v>35</v>
      </c>
      <c r="B467" s="445" t="s">
        <v>4609</v>
      </c>
      <c r="C467" s="697" t="s">
        <v>4610</v>
      </c>
      <c r="D467" s="697"/>
      <c r="E467" s="698"/>
      <c r="F467" s="417" t="s">
        <v>4611</v>
      </c>
      <c r="G467" s="699"/>
      <c r="H467" s="700"/>
      <c r="I467" s="701"/>
      <c r="J467" s="417"/>
    </row>
    <row r="468" spans="1:10" ht="25.8" thickBot="1">
      <c r="A468" s="416">
        <v>36</v>
      </c>
      <c r="B468" s="445" t="s">
        <v>4612</v>
      </c>
      <c r="C468" s="697" t="s">
        <v>4613</v>
      </c>
      <c r="D468" s="697"/>
      <c r="E468" s="698"/>
      <c r="F468" s="417" t="s">
        <v>4614</v>
      </c>
      <c r="G468" s="699"/>
      <c r="H468" s="700"/>
      <c r="I468" s="701"/>
      <c r="J468" s="417"/>
    </row>
    <row r="469" spans="1:10" ht="25.8" thickBot="1">
      <c r="A469" s="416">
        <v>37</v>
      </c>
      <c r="B469" s="445" t="s">
        <v>4615</v>
      </c>
      <c r="C469" s="697">
        <v>249066.5</v>
      </c>
      <c r="D469" s="697"/>
      <c r="E469" s="698"/>
      <c r="F469" s="417" t="s">
        <v>4616</v>
      </c>
      <c r="G469" s="699"/>
      <c r="H469" s="700"/>
      <c r="I469" s="701"/>
      <c r="J469" s="417"/>
    </row>
    <row r="470" spans="1:10" ht="38.4" thickBot="1">
      <c r="A470" s="416"/>
      <c r="B470" s="445" t="s">
        <v>4617</v>
      </c>
      <c r="C470" s="697">
        <v>576663</v>
      </c>
      <c r="D470" s="697"/>
      <c r="E470" s="698"/>
      <c r="F470" s="417" t="s">
        <v>4618</v>
      </c>
      <c r="G470" s="699"/>
      <c r="H470" s="700"/>
      <c r="I470" s="701"/>
      <c r="J470" s="417"/>
    </row>
    <row r="471" spans="1:10" ht="25.8" thickBot="1">
      <c r="A471" s="416">
        <v>38</v>
      </c>
      <c r="B471" s="445" t="s">
        <v>4619</v>
      </c>
      <c r="C471" s="697" t="s">
        <v>4620</v>
      </c>
      <c r="D471" s="697"/>
      <c r="E471" s="698"/>
      <c r="F471" s="417" t="s">
        <v>4621</v>
      </c>
      <c r="G471" s="699"/>
      <c r="H471" s="700"/>
      <c r="I471" s="701"/>
      <c r="J471" s="417"/>
    </row>
    <row r="472" spans="1:10" ht="25.8" thickBot="1">
      <c r="A472" s="416">
        <v>39</v>
      </c>
      <c r="B472" s="445" t="s">
        <v>4622</v>
      </c>
      <c r="C472" s="697" t="s">
        <v>4623</v>
      </c>
      <c r="D472" s="697"/>
      <c r="E472" s="698"/>
      <c r="F472" s="417" t="s">
        <v>4624</v>
      </c>
      <c r="G472" s="699"/>
      <c r="H472" s="700"/>
      <c r="I472" s="701"/>
      <c r="J472" s="417"/>
    </row>
    <row r="473" spans="1:10" ht="25.8" thickBot="1">
      <c r="A473" s="416">
        <v>40</v>
      </c>
      <c r="B473" s="445" t="s">
        <v>4625</v>
      </c>
      <c r="C473" s="697" t="s">
        <v>4626</v>
      </c>
      <c r="D473" s="697"/>
      <c r="E473" s="698"/>
      <c r="F473" s="417" t="s">
        <v>4627</v>
      </c>
      <c r="G473" s="699"/>
      <c r="H473" s="700"/>
      <c r="I473" s="701"/>
      <c r="J473" s="417"/>
    </row>
    <row r="474" spans="1:10" ht="25.8" thickBot="1">
      <c r="A474" s="416">
        <v>41</v>
      </c>
      <c r="B474" s="445" t="s">
        <v>4628</v>
      </c>
      <c r="C474" s="697">
        <v>174240</v>
      </c>
      <c r="D474" s="697"/>
      <c r="E474" s="698"/>
      <c r="F474" s="417" t="s">
        <v>4629</v>
      </c>
      <c r="G474" s="699"/>
      <c r="H474" s="700"/>
      <c r="I474" s="701"/>
      <c r="J474" s="417"/>
    </row>
    <row r="475" spans="1:10" ht="25.8" thickBot="1">
      <c r="A475" s="416">
        <v>42</v>
      </c>
      <c r="B475" s="445" t="s">
        <v>4328</v>
      </c>
      <c r="C475" s="697">
        <v>215644</v>
      </c>
      <c r="D475" s="697"/>
      <c r="E475" s="698"/>
      <c r="F475" s="417" t="s">
        <v>4624</v>
      </c>
      <c r="G475" s="699"/>
      <c r="H475" s="700"/>
      <c r="I475" s="701"/>
      <c r="J475" s="417"/>
    </row>
    <row r="476" spans="1:10" ht="25.8" thickBot="1">
      <c r="A476" s="416">
        <v>43</v>
      </c>
      <c r="B476" s="445" t="s">
        <v>4630</v>
      </c>
      <c r="C476" s="697">
        <v>205500</v>
      </c>
      <c r="D476" s="697"/>
      <c r="E476" s="698"/>
      <c r="F476" s="417" t="s">
        <v>4631</v>
      </c>
      <c r="G476" s="699"/>
      <c r="H476" s="700"/>
      <c r="I476" s="701"/>
      <c r="J476" s="417"/>
    </row>
    <row r="477" spans="1:10" ht="25.8" thickBot="1">
      <c r="A477" s="416">
        <v>44</v>
      </c>
      <c r="B477" s="445" t="s">
        <v>4632</v>
      </c>
      <c r="C477" s="697">
        <v>204632.4308</v>
      </c>
      <c r="D477" s="697"/>
      <c r="E477" s="698"/>
      <c r="F477" s="417" t="s">
        <v>4633</v>
      </c>
      <c r="G477" s="699"/>
      <c r="H477" s="700"/>
      <c r="I477" s="701"/>
      <c r="J477" s="417"/>
    </row>
    <row r="478" spans="1:10" ht="25.8" thickBot="1">
      <c r="A478" s="416">
        <v>45</v>
      </c>
      <c r="B478" s="445" t="s">
        <v>4634</v>
      </c>
      <c r="C478" s="697">
        <v>520000</v>
      </c>
      <c r="D478" s="697"/>
      <c r="E478" s="698"/>
      <c r="F478" s="417" t="s">
        <v>4635</v>
      </c>
      <c r="G478" s="699"/>
      <c r="H478" s="700"/>
      <c r="I478" s="701"/>
      <c r="J478" s="417"/>
    </row>
    <row r="479" spans="1:10" ht="25.8" thickBot="1">
      <c r="A479" s="416">
        <v>46</v>
      </c>
      <c r="B479" s="445" t="s">
        <v>4636</v>
      </c>
      <c r="C479" s="697">
        <v>855010.68400000001</v>
      </c>
      <c r="D479" s="697"/>
      <c r="E479" s="698"/>
      <c r="F479" s="417" t="s">
        <v>4637</v>
      </c>
      <c r="G479" s="699"/>
      <c r="H479" s="700"/>
      <c r="I479" s="701"/>
      <c r="J479" s="417"/>
    </row>
    <row r="480" spans="1:10" ht="38.4" thickBot="1">
      <c r="A480" s="416">
        <v>47</v>
      </c>
      <c r="B480" s="445" t="s">
        <v>4638</v>
      </c>
      <c r="C480" s="697">
        <v>344607.5</v>
      </c>
      <c r="D480" s="697"/>
      <c r="E480" s="698"/>
      <c r="F480" s="417" t="s">
        <v>4639</v>
      </c>
      <c r="G480" s="699"/>
      <c r="H480" s="700"/>
      <c r="I480" s="701"/>
      <c r="J480" s="417"/>
    </row>
    <row r="481" spans="1:10" ht="14.4" thickBot="1">
      <c r="A481" s="416"/>
      <c r="B481" s="445"/>
      <c r="C481" s="697"/>
      <c r="D481" s="697"/>
      <c r="E481" s="698"/>
      <c r="F481" s="417"/>
      <c r="G481" s="699"/>
      <c r="H481" s="700"/>
      <c r="I481" s="701"/>
      <c r="J481" s="417"/>
    </row>
    <row r="482" spans="1:10" ht="25.8" thickBot="1">
      <c r="A482" s="416">
        <v>48</v>
      </c>
      <c r="B482" s="445" t="s">
        <v>4640</v>
      </c>
      <c r="C482" s="697" t="s">
        <v>4641</v>
      </c>
      <c r="D482" s="697"/>
      <c r="E482" s="698"/>
      <c r="F482" s="417" t="s">
        <v>4642</v>
      </c>
      <c r="G482" s="699"/>
      <c r="H482" s="700"/>
      <c r="I482" s="701"/>
      <c r="J482" s="417"/>
    </row>
    <row r="483" spans="1:10" ht="25.8" thickBot="1">
      <c r="A483" s="416">
        <v>49</v>
      </c>
      <c r="B483" s="445" t="s">
        <v>4643</v>
      </c>
      <c r="C483" s="697" t="s">
        <v>4644</v>
      </c>
      <c r="D483" s="697"/>
      <c r="E483" s="698"/>
      <c r="F483" s="417" t="s">
        <v>4645</v>
      </c>
      <c r="G483" s="699"/>
      <c r="H483" s="700"/>
      <c r="I483" s="701"/>
      <c r="J483" s="417"/>
    </row>
    <row r="484" spans="1:10" ht="25.8" thickBot="1">
      <c r="A484" s="416">
        <v>50</v>
      </c>
      <c r="B484" s="445" t="s">
        <v>4646</v>
      </c>
      <c r="C484" s="697" t="s">
        <v>4647</v>
      </c>
      <c r="D484" s="697"/>
      <c r="E484" s="698"/>
      <c r="F484" s="417" t="s">
        <v>4648</v>
      </c>
      <c r="G484" s="699"/>
      <c r="H484" s="700"/>
      <c r="I484" s="701"/>
      <c r="J484" s="417"/>
    </row>
    <row r="485" spans="1:10" ht="25.8" thickBot="1">
      <c r="A485" s="416">
        <v>51</v>
      </c>
      <c r="B485" s="445" t="s">
        <v>4649</v>
      </c>
      <c r="C485" s="697" t="s">
        <v>4650</v>
      </c>
      <c r="D485" s="697"/>
      <c r="E485" s="698"/>
      <c r="F485" s="417" t="s">
        <v>4593</v>
      </c>
      <c r="G485" s="699"/>
      <c r="H485" s="700"/>
      <c r="I485" s="701"/>
      <c r="J485" s="417"/>
    </row>
    <row r="486" spans="1:10" ht="14.4" thickBot="1">
      <c r="A486" s="416">
        <v>52</v>
      </c>
      <c r="B486" s="445" t="s">
        <v>4651</v>
      </c>
      <c r="C486" s="697" t="s">
        <v>4652</v>
      </c>
      <c r="D486" s="697"/>
      <c r="E486" s="698"/>
      <c r="F486" s="417" t="s">
        <v>4653</v>
      </c>
      <c r="G486" s="699"/>
      <c r="H486" s="700"/>
      <c r="I486" s="701"/>
      <c r="J486" s="417"/>
    </row>
    <row r="487" spans="1:10" ht="25.8" thickBot="1">
      <c r="A487" s="416">
        <v>53</v>
      </c>
      <c r="B487" s="445" t="s">
        <v>4654</v>
      </c>
      <c r="C487" s="697" t="s">
        <v>4655</v>
      </c>
      <c r="D487" s="697"/>
      <c r="E487" s="698"/>
      <c r="F487" s="417" t="s">
        <v>4656</v>
      </c>
      <c r="G487" s="699"/>
      <c r="H487" s="700"/>
      <c r="I487" s="701"/>
      <c r="J487" s="417"/>
    </row>
    <row r="488" spans="1:10" ht="25.8" thickBot="1">
      <c r="A488" s="416">
        <v>54</v>
      </c>
      <c r="B488" s="445" t="s">
        <v>4657</v>
      </c>
      <c r="C488" s="697" t="s">
        <v>4658</v>
      </c>
      <c r="D488" s="697"/>
      <c r="E488" s="698"/>
      <c r="F488" s="417" t="s">
        <v>4659</v>
      </c>
      <c r="G488" s="699"/>
      <c r="H488" s="700"/>
      <c r="I488" s="701"/>
      <c r="J488" s="417"/>
    </row>
    <row r="489" spans="1:10" ht="38.4" thickBot="1">
      <c r="A489" s="416">
        <v>55</v>
      </c>
      <c r="B489" s="445" t="s">
        <v>4660</v>
      </c>
      <c r="C489" s="697" t="s">
        <v>4661</v>
      </c>
      <c r="D489" s="697"/>
      <c r="E489" s="698"/>
      <c r="F489" s="417" t="s">
        <v>4662</v>
      </c>
      <c r="G489" s="699"/>
      <c r="H489" s="700"/>
      <c r="I489" s="701"/>
      <c r="J489" s="417"/>
    </row>
    <row r="490" spans="1:10" ht="25.8" thickBot="1">
      <c r="A490" s="416">
        <v>56</v>
      </c>
      <c r="B490" s="445" t="s">
        <v>4663</v>
      </c>
      <c r="C490" s="697" t="s">
        <v>4664</v>
      </c>
      <c r="D490" s="697"/>
      <c r="E490" s="698"/>
      <c r="F490" s="417" t="s">
        <v>4665</v>
      </c>
      <c r="G490" s="699"/>
      <c r="H490" s="700"/>
      <c r="I490" s="701"/>
      <c r="J490" s="417"/>
    </row>
    <row r="491" spans="1:10" ht="25.8" thickBot="1">
      <c r="A491" s="416">
        <v>57</v>
      </c>
      <c r="B491" s="445" t="s">
        <v>4630</v>
      </c>
      <c r="C491" s="697">
        <v>205500</v>
      </c>
      <c r="D491" s="697"/>
      <c r="E491" s="698"/>
      <c r="F491" s="417" t="s">
        <v>4666</v>
      </c>
      <c r="G491" s="699"/>
      <c r="H491" s="700"/>
      <c r="I491" s="701"/>
      <c r="J491" s="417"/>
    </row>
    <row r="492" spans="1:10" ht="14.4" thickBot="1">
      <c r="A492" s="416">
        <v>58</v>
      </c>
      <c r="B492" s="445" t="s">
        <v>4667</v>
      </c>
      <c r="C492" s="697" t="s">
        <v>4668</v>
      </c>
      <c r="D492" s="697"/>
      <c r="E492" s="698"/>
      <c r="F492" s="417" t="s">
        <v>4669</v>
      </c>
      <c r="G492" s="699"/>
      <c r="H492" s="700"/>
      <c r="I492" s="701"/>
      <c r="J492" s="417"/>
    </row>
    <row r="493" spans="1:10" ht="14.4" thickBot="1">
      <c r="A493" s="416">
        <v>59</v>
      </c>
      <c r="B493" s="445" t="s">
        <v>4670</v>
      </c>
      <c r="C493" s="697" t="s">
        <v>4671</v>
      </c>
      <c r="D493" s="697"/>
      <c r="E493" s="698"/>
      <c r="F493" s="417" t="s">
        <v>4672</v>
      </c>
      <c r="G493" s="699"/>
      <c r="H493" s="700"/>
      <c r="I493" s="701"/>
      <c r="J493" s="417"/>
    </row>
    <row r="494" spans="1:10" ht="25.8" thickBot="1">
      <c r="A494" s="416">
        <v>60</v>
      </c>
      <c r="B494" s="445" t="s">
        <v>4673</v>
      </c>
      <c r="C494" s="697" t="s">
        <v>4674</v>
      </c>
      <c r="D494" s="697"/>
      <c r="E494" s="698"/>
      <c r="F494" s="417" t="s">
        <v>4675</v>
      </c>
      <c r="G494" s="699"/>
      <c r="H494" s="700"/>
      <c r="I494" s="701"/>
      <c r="J494" s="417"/>
    </row>
    <row r="495" spans="1:10" ht="63.6" thickBot="1">
      <c r="A495" s="416">
        <v>61</v>
      </c>
      <c r="B495" s="445" t="s">
        <v>4676</v>
      </c>
      <c r="C495" s="697" t="s">
        <v>4677</v>
      </c>
      <c r="D495" s="697"/>
      <c r="E495" s="698"/>
      <c r="F495" s="417" t="s">
        <v>4678</v>
      </c>
      <c r="G495" s="699"/>
      <c r="H495" s="700"/>
      <c r="I495" s="701"/>
      <c r="J495" s="417"/>
    </row>
    <row r="496" spans="1:10">
      <c r="A496"/>
    </row>
    <row r="497" spans="1:1">
      <c r="A497"/>
    </row>
    <row r="498" spans="1:1">
      <c r="A498" s="479"/>
    </row>
  </sheetData>
  <mergeCells count="540">
    <mergeCell ref="B27:C27"/>
    <mergeCell ref="B28:C28"/>
    <mergeCell ref="A29:A30"/>
    <mergeCell ref="B29:C30"/>
    <mergeCell ref="D29:D30"/>
    <mergeCell ref="E29:E30"/>
    <mergeCell ref="A4:F4"/>
    <mergeCell ref="A5:F5"/>
    <mergeCell ref="A19:F19"/>
    <mergeCell ref="A21:F21"/>
    <mergeCell ref="A22:F22"/>
    <mergeCell ref="A26:G26"/>
    <mergeCell ref="C35:D35"/>
    <mergeCell ref="A36:G36"/>
    <mergeCell ref="C37:D37"/>
    <mergeCell ref="C38:D38"/>
    <mergeCell ref="A41:F41"/>
    <mergeCell ref="A44:F44"/>
    <mergeCell ref="F29:F30"/>
    <mergeCell ref="G29:G30"/>
    <mergeCell ref="B31:C31"/>
    <mergeCell ref="A32:G32"/>
    <mergeCell ref="C33:D33"/>
    <mergeCell ref="A34:G34"/>
    <mergeCell ref="D61:E61"/>
    <mergeCell ref="A62:G62"/>
    <mergeCell ref="D63:E63"/>
    <mergeCell ref="A64:G64"/>
    <mergeCell ref="E65:F65"/>
    <mergeCell ref="E66:F66"/>
    <mergeCell ref="A46:F46"/>
    <mergeCell ref="A48:F48"/>
    <mergeCell ref="A57:G57"/>
    <mergeCell ref="D58:E58"/>
    <mergeCell ref="D59:E59"/>
    <mergeCell ref="A60:G60"/>
    <mergeCell ref="B83:C83"/>
    <mergeCell ref="B84:C84"/>
    <mergeCell ref="A85:G85"/>
    <mergeCell ref="B86:C86"/>
    <mergeCell ref="A87:G87"/>
    <mergeCell ref="C88:D88"/>
    <mergeCell ref="A70:F70"/>
    <mergeCell ref="A71:F71"/>
    <mergeCell ref="A74:F74"/>
    <mergeCell ref="A76:F76"/>
    <mergeCell ref="A78:F78"/>
    <mergeCell ref="A82:G82"/>
    <mergeCell ref="C93:D93"/>
    <mergeCell ref="C94:D94"/>
    <mergeCell ref="A98:G98"/>
    <mergeCell ref="A105:G105"/>
    <mergeCell ref="A108:G108"/>
    <mergeCell ref="A112:G112"/>
    <mergeCell ref="A89:G89"/>
    <mergeCell ref="C90:D90"/>
    <mergeCell ref="A91:A92"/>
    <mergeCell ref="B91:B92"/>
    <mergeCell ref="C91:D92"/>
    <mergeCell ref="E91:E92"/>
    <mergeCell ref="F91:F92"/>
    <mergeCell ref="G91:G92"/>
    <mergeCell ref="D123:E123"/>
    <mergeCell ref="D124:E124"/>
    <mergeCell ref="D125:E125"/>
    <mergeCell ref="D126:E126"/>
    <mergeCell ref="B127:B128"/>
    <mergeCell ref="D127:E127"/>
    <mergeCell ref="D117:E117"/>
    <mergeCell ref="D118:E118"/>
    <mergeCell ref="D119:E119"/>
    <mergeCell ref="D120:E120"/>
    <mergeCell ref="D121:E121"/>
    <mergeCell ref="D122:E122"/>
    <mergeCell ref="F127:F128"/>
    <mergeCell ref="G127:G128"/>
    <mergeCell ref="D128:E128"/>
    <mergeCell ref="D129:E129"/>
    <mergeCell ref="D130:E130"/>
    <mergeCell ref="B131:B132"/>
    <mergeCell ref="D131:E131"/>
    <mergeCell ref="F131:F132"/>
    <mergeCell ref="G131:G132"/>
    <mergeCell ref="D132:E132"/>
    <mergeCell ref="B133:B134"/>
    <mergeCell ref="D133:E133"/>
    <mergeCell ref="F133:F134"/>
    <mergeCell ref="G133:G134"/>
    <mergeCell ref="D134:E134"/>
    <mergeCell ref="D135:E135"/>
    <mergeCell ref="F135:F140"/>
    <mergeCell ref="G135:G140"/>
    <mergeCell ref="D136:E136"/>
    <mergeCell ref="D137:E137"/>
    <mergeCell ref="F143:F144"/>
    <mergeCell ref="G143:G144"/>
    <mergeCell ref="D144:E144"/>
    <mergeCell ref="A148:I148"/>
    <mergeCell ref="D149:E149"/>
    <mergeCell ref="F149:H149"/>
    <mergeCell ref="D138:E138"/>
    <mergeCell ref="D139:E139"/>
    <mergeCell ref="D140:E140"/>
    <mergeCell ref="D141:E141"/>
    <mergeCell ref="D142:E142"/>
    <mergeCell ref="B143:B144"/>
    <mergeCell ref="D143:E143"/>
    <mergeCell ref="D153:F153"/>
    <mergeCell ref="G153:H153"/>
    <mergeCell ref="D154:F154"/>
    <mergeCell ref="G154:H154"/>
    <mergeCell ref="D155:F155"/>
    <mergeCell ref="G155:H155"/>
    <mergeCell ref="D150:F150"/>
    <mergeCell ref="G150:H150"/>
    <mergeCell ref="D151:F151"/>
    <mergeCell ref="G151:H151"/>
    <mergeCell ref="D152:F152"/>
    <mergeCell ref="G152:H152"/>
    <mergeCell ref="A160:I160"/>
    <mergeCell ref="C161:D161"/>
    <mergeCell ref="E161:G161"/>
    <mergeCell ref="A162:I162"/>
    <mergeCell ref="C163:D163"/>
    <mergeCell ref="E163:G163"/>
    <mergeCell ref="D156:F156"/>
    <mergeCell ref="G156:H156"/>
    <mergeCell ref="D157:F157"/>
    <mergeCell ref="G157:H157"/>
    <mergeCell ref="A158:I158"/>
    <mergeCell ref="C159:D159"/>
    <mergeCell ref="E159:G159"/>
    <mergeCell ref="B170:F170"/>
    <mergeCell ref="C171:D171"/>
    <mergeCell ref="C172:D172"/>
    <mergeCell ref="C173:D173"/>
    <mergeCell ref="C174:D174"/>
    <mergeCell ref="C175:D175"/>
    <mergeCell ref="C164:D164"/>
    <mergeCell ref="E164:G164"/>
    <mergeCell ref="C165:D165"/>
    <mergeCell ref="E165:G165"/>
    <mergeCell ref="C166:D166"/>
    <mergeCell ref="E166:G166"/>
    <mergeCell ref="D182:E182"/>
    <mergeCell ref="D183:E183"/>
    <mergeCell ref="B187:I187"/>
    <mergeCell ref="C188:D188"/>
    <mergeCell ref="E188:F188"/>
    <mergeCell ref="G188:H188"/>
    <mergeCell ref="C176:D176"/>
    <mergeCell ref="B177:F177"/>
    <mergeCell ref="D178:E178"/>
    <mergeCell ref="B179:F179"/>
    <mergeCell ref="D180:E180"/>
    <mergeCell ref="B181:F181"/>
    <mergeCell ref="A189:A193"/>
    <mergeCell ref="C189:D193"/>
    <mergeCell ref="E189:F193"/>
    <mergeCell ref="G189:H193"/>
    <mergeCell ref="I189:I193"/>
    <mergeCell ref="A194:A195"/>
    <mergeCell ref="B194:B195"/>
    <mergeCell ref="C194:D195"/>
    <mergeCell ref="E194:F195"/>
    <mergeCell ref="G194:H195"/>
    <mergeCell ref="A198:I198"/>
    <mergeCell ref="C199:E199"/>
    <mergeCell ref="F199:G199"/>
    <mergeCell ref="C200:E200"/>
    <mergeCell ref="F200:G200"/>
    <mergeCell ref="C201:E201"/>
    <mergeCell ref="F201:G201"/>
    <mergeCell ref="I194:I195"/>
    <mergeCell ref="C196:D196"/>
    <mergeCell ref="E196:F196"/>
    <mergeCell ref="G196:H196"/>
    <mergeCell ref="C197:D197"/>
    <mergeCell ref="E197:F197"/>
    <mergeCell ref="G197:H197"/>
    <mergeCell ref="B206:C206"/>
    <mergeCell ref="B207:C207"/>
    <mergeCell ref="D207:E207"/>
    <mergeCell ref="F207:G207"/>
    <mergeCell ref="A208:A209"/>
    <mergeCell ref="B208:C208"/>
    <mergeCell ref="D208:E209"/>
    <mergeCell ref="F208:G209"/>
    <mergeCell ref="A202:I202"/>
    <mergeCell ref="C203:E203"/>
    <mergeCell ref="F203:G203"/>
    <mergeCell ref="A204:I204"/>
    <mergeCell ref="A205:A206"/>
    <mergeCell ref="B205:C205"/>
    <mergeCell ref="D205:E206"/>
    <mergeCell ref="F205:G206"/>
    <mergeCell ref="H205:H206"/>
    <mergeCell ref="I205:I206"/>
    <mergeCell ref="H208:H209"/>
    <mergeCell ref="I208:I209"/>
    <mergeCell ref="B209:C209"/>
    <mergeCell ref="A210:A211"/>
    <mergeCell ref="B210:C210"/>
    <mergeCell ref="D210:E211"/>
    <mergeCell ref="F210:G211"/>
    <mergeCell ref="H210:H211"/>
    <mergeCell ref="I210:I211"/>
    <mergeCell ref="B211:C211"/>
    <mergeCell ref="B214:C214"/>
    <mergeCell ref="D214:E214"/>
    <mergeCell ref="F214:G214"/>
    <mergeCell ref="B215:C215"/>
    <mergeCell ref="D215:E215"/>
    <mergeCell ref="F215:G215"/>
    <mergeCell ref="B212:C212"/>
    <mergeCell ref="D212:E212"/>
    <mergeCell ref="F212:G212"/>
    <mergeCell ref="B213:C213"/>
    <mergeCell ref="D213:E213"/>
    <mergeCell ref="F213:G213"/>
    <mergeCell ref="B218:C218"/>
    <mergeCell ref="D218:E218"/>
    <mergeCell ref="F218:G218"/>
    <mergeCell ref="B219:C219"/>
    <mergeCell ref="D219:E219"/>
    <mergeCell ref="F219:G219"/>
    <mergeCell ref="B216:C216"/>
    <mergeCell ref="D216:E216"/>
    <mergeCell ref="F216:G216"/>
    <mergeCell ref="B217:C217"/>
    <mergeCell ref="D217:E217"/>
    <mergeCell ref="F217:G217"/>
    <mergeCell ref="D229:E229"/>
    <mergeCell ref="B230:G230"/>
    <mergeCell ref="C231:D231"/>
    <mergeCell ref="C232:D232"/>
    <mergeCell ref="C233:D233"/>
    <mergeCell ref="C234:D234"/>
    <mergeCell ref="B223:G223"/>
    <mergeCell ref="D224:E224"/>
    <mergeCell ref="D225:E225"/>
    <mergeCell ref="B226:G226"/>
    <mergeCell ref="D227:E227"/>
    <mergeCell ref="A228:G228"/>
    <mergeCell ref="A243:G243"/>
    <mergeCell ref="D244:E244"/>
    <mergeCell ref="A245:G245"/>
    <mergeCell ref="D246:E246"/>
    <mergeCell ref="B247:G247"/>
    <mergeCell ref="C248:D248"/>
    <mergeCell ref="C235:D235"/>
    <mergeCell ref="C236:D236"/>
    <mergeCell ref="C237:D237"/>
    <mergeCell ref="B240:G240"/>
    <mergeCell ref="D241:E241"/>
    <mergeCell ref="D242:E242"/>
    <mergeCell ref="C255:D255"/>
    <mergeCell ref="C256:D256"/>
    <mergeCell ref="C257:D257"/>
    <mergeCell ref="A261:I261"/>
    <mergeCell ref="C262:D262"/>
    <mergeCell ref="E262:F262"/>
    <mergeCell ref="G262:H262"/>
    <mergeCell ref="C249:D249"/>
    <mergeCell ref="C250:D250"/>
    <mergeCell ref="C251:D251"/>
    <mergeCell ref="C252:D252"/>
    <mergeCell ref="C253:D253"/>
    <mergeCell ref="C254:D254"/>
    <mergeCell ref="A266:I266"/>
    <mergeCell ref="C267:D267"/>
    <mergeCell ref="E267:F267"/>
    <mergeCell ref="G267:H267"/>
    <mergeCell ref="A268:I268"/>
    <mergeCell ref="B269:C269"/>
    <mergeCell ref="D269:E269"/>
    <mergeCell ref="F269:G269"/>
    <mergeCell ref="C263:D263"/>
    <mergeCell ref="E263:F263"/>
    <mergeCell ref="G263:H263"/>
    <mergeCell ref="A264:I264"/>
    <mergeCell ref="C265:D265"/>
    <mergeCell ref="E265:F265"/>
    <mergeCell ref="G265:H265"/>
    <mergeCell ref="B272:C272"/>
    <mergeCell ref="D272:E272"/>
    <mergeCell ref="F272:G272"/>
    <mergeCell ref="B273:C273"/>
    <mergeCell ref="D273:E273"/>
    <mergeCell ref="F273:G273"/>
    <mergeCell ref="B270:C270"/>
    <mergeCell ref="D270:E270"/>
    <mergeCell ref="F270:G270"/>
    <mergeCell ref="B271:C271"/>
    <mergeCell ref="D271:E271"/>
    <mergeCell ref="F271:G271"/>
    <mergeCell ref="B276:C276"/>
    <mergeCell ref="D276:E276"/>
    <mergeCell ref="F276:G276"/>
    <mergeCell ref="B277:C277"/>
    <mergeCell ref="D277:E277"/>
    <mergeCell ref="F277:G277"/>
    <mergeCell ref="B274:C274"/>
    <mergeCell ref="D274:E274"/>
    <mergeCell ref="F274:G274"/>
    <mergeCell ref="B275:C275"/>
    <mergeCell ref="D275:E275"/>
    <mergeCell ref="F275:G275"/>
    <mergeCell ref="A289:F289"/>
    <mergeCell ref="A303:H303"/>
    <mergeCell ref="C304:D304"/>
    <mergeCell ref="E304:F304"/>
    <mergeCell ref="C305:D305"/>
    <mergeCell ref="E305:F305"/>
    <mergeCell ref="B278:C278"/>
    <mergeCell ref="D278:E278"/>
    <mergeCell ref="F278:G278"/>
    <mergeCell ref="A282:F282"/>
    <mergeCell ref="A285:F285"/>
    <mergeCell ref="B287:E287"/>
    <mergeCell ref="C310:D310"/>
    <mergeCell ref="E310:F310"/>
    <mergeCell ref="A311:H311"/>
    <mergeCell ref="D312:E312"/>
    <mergeCell ref="F312:G312"/>
    <mergeCell ref="D313:E313"/>
    <mergeCell ref="F313:G313"/>
    <mergeCell ref="C306:D306"/>
    <mergeCell ref="E306:F306"/>
    <mergeCell ref="A307:H307"/>
    <mergeCell ref="C308:D308"/>
    <mergeCell ref="E308:F308"/>
    <mergeCell ref="A309:H309"/>
    <mergeCell ref="A363:H363"/>
    <mergeCell ref="D364:F364"/>
    <mergeCell ref="D365:F365"/>
    <mergeCell ref="D366:F366"/>
    <mergeCell ref="D367:F367"/>
    <mergeCell ref="D368:F368"/>
    <mergeCell ref="D314:E314"/>
    <mergeCell ref="F314:G314"/>
    <mergeCell ref="B318:F318"/>
    <mergeCell ref="A321:F321"/>
    <mergeCell ref="A323:F323"/>
    <mergeCell ref="A325:F325"/>
    <mergeCell ref="D375:F375"/>
    <mergeCell ref="D376:F376"/>
    <mergeCell ref="D377:F377"/>
    <mergeCell ref="A378:H378"/>
    <mergeCell ref="C379:E379"/>
    <mergeCell ref="A380:H380"/>
    <mergeCell ref="D369:F369"/>
    <mergeCell ref="A370:H370"/>
    <mergeCell ref="D371:F371"/>
    <mergeCell ref="D372:F372"/>
    <mergeCell ref="D373:F373"/>
    <mergeCell ref="D374:F374"/>
    <mergeCell ref="A398:A400"/>
    <mergeCell ref="B398:B400"/>
    <mergeCell ref="C398:C400"/>
    <mergeCell ref="D398:D400"/>
    <mergeCell ref="E398:E400"/>
    <mergeCell ref="B407:I407"/>
    <mergeCell ref="C381:D381"/>
    <mergeCell ref="E381:F381"/>
    <mergeCell ref="A395:A396"/>
    <mergeCell ref="C395:C396"/>
    <mergeCell ref="D395:D396"/>
    <mergeCell ref="E395:E396"/>
    <mergeCell ref="A410:I410"/>
    <mergeCell ref="B411:C411"/>
    <mergeCell ref="F411:G411"/>
    <mergeCell ref="H411:I411"/>
    <mergeCell ref="A412:I412"/>
    <mergeCell ref="B413:C413"/>
    <mergeCell ref="F413:H413"/>
    <mergeCell ref="B408:C408"/>
    <mergeCell ref="E408:F408"/>
    <mergeCell ref="G408:H408"/>
    <mergeCell ref="B409:C409"/>
    <mergeCell ref="E409:F409"/>
    <mergeCell ref="G409:H409"/>
    <mergeCell ref="C418:D418"/>
    <mergeCell ref="F418:H418"/>
    <mergeCell ref="C419:D419"/>
    <mergeCell ref="F419:H419"/>
    <mergeCell ref="C420:D420"/>
    <mergeCell ref="F420:H420"/>
    <mergeCell ref="A414:I414"/>
    <mergeCell ref="C415:D415"/>
    <mergeCell ref="F415:H415"/>
    <mergeCell ref="C416:D416"/>
    <mergeCell ref="F416:H416"/>
    <mergeCell ref="C417:D417"/>
    <mergeCell ref="F417:H417"/>
    <mergeCell ref="A427:J427"/>
    <mergeCell ref="B428:C428"/>
    <mergeCell ref="E428:F428"/>
    <mergeCell ref="G428:H428"/>
    <mergeCell ref="I428:J428"/>
    <mergeCell ref="A429:J429"/>
    <mergeCell ref="B424:J424"/>
    <mergeCell ref="B425:C425"/>
    <mergeCell ref="E425:G425"/>
    <mergeCell ref="H425:I425"/>
    <mergeCell ref="B426:C426"/>
    <mergeCell ref="E426:G426"/>
    <mergeCell ref="H426:I426"/>
    <mergeCell ref="C433:E433"/>
    <mergeCell ref="G433:I433"/>
    <mergeCell ref="C434:E434"/>
    <mergeCell ref="G434:I434"/>
    <mergeCell ref="C435:E435"/>
    <mergeCell ref="G435:I435"/>
    <mergeCell ref="B430:C430"/>
    <mergeCell ref="E430:F430"/>
    <mergeCell ref="G430:I430"/>
    <mergeCell ref="A431:J431"/>
    <mergeCell ref="C432:E432"/>
    <mergeCell ref="G432:I432"/>
    <mergeCell ref="C439:E439"/>
    <mergeCell ref="G439:I439"/>
    <mergeCell ref="C440:E440"/>
    <mergeCell ref="G440:I440"/>
    <mergeCell ref="C441:E441"/>
    <mergeCell ref="G441:I441"/>
    <mergeCell ref="C436:E436"/>
    <mergeCell ref="G436:I436"/>
    <mergeCell ref="C437:E437"/>
    <mergeCell ref="G437:I437"/>
    <mergeCell ref="C438:E438"/>
    <mergeCell ref="G438:I438"/>
    <mergeCell ref="C445:E445"/>
    <mergeCell ref="G445:I445"/>
    <mergeCell ref="C446:E446"/>
    <mergeCell ref="G446:I446"/>
    <mergeCell ref="C447:E447"/>
    <mergeCell ref="G447:I447"/>
    <mergeCell ref="C442:E442"/>
    <mergeCell ref="G442:I442"/>
    <mergeCell ref="C443:E443"/>
    <mergeCell ref="G443:I443"/>
    <mergeCell ref="C444:E444"/>
    <mergeCell ref="G444:I444"/>
    <mergeCell ref="C451:E451"/>
    <mergeCell ref="G451:I451"/>
    <mergeCell ref="C452:E452"/>
    <mergeCell ref="G452:I452"/>
    <mergeCell ref="C453:E453"/>
    <mergeCell ref="G453:I453"/>
    <mergeCell ref="C448:E448"/>
    <mergeCell ref="G448:I448"/>
    <mergeCell ref="C449:E449"/>
    <mergeCell ref="G449:I449"/>
    <mergeCell ref="C450:E450"/>
    <mergeCell ref="G450:I450"/>
    <mergeCell ref="C457:E457"/>
    <mergeCell ref="G457:I457"/>
    <mergeCell ref="C458:E458"/>
    <mergeCell ref="G458:I458"/>
    <mergeCell ref="C459:E459"/>
    <mergeCell ref="G459:I459"/>
    <mergeCell ref="C454:E454"/>
    <mergeCell ref="G454:I454"/>
    <mergeCell ref="C455:E455"/>
    <mergeCell ref="G455:I455"/>
    <mergeCell ref="C456:E456"/>
    <mergeCell ref="G456:I456"/>
    <mergeCell ref="C463:E463"/>
    <mergeCell ref="G463:I463"/>
    <mergeCell ref="C464:E464"/>
    <mergeCell ref="G464:I464"/>
    <mergeCell ref="C465:E465"/>
    <mergeCell ref="G465:I465"/>
    <mergeCell ref="C460:E460"/>
    <mergeCell ref="G460:I460"/>
    <mergeCell ref="C461:E461"/>
    <mergeCell ref="G461:I461"/>
    <mergeCell ref="C462:E462"/>
    <mergeCell ref="G462:I462"/>
    <mergeCell ref="C469:E469"/>
    <mergeCell ref="G469:I469"/>
    <mergeCell ref="C470:E470"/>
    <mergeCell ref="G470:I470"/>
    <mergeCell ref="C471:E471"/>
    <mergeCell ref="G471:I471"/>
    <mergeCell ref="C466:E466"/>
    <mergeCell ref="G466:I466"/>
    <mergeCell ref="C467:E467"/>
    <mergeCell ref="G467:I467"/>
    <mergeCell ref="C468:E468"/>
    <mergeCell ref="G468:I468"/>
    <mergeCell ref="C475:E475"/>
    <mergeCell ref="G475:I475"/>
    <mergeCell ref="C476:E476"/>
    <mergeCell ref="G476:I476"/>
    <mergeCell ref="C477:E477"/>
    <mergeCell ref="G477:I477"/>
    <mergeCell ref="C472:E472"/>
    <mergeCell ref="G472:I472"/>
    <mergeCell ref="C473:E473"/>
    <mergeCell ref="G473:I473"/>
    <mergeCell ref="C474:E474"/>
    <mergeCell ref="G474:I474"/>
    <mergeCell ref="C481:E481"/>
    <mergeCell ref="G481:I481"/>
    <mergeCell ref="C482:E482"/>
    <mergeCell ref="G482:I482"/>
    <mergeCell ref="C483:E483"/>
    <mergeCell ref="G483:I483"/>
    <mergeCell ref="C478:E478"/>
    <mergeCell ref="G478:I478"/>
    <mergeCell ref="C479:E479"/>
    <mergeCell ref="G479:I479"/>
    <mergeCell ref="C480:E480"/>
    <mergeCell ref="G480:I480"/>
    <mergeCell ref="C487:E487"/>
    <mergeCell ref="G487:I487"/>
    <mergeCell ref="C488:E488"/>
    <mergeCell ref="G488:I488"/>
    <mergeCell ref="C489:E489"/>
    <mergeCell ref="G489:I489"/>
    <mergeCell ref="C484:E484"/>
    <mergeCell ref="G484:I484"/>
    <mergeCell ref="C485:E485"/>
    <mergeCell ref="G485:I485"/>
    <mergeCell ref="C486:E486"/>
    <mergeCell ref="G486:I486"/>
    <mergeCell ref="C493:E493"/>
    <mergeCell ref="G493:I493"/>
    <mergeCell ref="C494:E494"/>
    <mergeCell ref="G494:I494"/>
    <mergeCell ref="C495:E495"/>
    <mergeCell ref="G495:I495"/>
    <mergeCell ref="C490:E490"/>
    <mergeCell ref="G490:I490"/>
    <mergeCell ref="C491:E491"/>
    <mergeCell ref="G491:I491"/>
    <mergeCell ref="C492:E492"/>
    <mergeCell ref="G492:I492"/>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990"/>
  <sheetViews>
    <sheetView zoomScale="70" zoomScaleNormal="70" workbookViewId="0">
      <selection activeCell="A2" sqref="A2"/>
    </sheetView>
  </sheetViews>
  <sheetFormatPr baseColWidth="10" defaultRowHeight="13.8"/>
  <cols>
    <col min="2" max="2" width="35.8984375" customWidth="1"/>
    <col min="3" max="3" width="44.8984375" customWidth="1"/>
    <col min="4" max="4" width="14.296875" customWidth="1"/>
    <col min="6" max="6" width="65.69921875" bestFit="1" customWidth="1"/>
    <col min="8" max="8" width="13.296875" style="124" bestFit="1" customWidth="1"/>
    <col min="9" max="9" width="33.3984375" customWidth="1"/>
  </cols>
  <sheetData>
    <row r="2" spans="1:9" ht="18.600000000000001">
      <c r="A2" s="65" t="s">
        <v>6383</v>
      </c>
    </row>
    <row r="7" spans="1:9" ht="36">
      <c r="A7" s="480" t="s">
        <v>609</v>
      </c>
      <c r="B7" s="480" t="s">
        <v>0</v>
      </c>
      <c r="C7" s="481" t="s">
        <v>4679</v>
      </c>
      <c r="D7" s="480" t="s">
        <v>4680</v>
      </c>
      <c r="E7" s="480" t="s">
        <v>4681</v>
      </c>
      <c r="F7" s="480" t="s">
        <v>4682</v>
      </c>
      <c r="G7" s="480" t="s">
        <v>4683</v>
      </c>
      <c r="H7" s="482" t="s">
        <v>4684</v>
      </c>
      <c r="I7" s="480" t="s">
        <v>4685</v>
      </c>
    </row>
    <row r="8" spans="1:9">
      <c r="A8" s="773">
        <v>2</v>
      </c>
      <c r="B8" s="773" t="s">
        <v>624</v>
      </c>
      <c r="C8" s="73" t="s">
        <v>4686</v>
      </c>
      <c r="D8" s="74" t="s">
        <v>4687</v>
      </c>
      <c r="E8" s="74" t="s">
        <v>619</v>
      </c>
      <c r="F8" s="73" t="s">
        <v>4688</v>
      </c>
      <c r="G8" s="116"/>
      <c r="H8" s="116">
        <v>357366612.69999999</v>
      </c>
      <c r="I8" s="116"/>
    </row>
    <row r="9" spans="1:9">
      <c r="A9" s="584"/>
      <c r="B9" s="584"/>
      <c r="C9" s="73" t="s">
        <v>4689</v>
      </c>
      <c r="D9" s="74" t="s">
        <v>4690</v>
      </c>
      <c r="E9" s="74" t="s">
        <v>4691</v>
      </c>
      <c r="F9" s="73" t="s">
        <v>4692</v>
      </c>
      <c r="G9" s="116"/>
      <c r="H9" s="116">
        <v>26855419.309999999</v>
      </c>
      <c r="I9" s="116"/>
    </row>
    <row r="10" spans="1:9">
      <c r="A10" s="584"/>
      <c r="B10" s="584"/>
      <c r="C10" s="73" t="s">
        <v>4693</v>
      </c>
      <c r="D10" s="74" t="s">
        <v>4690</v>
      </c>
      <c r="E10" s="74" t="s">
        <v>4694</v>
      </c>
      <c r="F10" s="73" t="s">
        <v>4695</v>
      </c>
      <c r="G10" s="116"/>
      <c r="H10" s="116">
        <v>50514503.280000001</v>
      </c>
      <c r="I10" s="116"/>
    </row>
    <row r="11" spans="1:9">
      <c r="A11" s="584"/>
      <c r="B11" s="584"/>
      <c r="C11" s="73" t="s">
        <v>4696</v>
      </c>
      <c r="D11" s="74" t="s">
        <v>4687</v>
      </c>
      <c r="E11" s="74" t="s">
        <v>619</v>
      </c>
      <c r="F11" s="73" t="s">
        <v>4697</v>
      </c>
      <c r="G11" s="116"/>
      <c r="H11" s="116">
        <v>8233677.25</v>
      </c>
      <c r="I11" s="116"/>
    </row>
    <row r="12" spans="1:9">
      <c r="A12" s="584"/>
      <c r="B12" s="584"/>
      <c r="C12" s="73" t="s">
        <v>4698</v>
      </c>
      <c r="D12" s="74" t="s">
        <v>4690</v>
      </c>
      <c r="E12" s="74" t="s">
        <v>4699</v>
      </c>
      <c r="F12" s="73" t="s">
        <v>4700</v>
      </c>
      <c r="G12" s="116"/>
      <c r="H12" s="116">
        <v>28556539.100000001</v>
      </c>
      <c r="I12" s="116"/>
    </row>
    <row r="13" spans="1:9">
      <c r="A13" s="584"/>
      <c r="B13" s="584"/>
      <c r="C13" s="73" t="s">
        <v>4701</v>
      </c>
      <c r="D13" s="74" t="s">
        <v>4690</v>
      </c>
      <c r="E13" s="74" t="s">
        <v>4702</v>
      </c>
      <c r="F13" s="73" t="s">
        <v>4703</v>
      </c>
      <c r="G13" s="116"/>
      <c r="H13" s="116">
        <v>28808708.23</v>
      </c>
      <c r="I13" s="116"/>
    </row>
    <row r="14" spans="1:9">
      <c r="A14" s="584"/>
      <c r="B14" s="584"/>
      <c r="C14" s="73" t="s">
        <v>4704</v>
      </c>
      <c r="D14" s="74" t="s">
        <v>4690</v>
      </c>
      <c r="E14" s="74" t="s">
        <v>4705</v>
      </c>
      <c r="F14" s="73" t="s">
        <v>4706</v>
      </c>
      <c r="G14" s="116"/>
      <c r="H14" s="116">
        <v>24292293.140000001</v>
      </c>
      <c r="I14" s="116"/>
    </row>
    <row r="15" spans="1:9">
      <c r="A15" s="577"/>
      <c r="B15" s="577"/>
      <c r="C15" s="73" t="s">
        <v>4707</v>
      </c>
      <c r="D15" s="74" t="s">
        <v>4690</v>
      </c>
      <c r="E15" s="74" t="s">
        <v>4708</v>
      </c>
      <c r="F15" s="73" t="s">
        <v>4709</v>
      </c>
      <c r="G15" s="116"/>
      <c r="H15" s="116">
        <v>8077013.7199999997</v>
      </c>
      <c r="I15" s="116"/>
    </row>
    <row r="16" spans="1:9">
      <c r="A16" s="571">
        <v>5</v>
      </c>
      <c r="B16" s="571" t="s">
        <v>643</v>
      </c>
      <c r="C16" s="76" t="s">
        <v>4710</v>
      </c>
      <c r="D16" s="76" t="s">
        <v>4690</v>
      </c>
      <c r="E16" s="76" t="s">
        <v>4711</v>
      </c>
      <c r="F16" s="76"/>
      <c r="G16" s="117"/>
      <c r="H16" s="117">
        <v>4096755.2</v>
      </c>
      <c r="I16" s="117"/>
    </row>
    <row r="17" spans="1:9">
      <c r="A17" s="572"/>
      <c r="B17" s="572"/>
      <c r="C17" s="76" t="s">
        <v>4712</v>
      </c>
      <c r="D17" s="76" t="s">
        <v>4690</v>
      </c>
      <c r="E17" s="76" t="s">
        <v>4713</v>
      </c>
      <c r="F17" s="76"/>
      <c r="G17" s="117"/>
      <c r="H17" s="117">
        <v>222600</v>
      </c>
      <c r="I17" s="76"/>
    </row>
    <row r="18" spans="1:9">
      <c r="A18" s="572"/>
      <c r="B18" s="572"/>
      <c r="C18" s="76" t="s">
        <v>4714</v>
      </c>
      <c r="D18" s="76" t="s">
        <v>4690</v>
      </c>
      <c r="E18" s="76" t="s">
        <v>4715</v>
      </c>
      <c r="F18" s="76"/>
      <c r="G18" s="117"/>
      <c r="H18" s="117">
        <v>70560</v>
      </c>
      <c r="I18" s="76"/>
    </row>
    <row r="19" spans="1:9">
      <c r="A19" s="572"/>
      <c r="B19" s="572"/>
      <c r="C19" s="76" t="s">
        <v>4716</v>
      </c>
      <c r="D19" s="76" t="s">
        <v>4690</v>
      </c>
      <c r="E19" s="76" t="s">
        <v>4717</v>
      </c>
      <c r="F19" s="76"/>
      <c r="G19" s="117"/>
      <c r="H19" s="117">
        <v>570240</v>
      </c>
      <c r="I19" s="76"/>
    </row>
    <row r="20" spans="1:9">
      <c r="A20" s="572"/>
      <c r="B20" s="572"/>
      <c r="C20" s="76" t="s">
        <v>4718</v>
      </c>
      <c r="D20" s="76" t="s">
        <v>4690</v>
      </c>
      <c r="E20" s="76" t="s">
        <v>4719</v>
      </c>
      <c r="F20" s="76"/>
      <c r="G20" s="117"/>
      <c r="H20" s="117">
        <v>69822</v>
      </c>
      <c r="I20" s="76"/>
    </row>
    <row r="21" spans="1:9">
      <c r="A21" s="572"/>
      <c r="B21" s="572"/>
      <c r="C21" s="76" t="s">
        <v>4720</v>
      </c>
      <c r="D21" s="76" t="s">
        <v>4690</v>
      </c>
      <c r="E21" s="76" t="s">
        <v>4721</v>
      </c>
      <c r="F21" s="76"/>
      <c r="G21" s="117"/>
      <c r="H21" s="117">
        <v>141045.5</v>
      </c>
      <c r="I21" s="76"/>
    </row>
    <row r="22" spans="1:9">
      <c r="A22" s="572"/>
      <c r="B22" s="572"/>
      <c r="C22" s="76" t="s">
        <v>4722</v>
      </c>
      <c r="D22" s="76" t="s">
        <v>4690</v>
      </c>
      <c r="E22" s="76" t="s">
        <v>4723</v>
      </c>
      <c r="F22" s="76"/>
      <c r="G22" s="117"/>
      <c r="H22" s="117">
        <v>640000</v>
      </c>
      <c r="I22" s="76"/>
    </row>
    <row r="23" spans="1:9">
      <c r="A23" s="572"/>
      <c r="B23" s="572"/>
      <c r="C23" s="76" t="s">
        <v>4724</v>
      </c>
      <c r="D23" s="76" t="s">
        <v>4690</v>
      </c>
      <c r="E23" s="76" t="s">
        <v>4725</v>
      </c>
      <c r="F23" s="76"/>
      <c r="G23" s="117"/>
      <c r="H23" s="117">
        <v>30364.38</v>
      </c>
      <c r="I23" s="76"/>
    </row>
    <row r="24" spans="1:9">
      <c r="A24" s="572"/>
      <c r="B24" s="572"/>
      <c r="C24" s="76" t="s">
        <v>4726</v>
      </c>
      <c r="D24" s="76" t="s">
        <v>4690</v>
      </c>
      <c r="E24" s="76" t="s">
        <v>4727</v>
      </c>
      <c r="F24" s="76"/>
      <c r="G24" s="117"/>
      <c r="H24" s="117">
        <v>10296951.76</v>
      </c>
      <c r="I24" s="76"/>
    </row>
    <row r="25" spans="1:9">
      <c r="A25" s="572"/>
      <c r="B25" s="572"/>
      <c r="C25" s="76" t="s">
        <v>4728</v>
      </c>
      <c r="D25" s="76" t="s">
        <v>4690</v>
      </c>
      <c r="E25" s="76" t="s">
        <v>4729</v>
      </c>
      <c r="F25" s="76"/>
      <c r="G25" s="117"/>
      <c r="H25" s="117">
        <v>32138852.199999999</v>
      </c>
      <c r="I25" s="76"/>
    </row>
    <row r="26" spans="1:9">
      <c r="A26" s="572"/>
      <c r="B26" s="572"/>
      <c r="C26" s="76" t="s">
        <v>4730</v>
      </c>
      <c r="D26" s="76" t="s">
        <v>4690</v>
      </c>
      <c r="E26" s="76" t="s">
        <v>4731</v>
      </c>
      <c r="F26" s="76"/>
      <c r="G26" s="117"/>
      <c r="H26" s="117">
        <v>323760</v>
      </c>
      <c r="I26" s="76"/>
    </row>
    <row r="27" spans="1:9">
      <c r="A27" s="572"/>
      <c r="B27" s="572"/>
      <c r="C27" s="76" t="s">
        <v>4732</v>
      </c>
      <c r="D27" s="76" t="s">
        <v>4690</v>
      </c>
      <c r="E27" s="76" t="s">
        <v>4733</v>
      </c>
      <c r="F27" s="76"/>
      <c r="G27" s="117"/>
      <c r="H27" s="117">
        <v>4281</v>
      </c>
      <c r="I27" s="76"/>
    </row>
    <row r="28" spans="1:9">
      <c r="A28" s="572"/>
      <c r="B28" s="572"/>
      <c r="C28" s="76" t="s">
        <v>4734</v>
      </c>
      <c r="D28" s="76" t="s">
        <v>4690</v>
      </c>
      <c r="E28" s="76" t="s">
        <v>4735</v>
      </c>
      <c r="F28" s="76"/>
      <c r="G28" s="117"/>
      <c r="H28" s="117">
        <v>3210180.05</v>
      </c>
      <c r="I28" s="76"/>
    </row>
    <row r="29" spans="1:9">
      <c r="A29" s="572"/>
      <c r="B29" s="572"/>
      <c r="C29" s="76" t="s">
        <v>4736</v>
      </c>
      <c r="D29" s="76" t="s">
        <v>4690</v>
      </c>
      <c r="E29" s="76" t="s">
        <v>4737</v>
      </c>
      <c r="F29" s="76"/>
      <c r="G29" s="117"/>
      <c r="H29" s="117">
        <v>108744.5</v>
      </c>
      <c r="I29" s="76"/>
    </row>
    <row r="30" spans="1:9">
      <c r="A30" s="572"/>
      <c r="B30" s="572"/>
      <c r="C30" s="76" t="s">
        <v>4738</v>
      </c>
      <c r="D30" s="76" t="s">
        <v>4690</v>
      </c>
      <c r="E30" s="76" t="s">
        <v>4739</v>
      </c>
      <c r="F30" s="76"/>
      <c r="G30" s="117"/>
      <c r="H30" s="117">
        <v>102335.34</v>
      </c>
      <c r="I30" s="76"/>
    </row>
    <row r="31" spans="1:9">
      <c r="A31" s="572"/>
      <c r="B31" s="572"/>
      <c r="C31" s="76" t="s">
        <v>4740</v>
      </c>
      <c r="D31" s="76" t="s">
        <v>4690</v>
      </c>
      <c r="E31" s="76" t="s">
        <v>4741</v>
      </c>
      <c r="F31" s="76"/>
      <c r="G31" s="117"/>
      <c r="H31" s="117">
        <v>225864</v>
      </c>
      <c r="I31" s="76"/>
    </row>
    <row r="32" spans="1:9">
      <c r="A32" s="573"/>
      <c r="B32" s="573"/>
      <c r="C32" s="76" t="s">
        <v>4742</v>
      </c>
      <c r="D32" s="76" t="s">
        <v>4690</v>
      </c>
      <c r="E32" s="76" t="s">
        <v>4743</v>
      </c>
      <c r="F32" s="76"/>
      <c r="G32" s="117"/>
      <c r="H32" s="117">
        <v>5800501.8200000003</v>
      </c>
      <c r="I32" s="76"/>
    </row>
    <row r="33" spans="1:9">
      <c r="A33" s="576">
        <v>7</v>
      </c>
      <c r="B33" s="576" t="s">
        <v>654</v>
      </c>
      <c r="C33" s="74" t="s">
        <v>4744</v>
      </c>
      <c r="D33" s="74" t="s">
        <v>4690</v>
      </c>
      <c r="E33" s="74"/>
      <c r="F33" s="74"/>
      <c r="G33" s="116"/>
      <c r="H33" s="116">
        <v>50271247.5</v>
      </c>
      <c r="I33" s="116"/>
    </row>
    <row r="34" spans="1:9">
      <c r="A34" s="584"/>
      <c r="B34" s="584"/>
      <c r="C34" s="74" t="s">
        <v>4745</v>
      </c>
      <c r="D34" s="74" t="s">
        <v>4687</v>
      </c>
      <c r="E34" s="74"/>
      <c r="F34" s="74"/>
      <c r="G34" s="116"/>
      <c r="H34" s="116">
        <v>20085557.099999998</v>
      </c>
      <c r="I34" s="116"/>
    </row>
    <row r="35" spans="1:9">
      <c r="A35" s="584"/>
      <c r="B35" s="584"/>
      <c r="C35" s="74" t="s">
        <v>4746</v>
      </c>
      <c r="D35" s="74" t="s">
        <v>4690</v>
      </c>
      <c r="E35" s="74"/>
      <c r="F35" s="74"/>
      <c r="G35" s="116"/>
      <c r="H35" s="116">
        <v>15952311.82</v>
      </c>
      <c r="I35" s="116"/>
    </row>
    <row r="36" spans="1:9">
      <c r="A36" s="584"/>
      <c r="B36" s="584"/>
      <c r="C36" s="74" t="s">
        <v>4747</v>
      </c>
      <c r="D36" s="74" t="s">
        <v>4690</v>
      </c>
      <c r="E36" s="74"/>
      <c r="F36" s="74"/>
      <c r="G36" s="116"/>
      <c r="H36" s="116">
        <v>14411528.949999999</v>
      </c>
      <c r="I36" s="116"/>
    </row>
    <row r="37" spans="1:9">
      <c r="A37" s="584"/>
      <c r="B37" s="584"/>
      <c r="C37" s="74" t="s">
        <v>4748</v>
      </c>
      <c r="D37" s="74" t="s">
        <v>4690</v>
      </c>
      <c r="E37" s="74"/>
      <c r="F37" s="74"/>
      <c r="G37" s="116"/>
      <c r="H37" s="116">
        <v>12559720.600000001</v>
      </c>
      <c r="I37" s="116"/>
    </row>
    <row r="38" spans="1:9">
      <c r="A38" s="584"/>
      <c r="B38" s="584"/>
      <c r="C38" s="74" t="s">
        <v>4749</v>
      </c>
      <c r="D38" s="74" t="s">
        <v>4690</v>
      </c>
      <c r="E38" s="74"/>
      <c r="F38" s="74"/>
      <c r="G38" s="116"/>
      <c r="H38" s="116">
        <v>7957646.4399999995</v>
      </c>
      <c r="I38" s="116"/>
    </row>
    <row r="39" spans="1:9">
      <c r="A39" s="584"/>
      <c r="B39" s="584"/>
      <c r="C39" s="74" t="s">
        <v>4750</v>
      </c>
      <c r="D39" s="74" t="s">
        <v>4690</v>
      </c>
      <c r="E39" s="74"/>
      <c r="F39" s="74"/>
      <c r="G39" s="116"/>
      <c r="H39" s="116">
        <v>7471004.2499999981</v>
      </c>
      <c r="I39" s="116"/>
    </row>
    <row r="40" spans="1:9">
      <c r="A40" s="584"/>
      <c r="B40" s="584"/>
      <c r="C40" s="74" t="s">
        <v>4751</v>
      </c>
      <c r="D40" s="74" t="s">
        <v>4690</v>
      </c>
      <c r="E40" s="74"/>
      <c r="F40" s="74"/>
      <c r="G40" s="116"/>
      <c r="H40" s="116">
        <v>6580866.3499999996</v>
      </c>
      <c r="I40" s="116"/>
    </row>
    <row r="41" spans="1:9">
      <c r="A41" s="584"/>
      <c r="B41" s="584"/>
      <c r="C41" s="74" t="s">
        <v>4752</v>
      </c>
      <c r="D41" s="74" t="s">
        <v>4690</v>
      </c>
      <c r="E41" s="74"/>
      <c r="F41" s="74"/>
      <c r="G41" s="116"/>
      <c r="H41" s="116">
        <v>6349699.6899999995</v>
      </c>
      <c r="I41" s="116"/>
    </row>
    <row r="42" spans="1:9">
      <c r="A42" s="584"/>
      <c r="B42" s="584"/>
      <c r="C42" s="74" t="s">
        <v>4753</v>
      </c>
      <c r="D42" s="74" t="s">
        <v>4690</v>
      </c>
      <c r="E42" s="74"/>
      <c r="F42" s="74"/>
      <c r="G42" s="116"/>
      <c r="H42" s="116">
        <v>6261712.1400000006</v>
      </c>
      <c r="I42" s="116"/>
    </row>
    <row r="43" spans="1:9">
      <c r="A43" s="584"/>
      <c r="B43" s="584"/>
      <c r="C43" s="74" t="s">
        <v>4754</v>
      </c>
      <c r="D43" s="74" t="s">
        <v>4690</v>
      </c>
      <c r="E43" s="74"/>
      <c r="F43" s="74"/>
      <c r="G43" s="116"/>
      <c r="H43" s="116">
        <v>4937755.9000000004</v>
      </c>
      <c r="I43" s="116"/>
    </row>
    <row r="44" spans="1:9">
      <c r="A44" s="584"/>
      <c r="B44" s="584"/>
      <c r="C44" s="74" t="s">
        <v>4755</v>
      </c>
      <c r="D44" s="74" t="s">
        <v>4690</v>
      </c>
      <c r="E44" s="74"/>
      <c r="F44" s="74"/>
      <c r="G44" s="116"/>
      <c r="H44" s="116">
        <v>4737574.4000000004</v>
      </c>
      <c r="I44" s="116"/>
    </row>
    <row r="45" spans="1:9">
      <c r="A45" s="584"/>
      <c r="B45" s="584"/>
      <c r="C45" s="74" t="s">
        <v>4756</v>
      </c>
      <c r="D45" s="74" t="s">
        <v>4690</v>
      </c>
      <c r="E45" s="74"/>
      <c r="F45" s="74"/>
      <c r="G45" s="116"/>
      <c r="H45" s="116">
        <v>4652689.7699999996</v>
      </c>
      <c r="I45" s="116"/>
    </row>
    <row r="46" spans="1:9">
      <c r="A46" s="584"/>
      <c r="B46" s="584"/>
      <c r="C46" s="74" t="s">
        <v>4757</v>
      </c>
      <c r="D46" s="74" t="s">
        <v>4690</v>
      </c>
      <c r="E46" s="74"/>
      <c r="F46" s="74"/>
      <c r="G46" s="116"/>
      <c r="H46" s="116">
        <v>4454524.6899999995</v>
      </c>
      <c r="I46" s="116"/>
    </row>
    <row r="47" spans="1:9">
      <c r="A47" s="584"/>
      <c r="B47" s="584"/>
      <c r="C47" s="74" t="s">
        <v>4758</v>
      </c>
      <c r="D47" s="74" t="s">
        <v>4690</v>
      </c>
      <c r="E47" s="74"/>
      <c r="F47" s="74"/>
      <c r="G47" s="116"/>
      <c r="H47" s="116">
        <v>4080058.4899999998</v>
      </c>
      <c r="I47" s="116"/>
    </row>
    <row r="48" spans="1:9">
      <c r="A48" s="584"/>
      <c r="B48" s="584"/>
      <c r="C48" s="74" t="s">
        <v>4759</v>
      </c>
      <c r="D48" s="74" t="s">
        <v>4690</v>
      </c>
      <c r="E48" s="74"/>
      <c r="F48" s="74"/>
      <c r="G48" s="116"/>
      <c r="H48" s="116">
        <v>3965082.9699999993</v>
      </c>
      <c r="I48" s="116"/>
    </row>
    <row r="49" spans="1:9">
      <c r="A49" s="584"/>
      <c r="B49" s="584"/>
      <c r="C49" s="74" t="s">
        <v>4760</v>
      </c>
      <c r="D49" s="74" t="s">
        <v>4687</v>
      </c>
      <c r="E49" s="74"/>
      <c r="F49" s="74"/>
      <c r="G49" s="116"/>
      <c r="H49" s="116">
        <v>3649370.06</v>
      </c>
      <c r="I49" s="116"/>
    </row>
    <row r="50" spans="1:9">
      <c r="A50" s="584"/>
      <c r="B50" s="584"/>
      <c r="C50" s="74" t="s">
        <v>4761</v>
      </c>
      <c r="D50" s="74" t="s">
        <v>4690</v>
      </c>
      <c r="E50" s="74"/>
      <c r="F50" s="74"/>
      <c r="G50" s="116"/>
      <c r="H50" s="116">
        <v>3461079.7800000003</v>
      </c>
      <c r="I50" s="116"/>
    </row>
    <row r="51" spans="1:9">
      <c r="A51" s="584"/>
      <c r="B51" s="584"/>
      <c r="C51" s="74" t="s">
        <v>4762</v>
      </c>
      <c r="D51" s="74" t="s">
        <v>4690</v>
      </c>
      <c r="E51" s="74"/>
      <c r="F51" s="74"/>
      <c r="G51" s="116"/>
      <c r="H51" s="116">
        <v>3198859.89</v>
      </c>
      <c r="I51" s="116"/>
    </row>
    <row r="52" spans="1:9">
      <c r="A52" s="584"/>
      <c r="B52" s="584"/>
      <c r="C52" s="74" t="s">
        <v>4763</v>
      </c>
      <c r="D52" s="74" t="s">
        <v>4690</v>
      </c>
      <c r="E52" s="74"/>
      <c r="F52" s="74"/>
      <c r="G52" s="116"/>
      <c r="H52" s="116">
        <v>2566644.2399999998</v>
      </c>
      <c r="I52" s="116"/>
    </row>
    <row r="53" spans="1:9">
      <c r="A53" s="584"/>
      <c r="B53" s="584"/>
      <c r="C53" s="74" t="s">
        <v>4764</v>
      </c>
      <c r="D53" s="74" t="s">
        <v>4690</v>
      </c>
      <c r="E53" s="74"/>
      <c r="F53" s="74"/>
      <c r="G53" s="116"/>
      <c r="H53" s="116">
        <v>2300327.0300000003</v>
      </c>
      <c r="I53" s="116"/>
    </row>
    <row r="54" spans="1:9">
      <c r="A54" s="584"/>
      <c r="B54" s="584"/>
      <c r="C54" s="74" t="s">
        <v>4765</v>
      </c>
      <c r="D54" s="74" t="s">
        <v>4690</v>
      </c>
      <c r="E54" s="74"/>
      <c r="F54" s="74"/>
      <c r="G54" s="116"/>
      <c r="H54" s="116">
        <v>2292412.4700000002</v>
      </c>
      <c r="I54" s="116"/>
    </row>
    <row r="55" spans="1:9">
      <c r="A55" s="584"/>
      <c r="B55" s="584"/>
      <c r="C55" s="74" t="s">
        <v>4766</v>
      </c>
      <c r="D55" s="74" t="s">
        <v>4690</v>
      </c>
      <c r="E55" s="74"/>
      <c r="F55" s="74"/>
      <c r="G55" s="116"/>
      <c r="H55" s="116">
        <v>2066070.69</v>
      </c>
      <c r="I55" s="116"/>
    </row>
    <row r="56" spans="1:9">
      <c r="A56" s="584"/>
      <c r="B56" s="584"/>
      <c r="C56" s="74" t="s">
        <v>4767</v>
      </c>
      <c r="D56" s="74" t="s">
        <v>4690</v>
      </c>
      <c r="E56" s="74"/>
      <c r="F56" s="74"/>
      <c r="G56" s="116"/>
      <c r="H56" s="116">
        <v>1997608.26</v>
      </c>
      <c r="I56" s="116"/>
    </row>
    <row r="57" spans="1:9">
      <c r="A57" s="584"/>
      <c r="B57" s="584"/>
      <c r="C57" s="74" t="s">
        <v>4768</v>
      </c>
      <c r="D57" s="74" t="s">
        <v>4690</v>
      </c>
      <c r="E57" s="74"/>
      <c r="F57" s="74"/>
      <c r="G57" s="116"/>
      <c r="H57" s="116">
        <v>1962888.65</v>
      </c>
      <c r="I57" s="116"/>
    </row>
    <row r="58" spans="1:9">
      <c r="A58" s="584"/>
      <c r="B58" s="584"/>
      <c r="C58" s="74" t="s">
        <v>4769</v>
      </c>
      <c r="D58" s="74" t="s">
        <v>4690</v>
      </c>
      <c r="E58" s="74"/>
      <c r="F58" s="74"/>
      <c r="G58" s="116"/>
      <c r="H58" s="116">
        <v>1812302.0100000002</v>
      </c>
      <c r="I58" s="116"/>
    </row>
    <row r="59" spans="1:9">
      <c r="A59" s="584"/>
      <c r="B59" s="584"/>
      <c r="C59" s="74" t="s">
        <v>4770</v>
      </c>
      <c r="D59" s="74" t="s">
        <v>4687</v>
      </c>
      <c r="E59" s="74"/>
      <c r="F59" s="74"/>
      <c r="G59" s="116"/>
      <c r="H59" s="116">
        <v>1746916.9600000002</v>
      </c>
      <c r="I59" s="116"/>
    </row>
    <row r="60" spans="1:9">
      <c r="A60" s="584"/>
      <c r="B60" s="584"/>
      <c r="C60" s="74" t="s">
        <v>4771</v>
      </c>
      <c r="D60" s="74" t="s">
        <v>4690</v>
      </c>
      <c r="E60" s="74"/>
      <c r="F60" s="74"/>
      <c r="G60" s="116"/>
      <c r="H60" s="116">
        <v>1591762.87</v>
      </c>
      <c r="I60" s="116"/>
    </row>
    <row r="61" spans="1:9">
      <c r="A61" s="584"/>
      <c r="B61" s="584"/>
      <c r="C61" s="74" t="s">
        <v>4772</v>
      </c>
      <c r="D61" s="74" t="s">
        <v>4690</v>
      </c>
      <c r="E61" s="74"/>
      <c r="F61" s="74"/>
      <c r="G61" s="116"/>
      <c r="H61" s="116">
        <v>1536246.8599999999</v>
      </c>
      <c r="I61" s="116"/>
    </row>
    <row r="62" spans="1:9">
      <c r="A62" s="584"/>
      <c r="B62" s="584"/>
      <c r="C62" s="74" t="s">
        <v>4773</v>
      </c>
      <c r="D62" s="74" t="s">
        <v>4690</v>
      </c>
      <c r="E62" s="74"/>
      <c r="F62" s="74"/>
      <c r="G62" s="116"/>
      <c r="H62" s="116">
        <v>1484864.57</v>
      </c>
      <c r="I62" s="116"/>
    </row>
    <row r="63" spans="1:9">
      <c r="A63" s="584"/>
      <c r="B63" s="584"/>
      <c r="C63" s="74" t="s">
        <v>4774</v>
      </c>
      <c r="D63" s="74" t="s">
        <v>4690</v>
      </c>
      <c r="E63" s="74"/>
      <c r="F63" s="74"/>
      <c r="G63" s="116"/>
      <c r="H63" s="116">
        <v>1461195.1</v>
      </c>
      <c r="I63" s="116"/>
    </row>
    <row r="64" spans="1:9">
      <c r="A64" s="584"/>
      <c r="B64" s="584"/>
      <c r="C64" s="74" t="s">
        <v>4775</v>
      </c>
      <c r="D64" s="74" t="s">
        <v>4690</v>
      </c>
      <c r="E64" s="74"/>
      <c r="F64" s="74"/>
      <c r="G64" s="116"/>
      <c r="H64" s="116">
        <v>1345014.96</v>
      </c>
      <c r="I64" s="116"/>
    </row>
    <row r="65" spans="1:9">
      <c r="A65" s="584"/>
      <c r="B65" s="584"/>
      <c r="C65" s="74" t="s">
        <v>4776</v>
      </c>
      <c r="D65" s="74" t="s">
        <v>4687</v>
      </c>
      <c r="E65" s="74"/>
      <c r="F65" s="74"/>
      <c r="G65" s="116"/>
      <c r="H65" s="116">
        <v>1224885.97</v>
      </c>
      <c r="I65" s="116"/>
    </row>
    <row r="66" spans="1:9">
      <c r="A66" s="584"/>
      <c r="B66" s="584"/>
      <c r="C66" s="74" t="s">
        <v>4777</v>
      </c>
      <c r="D66" s="74" t="s">
        <v>4690</v>
      </c>
      <c r="E66" s="74"/>
      <c r="F66" s="74"/>
      <c r="G66" s="116"/>
      <c r="H66" s="116">
        <v>1154967.3799999999</v>
      </c>
      <c r="I66" s="116"/>
    </row>
    <row r="67" spans="1:9">
      <c r="A67" s="584"/>
      <c r="B67" s="584"/>
      <c r="C67" s="74" t="s">
        <v>4778</v>
      </c>
      <c r="D67" s="74" t="s">
        <v>4690</v>
      </c>
      <c r="E67" s="74"/>
      <c r="F67" s="74"/>
      <c r="G67" s="116"/>
      <c r="H67" s="116">
        <v>1142268.1099999999</v>
      </c>
      <c r="I67" s="116"/>
    </row>
    <row r="68" spans="1:9">
      <c r="A68" s="584"/>
      <c r="B68" s="584"/>
      <c r="C68" s="74" t="s">
        <v>4779</v>
      </c>
      <c r="D68" s="74" t="s">
        <v>4690</v>
      </c>
      <c r="E68" s="74"/>
      <c r="F68" s="74"/>
      <c r="G68" s="116"/>
      <c r="H68" s="116">
        <v>1099372.6300000001</v>
      </c>
      <c r="I68" s="116"/>
    </row>
    <row r="69" spans="1:9">
      <c r="A69" s="584"/>
      <c r="B69" s="584"/>
      <c r="C69" s="74" t="s">
        <v>4780</v>
      </c>
      <c r="D69" s="74" t="s">
        <v>4690</v>
      </c>
      <c r="E69" s="74"/>
      <c r="F69" s="74"/>
      <c r="G69" s="116"/>
      <c r="H69" s="116">
        <v>994534.43</v>
      </c>
      <c r="I69" s="116"/>
    </row>
    <row r="70" spans="1:9">
      <c r="A70" s="584"/>
      <c r="B70" s="584"/>
      <c r="C70" s="74" t="s">
        <v>4781</v>
      </c>
      <c r="D70" s="74" t="s">
        <v>4690</v>
      </c>
      <c r="E70" s="74"/>
      <c r="F70" s="74"/>
      <c r="G70" s="116"/>
      <c r="H70" s="116">
        <v>958588.04</v>
      </c>
      <c r="I70" s="116"/>
    </row>
    <row r="71" spans="1:9">
      <c r="A71" s="584"/>
      <c r="B71" s="584"/>
      <c r="C71" s="74" t="s">
        <v>4782</v>
      </c>
      <c r="D71" s="74" t="s">
        <v>4690</v>
      </c>
      <c r="E71" s="74"/>
      <c r="F71" s="74"/>
      <c r="G71" s="116"/>
      <c r="H71" s="116">
        <v>939637.62000000011</v>
      </c>
      <c r="I71" s="116"/>
    </row>
    <row r="72" spans="1:9">
      <c r="A72" s="584"/>
      <c r="B72" s="584"/>
      <c r="C72" s="74" t="s">
        <v>4783</v>
      </c>
      <c r="D72" s="74" t="s">
        <v>4687</v>
      </c>
      <c r="E72" s="74"/>
      <c r="F72" s="74"/>
      <c r="G72" s="116"/>
      <c r="H72" s="116">
        <v>848718.24</v>
      </c>
      <c r="I72" s="116"/>
    </row>
    <row r="73" spans="1:9">
      <c r="A73" s="584"/>
      <c r="B73" s="584"/>
      <c r="C73" s="74" t="s">
        <v>4784</v>
      </c>
      <c r="D73" s="74" t="s">
        <v>4690</v>
      </c>
      <c r="E73" s="74"/>
      <c r="F73" s="74"/>
      <c r="G73" s="116"/>
      <c r="H73" s="116">
        <v>827448.58000000007</v>
      </c>
      <c r="I73" s="116"/>
    </row>
    <row r="74" spans="1:9">
      <c r="A74" s="584"/>
      <c r="B74" s="584"/>
      <c r="C74" s="74" t="s">
        <v>4785</v>
      </c>
      <c r="D74" s="74" t="s">
        <v>4690</v>
      </c>
      <c r="E74" s="74"/>
      <c r="F74" s="74"/>
      <c r="G74" s="116"/>
      <c r="H74" s="116">
        <v>797366.74</v>
      </c>
      <c r="I74" s="116"/>
    </row>
    <row r="75" spans="1:9">
      <c r="A75" s="584"/>
      <c r="B75" s="584"/>
      <c r="C75" s="74" t="s">
        <v>4786</v>
      </c>
      <c r="D75" s="74" t="s">
        <v>4690</v>
      </c>
      <c r="E75" s="74"/>
      <c r="F75" s="74"/>
      <c r="G75" s="116"/>
      <c r="H75" s="116">
        <v>790614.03</v>
      </c>
      <c r="I75" s="116"/>
    </row>
    <row r="76" spans="1:9">
      <c r="A76" s="584"/>
      <c r="B76" s="584"/>
      <c r="C76" s="74" t="s">
        <v>4787</v>
      </c>
      <c r="D76" s="74" t="s">
        <v>4690</v>
      </c>
      <c r="E76" s="74"/>
      <c r="F76" s="74"/>
      <c r="G76" s="116"/>
      <c r="H76" s="116">
        <v>736620.04</v>
      </c>
      <c r="I76" s="116"/>
    </row>
    <row r="77" spans="1:9">
      <c r="A77" s="584"/>
      <c r="B77" s="584"/>
      <c r="C77" s="74" t="s">
        <v>4788</v>
      </c>
      <c r="D77" s="74" t="s">
        <v>4690</v>
      </c>
      <c r="E77" s="74"/>
      <c r="F77" s="74"/>
      <c r="G77" s="116"/>
      <c r="H77" s="116">
        <v>721125.41</v>
      </c>
      <c r="I77" s="116"/>
    </row>
    <row r="78" spans="1:9">
      <c r="A78" s="584"/>
      <c r="B78" s="584"/>
      <c r="C78" s="74" t="s">
        <v>4789</v>
      </c>
      <c r="D78" s="74" t="s">
        <v>4690</v>
      </c>
      <c r="E78" s="74"/>
      <c r="F78" s="74"/>
      <c r="G78" s="116"/>
      <c r="H78" s="116">
        <v>718685.04999999993</v>
      </c>
      <c r="I78" s="116"/>
    </row>
    <row r="79" spans="1:9">
      <c r="A79" s="584"/>
      <c r="B79" s="584"/>
      <c r="C79" s="74" t="s">
        <v>4790</v>
      </c>
      <c r="D79" s="74" t="s">
        <v>4690</v>
      </c>
      <c r="E79" s="74"/>
      <c r="F79" s="74"/>
      <c r="G79" s="116"/>
      <c r="H79" s="116">
        <v>699053.05999999994</v>
      </c>
      <c r="I79" s="116"/>
    </row>
    <row r="80" spans="1:9">
      <c r="A80" s="584"/>
      <c r="B80" s="584"/>
      <c r="C80" s="74" t="s">
        <v>4791</v>
      </c>
      <c r="D80" s="74" t="s">
        <v>4690</v>
      </c>
      <c r="E80" s="74"/>
      <c r="F80" s="74"/>
      <c r="G80" s="116"/>
      <c r="H80" s="116">
        <v>648766.79</v>
      </c>
      <c r="I80" s="116"/>
    </row>
    <row r="81" spans="1:9">
      <c r="A81" s="584"/>
      <c r="B81" s="584"/>
      <c r="C81" s="74" t="s">
        <v>4792</v>
      </c>
      <c r="D81" s="74" t="s">
        <v>4690</v>
      </c>
      <c r="E81" s="74"/>
      <c r="F81" s="74"/>
      <c r="G81" s="116"/>
      <c r="H81" s="116">
        <v>609571.31999999995</v>
      </c>
      <c r="I81" s="116"/>
    </row>
    <row r="82" spans="1:9">
      <c r="A82" s="584"/>
      <c r="B82" s="584"/>
      <c r="C82" s="74" t="s">
        <v>4793</v>
      </c>
      <c r="D82" s="74" t="s">
        <v>4690</v>
      </c>
      <c r="E82" s="74"/>
      <c r="F82" s="74"/>
      <c r="G82" s="116"/>
      <c r="H82" s="116">
        <v>598451.42999999993</v>
      </c>
      <c r="I82" s="116"/>
    </row>
    <row r="83" spans="1:9">
      <c r="A83" s="584"/>
      <c r="B83" s="584"/>
      <c r="C83" s="74" t="s">
        <v>4794</v>
      </c>
      <c r="D83" s="74" t="s">
        <v>4690</v>
      </c>
      <c r="E83" s="74"/>
      <c r="F83" s="74"/>
      <c r="G83" s="116"/>
      <c r="H83" s="116">
        <v>597838.72</v>
      </c>
      <c r="I83" s="116"/>
    </row>
    <row r="84" spans="1:9">
      <c r="A84" s="584"/>
      <c r="B84" s="584"/>
      <c r="C84" s="74" t="s">
        <v>4795</v>
      </c>
      <c r="D84" s="74" t="s">
        <v>4690</v>
      </c>
      <c r="E84" s="74"/>
      <c r="F84" s="74"/>
      <c r="G84" s="116"/>
      <c r="H84" s="116">
        <v>595557.70000000007</v>
      </c>
      <c r="I84" s="116"/>
    </row>
    <row r="85" spans="1:9">
      <c r="A85" s="584"/>
      <c r="B85" s="584"/>
      <c r="C85" s="74" t="s">
        <v>4796</v>
      </c>
      <c r="D85" s="74" t="s">
        <v>4690</v>
      </c>
      <c r="E85" s="74"/>
      <c r="F85" s="74"/>
      <c r="G85" s="116"/>
      <c r="H85" s="116">
        <v>585026.09000000008</v>
      </c>
      <c r="I85" s="116"/>
    </row>
    <row r="86" spans="1:9">
      <c r="A86" s="584"/>
      <c r="B86" s="584"/>
      <c r="C86" s="74" t="s">
        <v>4797</v>
      </c>
      <c r="D86" s="74" t="s">
        <v>4690</v>
      </c>
      <c r="E86" s="74"/>
      <c r="F86" s="74"/>
      <c r="G86" s="116"/>
      <c r="H86" s="116">
        <v>570000</v>
      </c>
      <c r="I86" s="116"/>
    </row>
    <row r="87" spans="1:9">
      <c r="A87" s="584"/>
      <c r="B87" s="584"/>
      <c r="C87" s="74" t="s">
        <v>4798</v>
      </c>
      <c r="D87" s="74" t="s">
        <v>4690</v>
      </c>
      <c r="E87" s="74"/>
      <c r="F87" s="74"/>
      <c r="G87" s="116"/>
      <c r="H87" s="116">
        <v>508239.88999999996</v>
      </c>
      <c r="I87" s="116"/>
    </row>
    <row r="88" spans="1:9">
      <c r="A88" s="584"/>
      <c r="B88" s="584"/>
      <c r="C88" s="74" t="s">
        <v>4799</v>
      </c>
      <c r="D88" s="74" t="s">
        <v>4690</v>
      </c>
      <c r="E88" s="74"/>
      <c r="F88" s="74"/>
      <c r="G88" s="116"/>
      <c r="H88" s="116">
        <v>494369.07</v>
      </c>
      <c r="I88" s="116"/>
    </row>
    <row r="89" spans="1:9">
      <c r="A89" s="584"/>
      <c r="B89" s="584"/>
      <c r="C89" s="74" t="s">
        <v>4800</v>
      </c>
      <c r="D89" s="74" t="s">
        <v>4690</v>
      </c>
      <c r="E89" s="74"/>
      <c r="F89" s="74"/>
      <c r="G89" s="116"/>
      <c r="H89" s="116">
        <v>471529.27</v>
      </c>
      <c r="I89" s="116"/>
    </row>
    <row r="90" spans="1:9">
      <c r="A90" s="584"/>
      <c r="B90" s="584"/>
      <c r="C90" s="74" t="s">
        <v>4801</v>
      </c>
      <c r="D90" s="74" t="s">
        <v>4690</v>
      </c>
      <c r="E90" s="74"/>
      <c r="F90" s="74"/>
      <c r="G90" s="116"/>
      <c r="H90" s="116">
        <v>459504.38</v>
      </c>
      <c r="I90" s="116"/>
    </row>
    <row r="91" spans="1:9">
      <c r="A91" s="584"/>
      <c r="B91" s="584"/>
      <c r="C91" s="74" t="s">
        <v>4802</v>
      </c>
      <c r="D91" s="74" t="s">
        <v>4690</v>
      </c>
      <c r="E91" s="74"/>
      <c r="F91" s="74"/>
      <c r="G91" s="116"/>
      <c r="H91" s="116">
        <v>442070.87</v>
      </c>
      <c r="I91" s="116"/>
    </row>
    <row r="92" spans="1:9">
      <c r="A92" s="584"/>
      <c r="B92" s="584"/>
      <c r="C92" s="74" t="s">
        <v>4803</v>
      </c>
      <c r="D92" s="74" t="s">
        <v>4690</v>
      </c>
      <c r="E92" s="74"/>
      <c r="F92" s="74"/>
      <c r="G92" s="116"/>
      <c r="H92" s="116">
        <v>433438.27</v>
      </c>
      <c r="I92" s="116"/>
    </row>
    <row r="93" spans="1:9">
      <c r="A93" s="584"/>
      <c r="B93" s="584"/>
      <c r="C93" s="74" t="s">
        <v>4804</v>
      </c>
      <c r="D93" s="74" t="s">
        <v>4690</v>
      </c>
      <c r="E93" s="74"/>
      <c r="F93" s="74"/>
      <c r="G93" s="116"/>
      <c r="H93" s="116">
        <v>389132.50000000006</v>
      </c>
      <c r="I93" s="116"/>
    </row>
    <row r="94" spans="1:9">
      <c r="A94" s="584"/>
      <c r="B94" s="584"/>
      <c r="C94" s="74" t="s">
        <v>4805</v>
      </c>
      <c r="D94" s="74" t="s">
        <v>4690</v>
      </c>
      <c r="E94" s="74"/>
      <c r="F94" s="74"/>
      <c r="G94" s="116"/>
      <c r="H94" s="116">
        <v>352910.79000000004</v>
      </c>
      <c r="I94" s="116"/>
    </row>
    <row r="95" spans="1:9">
      <c r="A95" s="584"/>
      <c r="B95" s="584"/>
      <c r="C95" s="74" t="s">
        <v>2452</v>
      </c>
      <c r="D95" s="74" t="s">
        <v>4690</v>
      </c>
      <c r="E95" s="74"/>
      <c r="F95" s="74"/>
      <c r="G95" s="116"/>
      <c r="H95" s="116">
        <v>342054.99</v>
      </c>
      <c r="I95" s="116"/>
    </row>
    <row r="96" spans="1:9">
      <c r="A96" s="584"/>
      <c r="B96" s="584"/>
      <c r="C96" s="74" t="s">
        <v>4806</v>
      </c>
      <c r="D96" s="74" t="s">
        <v>4690</v>
      </c>
      <c r="E96" s="74"/>
      <c r="F96" s="74"/>
      <c r="G96" s="116"/>
      <c r="H96" s="116">
        <v>332640.23000000004</v>
      </c>
      <c r="I96" s="116"/>
    </row>
    <row r="97" spans="1:9">
      <c r="A97" s="584"/>
      <c r="B97" s="584"/>
      <c r="C97" s="74" t="s">
        <v>4807</v>
      </c>
      <c r="D97" s="74" t="s">
        <v>4690</v>
      </c>
      <c r="E97" s="74"/>
      <c r="F97" s="74"/>
      <c r="G97" s="116"/>
      <c r="H97" s="116">
        <v>331673.63</v>
      </c>
      <c r="I97" s="116"/>
    </row>
    <row r="98" spans="1:9">
      <c r="A98" s="584"/>
      <c r="B98" s="584"/>
      <c r="C98" s="74" t="s">
        <v>4808</v>
      </c>
      <c r="D98" s="74" t="s">
        <v>4690</v>
      </c>
      <c r="E98" s="74"/>
      <c r="F98" s="74"/>
      <c r="G98" s="116"/>
      <c r="H98" s="116">
        <v>320378.96999999997</v>
      </c>
      <c r="I98" s="116"/>
    </row>
    <row r="99" spans="1:9">
      <c r="A99" s="584"/>
      <c r="B99" s="584"/>
      <c r="C99" s="74" t="s">
        <v>4809</v>
      </c>
      <c r="D99" s="74" t="s">
        <v>4690</v>
      </c>
      <c r="E99" s="74"/>
      <c r="F99" s="74"/>
      <c r="G99" s="116"/>
      <c r="H99" s="116">
        <v>304986.7</v>
      </c>
      <c r="I99" s="116"/>
    </row>
    <row r="100" spans="1:9">
      <c r="A100" s="584"/>
      <c r="B100" s="584"/>
      <c r="C100" s="74" t="s">
        <v>4810</v>
      </c>
      <c r="D100" s="74" t="s">
        <v>4690</v>
      </c>
      <c r="E100" s="74"/>
      <c r="F100" s="74"/>
      <c r="G100" s="116"/>
      <c r="H100" s="116">
        <v>260898.37</v>
      </c>
      <c r="I100" s="116"/>
    </row>
    <row r="101" spans="1:9">
      <c r="A101" s="584"/>
      <c r="B101" s="584"/>
      <c r="C101" s="74" t="s">
        <v>4811</v>
      </c>
      <c r="D101" s="74" t="s">
        <v>4690</v>
      </c>
      <c r="E101" s="74"/>
      <c r="F101" s="74"/>
      <c r="G101" s="116"/>
      <c r="H101" s="116">
        <v>257199.18</v>
      </c>
      <c r="I101" s="116"/>
    </row>
    <row r="102" spans="1:9">
      <c r="A102" s="584"/>
      <c r="B102" s="584"/>
      <c r="C102" s="74" t="s">
        <v>4812</v>
      </c>
      <c r="D102" s="74" t="s">
        <v>4690</v>
      </c>
      <c r="E102" s="74"/>
      <c r="F102" s="74"/>
      <c r="G102" s="116"/>
      <c r="H102" s="116">
        <v>252287.24</v>
      </c>
      <c r="I102" s="116"/>
    </row>
    <row r="103" spans="1:9">
      <c r="A103" s="584"/>
      <c r="B103" s="584"/>
      <c r="C103" s="74" t="s">
        <v>4813</v>
      </c>
      <c r="D103" s="74" t="s">
        <v>4690</v>
      </c>
      <c r="E103" s="74"/>
      <c r="F103" s="74"/>
      <c r="G103" s="116"/>
      <c r="H103" s="116">
        <v>228008.88</v>
      </c>
      <c r="I103" s="116"/>
    </row>
    <row r="104" spans="1:9">
      <c r="A104" s="584"/>
      <c r="B104" s="584"/>
      <c r="C104" s="74" t="s">
        <v>4814</v>
      </c>
      <c r="D104" s="74" t="s">
        <v>4690</v>
      </c>
      <c r="E104" s="74"/>
      <c r="F104" s="74"/>
      <c r="G104" s="116"/>
      <c r="H104" s="116">
        <v>217432.13</v>
      </c>
      <c r="I104" s="116"/>
    </row>
    <row r="105" spans="1:9">
      <c r="A105" s="584"/>
      <c r="B105" s="584"/>
      <c r="C105" s="74" t="s">
        <v>4815</v>
      </c>
      <c r="D105" s="74" t="s">
        <v>4690</v>
      </c>
      <c r="E105" s="74"/>
      <c r="F105" s="74"/>
      <c r="G105" s="116"/>
      <c r="H105" s="116">
        <v>211180.34</v>
      </c>
      <c r="I105" s="116"/>
    </row>
    <row r="106" spans="1:9">
      <c r="A106" s="584"/>
      <c r="B106" s="584"/>
      <c r="C106" s="74" t="s">
        <v>4816</v>
      </c>
      <c r="D106" s="74" t="s">
        <v>4690</v>
      </c>
      <c r="E106" s="74"/>
      <c r="F106" s="74"/>
      <c r="G106" s="116"/>
      <c r="H106" s="116">
        <v>210000</v>
      </c>
      <c r="I106" s="116"/>
    </row>
    <row r="107" spans="1:9">
      <c r="A107" s="584"/>
      <c r="B107" s="584"/>
      <c r="C107" s="74" t="s">
        <v>4817</v>
      </c>
      <c r="D107" s="74" t="s">
        <v>4690</v>
      </c>
      <c r="E107" s="74"/>
      <c r="F107" s="74"/>
      <c r="G107" s="116"/>
      <c r="H107" s="116">
        <v>206066.91</v>
      </c>
      <c r="I107" s="116"/>
    </row>
    <row r="108" spans="1:9">
      <c r="A108" s="584"/>
      <c r="B108" s="584"/>
      <c r="C108" s="74" t="s">
        <v>4818</v>
      </c>
      <c r="D108" s="74" t="s">
        <v>4690</v>
      </c>
      <c r="E108" s="74"/>
      <c r="F108" s="74"/>
      <c r="G108" s="116"/>
      <c r="H108" s="116">
        <v>205368.39</v>
      </c>
      <c r="I108" s="116"/>
    </row>
    <row r="109" spans="1:9">
      <c r="A109" s="584"/>
      <c r="B109" s="584"/>
      <c r="C109" s="74" t="s">
        <v>4819</v>
      </c>
      <c r="D109" s="74" t="s">
        <v>4690</v>
      </c>
      <c r="E109" s="74"/>
      <c r="F109" s="74"/>
      <c r="G109" s="116"/>
      <c r="H109" s="116">
        <v>194557.72</v>
      </c>
      <c r="I109" s="116"/>
    </row>
    <row r="110" spans="1:9">
      <c r="A110" s="584"/>
      <c r="B110" s="584"/>
      <c r="C110" s="74" t="s">
        <v>4820</v>
      </c>
      <c r="D110" s="74" t="s">
        <v>4687</v>
      </c>
      <c r="E110" s="74"/>
      <c r="F110" s="74"/>
      <c r="G110" s="116"/>
      <c r="H110" s="116">
        <v>186828.33000000002</v>
      </c>
      <c r="I110" s="116"/>
    </row>
    <row r="111" spans="1:9">
      <c r="A111" s="584"/>
      <c r="B111" s="584"/>
      <c r="C111" s="74" t="s">
        <v>4821</v>
      </c>
      <c r="D111" s="74" t="s">
        <v>4690</v>
      </c>
      <c r="E111" s="74"/>
      <c r="F111" s="74"/>
      <c r="G111" s="116"/>
      <c r="H111" s="116">
        <v>178652.63</v>
      </c>
      <c r="I111" s="116"/>
    </row>
    <row r="112" spans="1:9">
      <c r="A112" s="584"/>
      <c r="B112" s="584"/>
      <c r="C112" s="74" t="s">
        <v>4822</v>
      </c>
      <c r="D112" s="74" t="s">
        <v>4690</v>
      </c>
      <c r="E112" s="74"/>
      <c r="F112" s="74"/>
      <c r="G112" s="116"/>
      <c r="H112" s="116">
        <v>174241.21000000002</v>
      </c>
      <c r="I112" s="116"/>
    </row>
    <row r="113" spans="1:9">
      <c r="A113" s="584"/>
      <c r="B113" s="584"/>
      <c r="C113" s="74" t="s">
        <v>4823</v>
      </c>
      <c r="D113" s="74" t="s">
        <v>4690</v>
      </c>
      <c r="E113" s="74"/>
      <c r="F113" s="74"/>
      <c r="G113" s="116"/>
      <c r="H113" s="116">
        <v>168696</v>
      </c>
      <c r="I113" s="116"/>
    </row>
    <row r="114" spans="1:9">
      <c r="A114" s="584"/>
      <c r="B114" s="584"/>
      <c r="C114" s="74" t="s">
        <v>4824</v>
      </c>
      <c r="D114" s="74" t="s">
        <v>4690</v>
      </c>
      <c r="E114" s="74"/>
      <c r="F114" s="74"/>
      <c r="G114" s="116"/>
      <c r="H114" s="116">
        <v>165593.12</v>
      </c>
      <c r="I114" s="116"/>
    </row>
    <row r="115" spans="1:9">
      <c r="A115" s="584"/>
      <c r="B115" s="584"/>
      <c r="C115" s="74" t="s">
        <v>4825</v>
      </c>
      <c r="D115" s="74" t="s">
        <v>4687</v>
      </c>
      <c r="E115" s="74"/>
      <c r="F115" s="74"/>
      <c r="G115" s="116"/>
      <c r="H115" s="116">
        <v>164605.75</v>
      </c>
      <c r="I115" s="116"/>
    </row>
    <row r="116" spans="1:9">
      <c r="A116" s="584"/>
      <c r="B116" s="584"/>
      <c r="C116" s="74" t="s">
        <v>4826</v>
      </c>
      <c r="D116" s="74" t="s">
        <v>4687</v>
      </c>
      <c r="E116" s="74"/>
      <c r="F116" s="74"/>
      <c r="G116" s="116"/>
      <c r="H116" s="116">
        <v>163301.46</v>
      </c>
      <c r="I116" s="116"/>
    </row>
    <row r="117" spans="1:9">
      <c r="A117" s="584"/>
      <c r="B117" s="584"/>
      <c r="C117" s="74" t="s">
        <v>4827</v>
      </c>
      <c r="D117" s="74" t="s">
        <v>4687</v>
      </c>
      <c r="E117" s="74"/>
      <c r="F117" s="74"/>
      <c r="G117" s="116"/>
      <c r="H117" s="116">
        <v>155960.34</v>
      </c>
      <c r="I117" s="116"/>
    </row>
    <row r="118" spans="1:9">
      <c r="A118" s="584"/>
      <c r="B118" s="584"/>
      <c r="C118" s="74" t="s">
        <v>4828</v>
      </c>
      <c r="D118" s="74" t="s">
        <v>4690</v>
      </c>
      <c r="E118" s="74"/>
      <c r="F118" s="74"/>
      <c r="G118" s="116"/>
      <c r="H118" s="116">
        <v>142782.5</v>
      </c>
      <c r="I118" s="116"/>
    </row>
    <row r="119" spans="1:9">
      <c r="A119" s="584"/>
      <c r="B119" s="584"/>
      <c r="C119" s="74" t="s">
        <v>4829</v>
      </c>
      <c r="D119" s="74" t="s">
        <v>4690</v>
      </c>
      <c r="E119" s="74"/>
      <c r="F119" s="74"/>
      <c r="G119" s="116"/>
      <c r="H119" s="116">
        <v>141593.75</v>
      </c>
      <c r="I119" s="116"/>
    </row>
    <row r="120" spans="1:9">
      <c r="A120" s="584"/>
      <c r="B120" s="584"/>
      <c r="C120" s="74" t="s">
        <v>4830</v>
      </c>
      <c r="D120" s="74" t="s">
        <v>4687</v>
      </c>
      <c r="E120" s="74"/>
      <c r="F120" s="74"/>
      <c r="G120" s="116"/>
      <c r="H120" s="116">
        <v>140353.99</v>
      </c>
      <c r="I120" s="116"/>
    </row>
    <row r="121" spans="1:9">
      <c r="A121" s="584"/>
      <c r="B121" s="584"/>
      <c r="C121" s="74" t="s">
        <v>4831</v>
      </c>
      <c r="D121" s="74" t="s">
        <v>4690</v>
      </c>
      <c r="E121" s="74"/>
      <c r="F121" s="74"/>
      <c r="G121" s="116"/>
      <c r="H121" s="116">
        <v>138778.37</v>
      </c>
      <c r="I121" s="116"/>
    </row>
    <row r="122" spans="1:9">
      <c r="A122" s="584"/>
      <c r="B122" s="584"/>
      <c r="C122" s="74" t="s">
        <v>4832</v>
      </c>
      <c r="D122" s="74" t="s">
        <v>4690</v>
      </c>
      <c r="E122" s="74"/>
      <c r="F122" s="74"/>
      <c r="G122" s="116"/>
      <c r="H122" s="116">
        <v>136850.28</v>
      </c>
      <c r="I122" s="116"/>
    </row>
    <row r="123" spans="1:9">
      <c r="A123" s="584"/>
      <c r="B123" s="584"/>
      <c r="C123" s="74" t="s">
        <v>4833</v>
      </c>
      <c r="D123" s="74" t="s">
        <v>4687</v>
      </c>
      <c r="E123" s="74"/>
      <c r="F123" s="74"/>
      <c r="G123" s="116"/>
      <c r="H123" s="116">
        <v>131605.88</v>
      </c>
      <c r="I123" s="116"/>
    </row>
    <row r="124" spans="1:9">
      <c r="A124" s="584"/>
      <c r="B124" s="584"/>
      <c r="C124" s="74" t="s">
        <v>4834</v>
      </c>
      <c r="D124" s="74" t="s">
        <v>4690</v>
      </c>
      <c r="E124" s="74"/>
      <c r="F124" s="74"/>
      <c r="G124" s="116"/>
      <c r="H124" s="116">
        <v>112682.06</v>
      </c>
      <c r="I124" s="116"/>
    </row>
    <row r="125" spans="1:9">
      <c r="A125" s="584"/>
      <c r="B125" s="584"/>
      <c r="C125" s="74" t="s">
        <v>4835</v>
      </c>
      <c r="D125" s="74" t="s">
        <v>4690</v>
      </c>
      <c r="E125" s="74"/>
      <c r="F125" s="74"/>
      <c r="G125" s="116"/>
      <c r="H125" s="116">
        <v>107906.86</v>
      </c>
      <c r="I125" s="116"/>
    </row>
    <row r="126" spans="1:9">
      <c r="A126" s="584"/>
      <c r="B126" s="584"/>
      <c r="C126" s="74" t="s">
        <v>4836</v>
      </c>
      <c r="D126" s="74" t="s">
        <v>4690</v>
      </c>
      <c r="E126" s="74"/>
      <c r="F126" s="74"/>
      <c r="G126" s="116"/>
      <c r="H126" s="116">
        <v>107370.88999999998</v>
      </c>
      <c r="I126" s="116"/>
    </row>
    <row r="127" spans="1:9">
      <c r="A127" s="584"/>
      <c r="B127" s="584"/>
      <c r="C127" s="74" t="s">
        <v>4837</v>
      </c>
      <c r="D127" s="74" t="s">
        <v>4687</v>
      </c>
      <c r="E127" s="74"/>
      <c r="F127" s="74"/>
      <c r="G127" s="116"/>
      <c r="H127" s="116">
        <v>106247.89</v>
      </c>
      <c r="I127" s="116"/>
    </row>
    <row r="128" spans="1:9">
      <c r="A128" s="584"/>
      <c r="B128" s="584"/>
      <c r="C128" s="74" t="s">
        <v>4838</v>
      </c>
      <c r="D128" s="74" t="s">
        <v>4690</v>
      </c>
      <c r="E128" s="74"/>
      <c r="F128" s="74"/>
      <c r="G128" s="116"/>
      <c r="H128" s="116">
        <v>105006.67</v>
      </c>
      <c r="I128" s="116"/>
    </row>
    <row r="129" spans="1:9">
      <c r="A129" s="584"/>
      <c r="B129" s="584"/>
      <c r="C129" s="74" t="s">
        <v>4839</v>
      </c>
      <c r="D129" s="74" t="s">
        <v>4690</v>
      </c>
      <c r="E129" s="74"/>
      <c r="F129" s="74"/>
      <c r="G129" s="116"/>
      <c r="H129" s="116">
        <v>101360.74</v>
      </c>
      <c r="I129" s="116"/>
    </row>
    <row r="130" spans="1:9">
      <c r="A130" s="584"/>
      <c r="B130" s="584"/>
      <c r="C130" s="74" t="s">
        <v>4840</v>
      </c>
      <c r="D130" s="74" t="s">
        <v>4690</v>
      </c>
      <c r="E130" s="74"/>
      <c r="F130" s="74"/>
      <c r="G130" s="116"/>
      <c r="H130" s="116">
        <v>97844.040000000008</v>
      </c>
      <c r="I130" s="116"/>
    </row>
    <row r="131" spans="1:9">
      <c r="A131" s="584"/>
      <c r="B131" s="584"/>
      <c r="C131" s="74" t="s">
        <v>4841</v>
      </c>
      <c r="D131" s="74" t="s">
        <v>4687</v>
      </c>
      <c r="E131" s="74"/>
      <c r="F131" s="74"/>
      <c r="G131" s="116"/>
      <c r="H131" s="116">
        <v>92124</v>
      </c>
      <c r="I131" s="116"/>
    </row>
    <row r="132" spans="1:9">
      <c r="A132" s="584"/>
      <c r="B132" s="584"/>
      <c r="C132" s="74" t="s">
        <v>4842</v>
      </c>
      <c r="D132" s="74" t="s">
        <v>4687</v>
      </c>
      <c r="E132" s="74"/>
      <c r="F132" s="74"/>
      <c r="G132" s="116"/>
      <c r="H132" s="116">
        <v>89282.11</v>
      </c>
      <c r="I132" s="116"/>
    </row>
    <row r="133" spans="1:9">
      <c r="A133" s="584"/>
      <c r="B133" s="584"/>
      <c r="C133" s="74" t="s">
        <v>4843</v>
      </c>
      <c r="D133" s="74" t="s">
        <v>4687</v>
      </c>
      <c r="E133" s="74"/>
      <c r="F133" s="74"/>
      <c r="G133" s="116"/>
      <c r="H133" s="116">
        <v>89014.299999999988</v>
      </c>
      <c r="I133" s="116"/>
    </row>
    <row r="134" spans="1:9">
      <c r="A134" s="584"/>
      <c r="B134" s="584"/>
      <c r="C134" s="74" t="s">
        <v>4844</v>
      </c>
      <c r="D134" s="74" t="s">
        <v>4690</v>
      </c>
      <c r="E134" s="74"/>
      <c r="F134" s="74"/>
      <c r="G134" s="116"/>
      <c r="H134" s="116">
        <v>88786.4</v>
      </c>
      <c r="I134" s="116"/>
    </row>
    <row r="135" spans="1:9">
      <c r="A135" s="584"/>
      <c r="B135" s="584"/>
      <c r="C135" s="74" t="s">
        <v>4845</v>
      </c>
      <c r="D135" s="74" t="s">
        <v>4690</v>
      </c>
      <c r="E135" s="74"/>
      <c r="F135" s="74"/>
      <c r="G135" s="116"/>
      <c r="H135" s="116">
        <v>87248</v>
      </c>
      <c r="I135" s="116"/>
    </row>
    <row r="136" spans="1:9">
      <c r="A136" s="584"/>
      <c r="B136" s="584"/>
      <c r="C136" s="74" t="s">
        <v>4846</v>
      </c>
      <c r="D136" s="74" t="s">
        <v>4690</v>
      </c>
      <c r="E136" s="74"/>
      <c r="F136" s="74"/>
      <c r="G136" s="116"/>
      <c r="H136" s="116">
        <v>86883.8</v>
      </c>
      <c r="I136" s="116"/>
    </row>
    <row r="137" spans="1:9">
      <c r="A137" s="584"/>
      <c r="B137" s="584"/>
      <c r="C137" s="74" t="s">
        <v>4847</v>
      </c>
      <c r="D137" s="74" t="s">
        <v>4687</v>
      </c>
      <c r="E137" s="74"/>
      <c r="F137" s="74"/>
      <c r="G137" s="116"/>
      <c r="H137" s="116">
        <v>83468.13</v>
      </c>
      <c r="I137" s="116"/>
    </row>
    <row r="138" spans="1:9">
      <c r="A138" s="584"/>
      <c r="B138" s="584"/>
      <c r="C138" s="74" t="s">
        <v>4848</v>
      </c>
      <c r="D138" s="74" t="s">
        <v>4687</v>
      </c>
      <c r="E138" s="74"/>
      <c r="F138" s="74"/>
      <c r="G138" s="116"/>
      <c r="H138" s="116">
        <v>81433.05</v>
      </c>
      <c r="I138" s="116"/>
    </row>
    <row r="139" spans="1:9">
      <c r="A139" s="584"/>
      <c r="B139" s="584"/>
      <c r="C139" s="74" t="s">
        <v>4849</v>
      </c>
      <c r="D139" s="74" t="s">
        <v>4690</v>
      </c>
      <c r="E139" s="74"/>
      <c r="F139" s="74"/>
      <c r="G139" s="116"/>
      <c r="H139" s="116">
        <v>79593.059999999983</v>
      </c>
      <c r="I139" s="116"/>
    </row>
    <row r="140" spans="1:9">
      <c r="A140" s="584"/>
      <c r="B140" s="584"/>
      <c r="C140" s="74" t="s">
        <v>4850</v>
      </c>
      <c r="D140" s="74" t="s">
        <v>4690</v>
      </c>
      <c r="E140" s="74"/>
      <c r="F140" s="74"/>
      <c r="G140" s="116"/>
      <c r="H140" s="116">
        <v>78392.800000000003</v>
      </c>
      <c r="I140" s="116"/>
    </row>
    <row r="141" spans="1:9">
      <c r="A141" s="584"/>
      <c r="B141" s="584"/>
      <c r="C141" s="74" t="s">
        <v>4851</v>
      </c>
      <c r="D141" s="74" t="s">
        <v>4687</v>
      </c>
      <c r="E141" s="74"/>
      <c r="F141" s="74"/>
      <c r="G141" s="116"/>
      <c r="H141" s="116">
        <v>73422.61</v>
      </c>
      <c r="I141" s="116"/>
    </row>
    <row r="142" spans="1:9">
      <c r="A142" s="584"/>
      <c r="B142" s="584"/>
      <c r="C142" s="74" t="s">
        <v>4852</v>
      </c>
      <c r="D142" s="74" t="s">
        <v>4690</v>
      </c>
      <c r="E142" s="74"/>
      <c r="F142" s="74"/>
      <c r="G142" s="116"/>
      <c r="H142" s="116">
        <v>70789.760000000009</v>
      </c>
      <c r="I142" s="116"/>
    </row>
    <row r="143" spans="1:9">
      <c r="A143" s="584"/>
      <c r="B143" s="584"/>
      <c r="C143" s="74" t="s">
        <v>1338</v>
      </c>
      <c r="D143" s="74" t="s">
        <v>4690</v>
      </c>
      <c r="E143" s="74"/>
      <c r="F143" s="74"/>
      <c r="G143" s="116"/>
      <c r="H143" s="116">
        <v>69054.799999999988</v>
      </c>
      <c r="I143" s="116"/>
    </row>
    <row r="144" spans="1:9">
      <c r="A144" s="584"/>
      <c r="B144" s="584"/>
      <c r="C144" s="74" t="s">
        <v>4853</v>
      </c>
      <c r="D144" s="74" t="s">
        <v>4690</v>
      </c>
      <c r="E144" s="74"/>
      <c r="F144" s="74"/>
      <c r="G144" s="116"/>
      <c r="H144" s="116">
        <v>66689.8</v>
      </c>
      <c r="I144" s="116"/>
    </row>
    <row r="145" spans="1:9">
      <c r="A145" s="584"/>
      <c r="B145" s="584"/>
      <c r="C145" s="74" t="s">
        <v>4854</v>
      </c>
      <c r="D145" s="74" t="s">
        <v>4690</v>
      </c>
      <c r="E145" s="74"/>
      <c r="F145" s="74"/>
      <c r="G145" s="116"/>
      <c r="H145" s="116">
        <v>62158.460000000006</v>
      </c>
      <c r="I145" s="116"/>
    </row>
    <row r="146" spans="1:9">
      <c r="A146" s="584"/>
      <c r="B146" s="584"/>
      <c r="C146" s="74" t="s">
        <v>4855</v>
      </c>
      <c r="D146" s="74" t="s">
        <v>4687</v>
      </c>
      <c r="E146" s="74"/>
      <c r="F146" s="74"/>
      <c r="G146" s="116"/>
      <c r="H146" s="116">
        <v>61207</v>
      </c>
      <c r="I146" s="116"/>
    </row>
    <row r="147" spans="1:9">
      <c r="A147" s="584"/>
      <c r="B147" s="584"/>
      <c r="C147" s="74" t="s">
        <v>4856</v>
      </c>
      <c r="D147" s="74" t="s">
        <v>4690</v>
      </c>
      <c r="E147" s="74"/>
      <c r="F147" s="74"/>
      <c r="G147" s="116"/>
      <c r="H147" s="116">
        <v>59461.5</v>
      </c>
      <c r="I147" s="116"/>
    </row>
    <row r="148" spans="1:9">
      <c r="A148" s="584"/>
      <c r="B148" s="584"/>
      <c r="C148" s="74" t="s">
        <v>4857</v>
      </c>
      <c r="D148" s="74" t="s">
        <v>4690</v>
      </c>
      <c r="E148" s="74"/>
      <c r="F148" s="74"/>
      <c r="G148" s="116"/>
      <c r="H148" s="116">
        <v>58991.09</v>
      </c>
      <c r="I148" s="116"/>
    </row>
    <row r="149" spans="1:9">
      <c r="A149" s="584"/>
      <c r="B149" s="584"/>
      <c r="C149" s="74" t="s">
        <v>4858</v>
      </c>
      <c r="D149" s="74" t="s">
        <v>4690</v>
      </c>
      <c r="E149" s="74"/>
      <c r="F149" s="74"/>
      <c r="G149" s="116"/>
      <c r="H149" s="116">
        <v>58924.909999999996</v>
      </c>
      <c r="I149" s="116"/>
    </row>
    <row r="150" spans="1:9">
      <c r="A150" s="584"/>
      <c r="B150" s="584"/>
      <c r="C150" s="74" t="s">
        <v>4859</v>
      </c>
      <c r="D150" s="74" t="s">
        <v>4687</v>
      </c>
      <c r="E150" s="74"/>
      <c r="F150" s="74"/>
      <c r="G150" s="116"/>
      <c r="H150" s="116">
        <v>55704.13</v>
      </c>
      <c r="I150" s="116"/>
    </row>
    <row r="151" spans="1:9">
      <c r="A151" s="584"/>
      <c r="B151" s="584"/>
      <c r="C151" s="74" t="s">
        <v>4860</v>
      </c>
      <c r="D151" s="74" t="s">
        <v>4687</v>
      </c>
      <c r="E151" s="74"/>
      <c r="F151" s="74"/>
      <c r="G151" s="116"/>
      <c r="H151" s="116">
        <v>48499.140000000007</v>
      </c>
      <c r="I151" s="116"/>
    </row>
    <row r="152" spans="1:9">
      <c r="A152" s="584"/>
      <c r="B152" s="584"/>
      <c r="C152" s="74" t="s">
        <v>4861</v>
      </c>
      <c r="D152" s="74" t="s">
        <v>4690</v>
      </c>
      <c r="E152" s="74"/>
      <c r="F152" s="74"/>
      <c r="G152" s="116"/>
      <c r="H152" s="116">
        <v>43873.979999999996</v>
      </c>
      <c r="I152" s="116"/>
    </row>
    <row r="153" spans="1:9">
      <c r="A153" s="584"/>
      <c r="B153" s="584"/>
      <c r="C153" s="74" t="s">
        <v>4862</v>
      </c>
      <c r="D153" s="74" t="s">
        <v>4687</v>
      </c>
      <c r="E153" s="74"/>
      <c r="F153" s="74"/>
      <c r="G153" s="116"/>
      <c r="H153" s="116">
        <v>41984.47</v>
      </c>
      <c r="I153" s="116"/>
    </row>
    <row r="154" spans="1:9">
      <c r="A154" s="584"/>
      <c r="B154" s="584"/>
      <c r="C154" s="74" t="s">
        <v>4863</v>
      </c>
      <c r="D154" s="74" t="s">
        <v>4687</v>
      </c>
      <c r="E154" s="74"/>
      <c r="F154" s="74"/>
      <c r="G154" s="116"/>
      <c r="H154" s="116">
        <v>39562.44</v>
      </c>
      <c r="I154" s="116"/>
    </row>
    <row r="155" spans="1:9">
      <c r="A155" s="584"/>
      <c r="B155" s="584"/>
      <c r="C155" s="74" t="s">
        <v>4864</v>
      </c>
      <c r="D155" s="74" t="s">
        <v>4687</v>
      </c>
      <c r="E155" s="74"/>
      <c r="F155" s="74"/>
      <c r="G155" s="116"/>
      <c r="H155" s="116">
        <v>39163.58</v>
      </c>
      <c r="I155" s="116"/>
    </row>
    <row r="156" spans="1:9">
      <c r="A156" s="584"/>
      <c r="B156" s="584"/>
      <c r="C156" s="74" t="s">
        <v>4865</v>
      </c>
      <c r="D156" s="74" t="s">
        <v>4687</v>
      </c>
      <c r="E156" s="74"/>
      <c r="F156" s="74"/>
      <c r="G156" s="116"/>
      <c r="H156" s="116">
        <v>38417</v>
      </c>
      <c r="I156" s="116"/>
    </row>
    <row r="157" spans="1:9">
      <c r="A157" s="584"/>
      <c r="B157" s="584"/>
      <c r="C157" s="74" t="s">
        <v>4866</v>
      </c>
      <c r="D157" s="74" t="s">
        <v>4690</v>
      </c>
      <c r="E157" s="74"/>
      <c r="F157" s="74"/>
      <c r="G157" s="116"/>
      <c r="H157" s="116">
        <v>36975.5</v>
      </c>
      <c r="I157" s="116"/>
    </row>
    <row r="158" spans="1:9">
      <c r="A158" s="584"/>
      <c r="B158" s="584"/>
      <c r="C158" s="74" t="s">
        <v>4867</v>
      </c>
      <c r="D158" s="74" t="s">
        <v>4690</v>
      </c>
      <c r="E158" s="74"/>
      <c r="F158" s="74"/>
      <c r="G158" s="116"/>
      <c r="H158" s="116">
        <v>35216.6</v>
      </c>
      <c r="I158" s="116"/>
    </row>
    <row r="159" spans="1:9">
      <c r="A159" s="584"/>
      <c r="B159" s="584"/>
      <c r="C159" s="74" t="s">
        <v>4868</v>
      </c>
      <c r="D159" s="74" t="s">
        <v>4690</v>
      </c>
      <c r="E159" s="74"/>
      <c r="F159" s="74"/>
      <c r="G159" s="116"/>
      <c r="H159" s="116">
        <v>34989.96</v>
      </c>
      <c r="I159" s="116"/>
    </row>
    <row r="160" spans="1:9">
      <c r="A160" s="584"/>
      <c r="B160" s="584"/>
      <c r="C160" s="74" t="s">
        <v>4869</v>
      </c>
      <c r="D160" s="74" t="s">
        <v>4690</v>
      </c>
      <c r="E160" s="74"/>
      <c r="F160" s="74"/>
      <c r="G160" s="116"/>
      <c r="H160" s="116">
        <v>34550.36</v>
      </c>
      <c r="I160" s="116"/>
    </row>
    <row r="161" spans="1:9">
      <c r="A161" s="584"/>
      <c r="B161" s="584"/>
      <c r="C161" s="74" t="s">
        <v>4870</v>
      </c>
      <c r="D161" s="74" t="s">
        <v>4687</v>
      </c>
      <c r="E161" s="74"/>
      <c r="F161" s="74"/>
      <c r="G161" s="116"/>
      <c r="H161" s="116">
        <v>31705.86</v>
      </c>
      <c r="I161" s="116"/>
    </row>
    <row r="162" spans="1:9">
      <c r="A162" s="584"/>
      <c r="B162" s="584"/>
      <c r="C162" s="74" t="s">
        <v>4871</v>
      </c>
      <c r="D162" s="74" t="s">
        <v>4690</v>
      </c>
      <c r="E162" s="74"/>
      <c r="F162" s="74"/>
      <c r="G162" s="116"/>
      <c r="H162" s="116">
        <v>31436</v>
      </c>
      <c r="I162" s="116"/>
    </row>
    <row r="163" spans="1:9">
      <c r="A163" s="584"/>
      <c r="B163" s="584"/>
      <c r="C163" s="74" t="s">
        <v>4872</v>
      </c>
      <c r="D163" s="74" t="s">
        <v>4690</v>
      </c>
      <c r="E163" s="74"/>
      <c r="F163" s="74"/>
      <c r="G163" s="116"/>
      <c r="H163" s="116">
        <v>30651.599999999999</v>
      </c>
      <c r="I163" s="116"/>
    </row>
    <row r="164" spans="1:9">
      <c r="A164" s="584"/>
      <c r="B164" s="584"/>
      <c r="C164" s="74" t="s">
        <v>4873</v>
      </c>
      <c r="D164" s="74" t="s">
        <v>4687</v>
      </c>
      <c r="E164" s="74"/>
      <c r="F164" s="74"/>
      <c r="G164" s="116"/>
      <c r="H164" s="116">
        <v>30628.32</v>
      </c>
      <c r="I164" s="116"/>
    </row>
    <row r="165" spans="1:9">
      <c r="A165" s="584"/>
      <c r="B165" s="584"/>
      <c r="C165" s="74" t="s">
        <v>4874</v>
      </c>
      <c r="D165" s="74" t="s">
        <v>4690</v>
      </c>
      <c r="E165" s="74"/>
      <c r="F165" s="74"/>
      <c r="G165" s="116"/>
      <c r="H165" s="116">
        <v>29759.800000000003</v>
      </c>
      <c r="I165" s="116"/>
    </row>
    <row r="166" spans="1:9">
      <c r="A166" s="584"/>
      <c r="B166" s="584"/>
      <c r="C166" s="74" t="s">
        <v>4875</v>
      </c>
      <c r="D166" s="74" t="s">
        <v>4687</v>
      </c>
      <c r="E166" s="74"/>
      <c r="F166" s="74"/>
      <c r="G166" s="116"/>
      <c r="H166" s="116">
        <v>25992.5</v>
      </c>
      <c r="I166" s="116"/>
    </row>
    <row r="167" spans="1:9">
      <c r="A167" s="584"/>
      <c r="B167" s="584"/>
      <c r="C167" s="74" t="s">
        <v>4876</v>
      </c>
      <c r="D167" s="74" t="s">
        <v>4687</v>
      </c>
      <c r="E167" s="74"/>
      <c r="F167" s="74"/>
      <c r="G167" s="116"/>
      <c r="H167" s="116">
        <v>25603.490000000005</v>
      </c>
      <c r="I167" s="116"/>
    </row>
    <row r="168" spans="1:9">
      <c r="A168" s="584"/>
      <c r="B168" s="584"/>
      <c r="C168" s="74" t="s">
        <v>4877</v>
      </c>
      <c r="D168" s="74" t="s">
        <v>4687</v>
      </c>
      <c r="E168" s="74"/>
      <c r="F168" s="74"/>
      <c r="G168" s="116"/>
      <c r="H168" s="116">
        <v>24957.73</v>
      </c>
      <c r="I168" s="116"/>
    </row>
    <row r="169" spans="1:9">
      <c r="A169" s="584"/>
      <c r="B169" s="584"/>
      <c r="C169" s="74" t="s">
        <v>4878</v>
      </c>
      <c r="D169" s="74" t="s">
        <v>4690</v>
      </c>
      <c r="E169" s="74"/>
      <c r="F169" s="74"/>
      <c r="G169" s="116"/>
      <c r="H169" s="116">
        <v>24650</v>
      </c>
      <c r="I169" s="116"/>
    </row>
    <row r="170" spans="1:9">
      <c r="A170" s="584"/>
      <c r="B170" s="584"/>
      <c r="C170" s="74" t="s">
        <v>4879</v>
      </c>
      <c r="D170" s="74" t="s">
        <v>4687</v>
      </c>
      <c r="E170" s="74"/>
      <c r="F170" s="74"/>
      <c r="G170" s="116"/>
      <c r="H170" s="116">
        <v>22237.65</v>
      </c>
      <c r="I170" s="116"/>
    </row>
    <row r="171" spans="1:9">
      <c r="A171" s="584"/>
      <c r="B171" s="584"/>
      <c r="C171" s="74" t="s">
        <v>4880</v>
      </c>
      <c r="D171" s="74" t="s">
        <v>4687</v>
      </c>
      <c r="E171" s="74"/>
      <c r="F171" s="74"/>
      <c r="G171" s="116"/>
      <c r="H171" s="116">
        <v>21000</v>
      </c>
      <c r="I171" s="116"/>
    </row>
    <row r="172" spans="1:9">
      <c r="A172" s="584"/>
      <c r="B172" s="584"/>
      <c r="C172" s="74" t="s">
        <v>1690</v>
      </c>
      <c r="D172" s="74" t="s">
        <v>4690</v>
      </c>
      <c r="E172" s="74"/>
      <c r="F172" s="74"/>
      <c r="G172" s="116"/>
      <c r="H172" s="116">
        <v>20832.48</v>
      </c>
      <c r="I172" s="116"/>
    </row>
    <row r="173" spans="1:9">
      <c r="A173" s="584"/>
      <c r="B173" s="584"/>
      <c r="C173" s="74" t="s">
        <v>4881</v>
      </c>
      <c r="D173" s="74" t="s">
        <v>4690</v>
      </c>
      <c r="E173" s="74"/>
      <c r="F173" s="74"/>
      <c r="G173" s="116"/>
      <c r="H173" s="116">
        <v>18467.82</v>
      </c>
      <c r="I173" s="116"/>
    </row>
    <row r="174" spans="1:9">
      <c r="A174" s="584"/>
      <c r="B174" s="584"/>
      <c r="C174" s="74" t="s">
        <v>4882</v>
      </c>
      <c r="D174" s="74" t="s">
        <v>4687</v>
      </c>
      <c r="E174" s="74"/>
      <c r="F174" s="74"/>
      <c r="G174" s="116"/>
      <c r="H174" s="116">
        <v>18189.32</v>
      </c>
      <c r="I174" s="116"/>
    </row>
    <row r="175" spans="1:9">
      <c r="A175" s="584"/>
      <c r="B175" s="584"/>
      <c r="C175" s="74" t="s">
        <v>4883</v>
      </c>
      <c r="D175" s="74" t="s">
        <v>4687</v>
      </c>
      <c r="E175" s="74"/>
      <c r="F175" s="74"/>
      <c r="G175" s="116"/>
      <c r="H175" s="116">
        <v>18186.189999999999</v>
      </c>
      <c r="I175" s="116"/>
    </row>
    <row r="176" spans="1:9">
      <c r="A176" s="584"/>
      <c r="B176" s="584"/>
      <c r="C176" s="74" t="s">
        <v>4884</v>
      </c>
      <c r="D176" s="74" t="s">
        <v>4687</v>
      </c>
      <c r="E176" s="74"/>
      <c r="F176" s="74"/>
      <c r="G176" s="116"/>
      <c r="H176" s="116">
        <v>17770</v>
      </c>
      <c r="I176" s="116"/>
    </row>
    <row r="177" spans="1:9">
      <c r="A177" s="584"/>
      <c r="B177" s="584"/>
      <c r="C177" s="74" t="s">
        <v>4885</v>
      </c>
      <c r="D177" s="74" t="s">
        <v>4687</v>
      </c>
      <c r="E177" s="74"/>
      <c r="F177" s="74"/>
      <c r="G177" s="116"/>
      <c r="H177" s="116">
        <v>17320.400000000001</v>
      </c>
      <c r="I177" s="116"/>
    </row>
    <row r="178" spans="1:9">
      <c r="A178" s="584"/>
      <c r="B178" s="584"/>
      <c r="C178" s="74" t="s">
        <v>4886</v>
      </c>
      <c r="D178" s="74" t="s">
        <v>4687</v>
      </c>
      <c r="E178" s="74"/>
      <c r="F178" s="74"/>
      <c r="G178" s="116"/>
      <c r="H178" s="116">
        <v>16567.939999999999</v>
      </c>
      <c r="I178" s="116"/>
    </row>
    <row r="179" spans="1:9">
      <c r="A179" s="584"/>
      <c r="B179" s="584"/>
      <c r="C179" s="74" t="s">
        <v>4887</v>
      </c>
      <c r="D179" s="74" t="s">
        <v>4687</v>
      </c>
      <c r="E179" s="74"/>
      <c r="F179" s="74"/>
      <c r="G179" s="116"/>
      <c r="H179" s="116">
        <v>16389.16</v>
      </c>
      <c r="I179" s="116"/>
    </row>
    <row r="180" spans="1:9">
      <c r="A180" s="584"/>
      <c r="B180" s="584"/>
      <c r="C180" s="74" t="s">
        <v>4888</v>
      </c>
      <c r="D180" s="74" t="s">
        <v>4690</v>
      </c>
      <c r="E180" s="74"/>
      <c r="F180" s="74"/>
      <c r="G180" s="116"/>
      <c r="H180" s="116">
        <v>15761.5</v>
      </c>
      <c r="I180" s="116"/>
    </row>
    <row r="181" spans="1:9">
      <c r="A181" s="584"/>
      <c r="B181" s="584"/>
      <c r="C181" s="74" t="s">
        <v>4889</v>
      </c>
      <c r="D181" s="74" t="s">
        <v>4687</v>
      </c>
      <c r="E181" s="74"/>
      <c r="F181" s="74"/>
      <c r="G181" s="116"/>
      <c r="H181" s="116">
        <v>15680</v>
      </c>
      <c r="I181" s="116"/>
    </row>
    <row r="182" spans="1:9">
      <c r="A182" s="584"/>
      <c r="B182" s="584"/>
      <c r="C182" s="74" t="s">
        <v>4890</v>
      </c>
      <c r="D182" s="74" t="s">
        <v>4687</v>
      </c>
      <c r="E182" s="74"/>
      <c r="F182" s="74"/>
      <c r="G182" s="116"/>
      <c r="H182" s="116">
        <v>15570.66</v>
      </c>
      <c r="I182" s="116"/>
    </row>
    <row r="183" spans="1:9">
      <c r="A183" s="584"/>
      <c r="B183" s="584"/>
      <c r="C183" s="74" t="s">
        <v>4891</v>
      </c>
      <c r="D183" s="74" t="s">
        <v>4687</v>
      </c>
      <c r="E183" s="74"/>
      <c r="F183" s="74"/>
      <c r="G183" s="116"/>
      <c r="H183" s="116">
        <v>14728.88</v>
      </c>
      <c r="I183" s="116"/>
    </row>
    <row r="184" spans="1:9">
      <c r="A184" s="584"/>
      <c r="B184" s="584"/>
      <c r="C184" s="74" t="s">
        <v>4892</v>
      </c>
      <c r="D184" s="74" t="s">
        <v>4690</v>
      </c>
      <c r="E184" s="74"/>
      <c r="F184" s="74"/>
      <c r="G184" s="116"/>
      <c r="H184" s="116">
        <v>13287.8</v>
      </c>
      <c r="I184" s="116"/>
    </row>
    <row r="185" spans="1:9">
      <c r="A185" s="584"/>
      <c r="B185" s="584"/>
      <c r="C185" s="74" t="s">
        <v>4893</v>
      </c>
      <c r="D185" s="74" t="s">
        <v>4687</v>
      </c>
      <c r="E185" s="74"/>
      <c r="F185" s="74"/>
      <c r="G185" s="116"/>
      <c r="H185" s="116">
        <v>12500</v>
      </c>
      <c r="I185" s="116"/>
    </row>
    <row r="186" spans="1:9">
      <c r="A186" s="584"/>
      <c r="B186" s="584"/>
      <c r="C186" s="74" t="s">
        <v>4894</v>
      </c>
      <c r="D186" s="74" t="s">
        <v>4687</v>
      </c>
      <c r="E186" s="74"/>
      <c r="F186" s="74"/>
      <c r="G186" s="116"/>
      <c r="H186" s="116">
        <v>11996.1</v>
      </c>
      <c r="I186" s="116"/>
    </row>
    <row r="187" spans="1:9">
      <c r="A187" s="584"/>
      <c r="B187" s="584"/>
      <c r="C187" s="74" t="s">
        <v>4895</v>
      </c>
      <c r="D187" s="74" t="s">
        <v>4687</v>
      </c>
      <c r="E187" s="74"/>
      <c r="F187" s="74"/>
      <c r="G187" s="116"/>
      <c r="H187" s="116">
        <v>11195</v>
      </c>
      <c r="I187" s="116"/>
    </row>
    <row r="188" spans="1:9">
      <c r="A188" s="584"/>
      <c r="B188" s="584"/>
      <c r="C188" s="74" t="s">
        <v>4896</v>
      </c>
      <c r="D188" s="74" t="s">
        <v>4687</v>
      </c>
      <c r="E188" s="74"/>
      <c r="F188" s="74"/>
      <c r="G188" s="116"/>
      <c r="H188" s="116">
        <v>10840</v>
      </c>
      <c r="I188" s="116"/>
    </row>
    <row r="189" spans="1:9">
      <c r="A189" s="584"/>
      <c r="B189" s="584"/>
      <c r="C189" s="74" t="s">
        <v>4897</v>
      </c>
      <c r="D189" s="74" t="s">
        <v>4690</v>
      </c>
      <c r="E189" s="74"/>
      <c r="F189" s="74"/>
      <c r="G189" s="116"/>
      <c r="H189" s="116">
        <v>10231.200000000001</v>
      </c>
      <c r="I189" s="116"/>
    </row>
    <row r="190" spans="1:9">
      <c r="A190" s="584"/>
      <c r="B190" s="584"/>
      <c r="C190" s="74" t="s">
        <v>4898</v>
      </c>
      <c r="D190" s="74" t="s">
        <v>4687</v>
      </c>
      <c r="E190" s="74"/>
      <c r="F190" s="74"/>
      <c r="G190" s="116"/>
      <c r="H190" s="116">
        <v>9926.4699999999993</v>
      </c>
      <c r="I190" s="116"/>
    </row>
    <row r="191" spans="1:9">
      <c r="A191" s="584"/>
      <c r="B191" s="584"/>
      <c r="C191" s="74" t="s">
        <v>4899</v>
      </c>
      <c r="D191" s="74" t="s">
        <v>4690</v>
      </c>
      <c r="E191" s="74"/>
      <c r="F191" s="74"/>
      <c r="G191" s="116"/>
      <c r="H191" s="116">
        <v>9750</v>
      </c>
      <c r="I191" s="116"/>
    </row>
    <row r="192" spans="1:9">
      <c r="A192" s="584"/>
      <c r="B192" s="584"/>
      <c r="C192" s="74" t="s">
        <v>4900</v>
      </c>
      <c r="D192" s="74" t="s">
        <v>4690</v>
      </c>
      <c r="E192" s="74"/>
      <c r="F192" s="74"/>
      <c r="G192" s="116"/>
      <c r="H192" s="116">
        <v>8761.48</v>
      </c>
      <c r="I192" s="116"/>
    </row>
    <row r="193" spans="1:9">
      <c r="A193" s="584"/>
      <c r="B193" s="584"/>
      <c r="C193" s="74" t="s">
        <v>4901</v>
      </c>
      <c r="D193" s="74" t="s">
        <v>4690</v>
      </c>
      <c r="E193" s="74"/>
      <c r="F193" s="74"/>
      <c r="G193" s="116"/>
      <c r="H193" s="116">
        <v>8265.6</v>
      </c>
      <c r="I193" s="116"/>
    </row>
    <row r="194" spans="1:9">
      <c r="A194" s="584"/>
      <c r="B194" s="584"/>
      <c r="C194" s="74" t="s">
        <v>4902</v>
      </c>
      <c r="D194" s="74" t="s">
        <v>4687</v>
      </c>
      <c r="E194" s="74"/>
      <c r="F194" s="74"/>
      <c r="G194" s="116"/>
      <c r="H194" s="116">
        <v>7484.67</v>
      </c>
      <c r="I194" s="116"/>
    </row>
    <row r="195" spans="1:9">
      <c r="A195" s="584"/>
      <c r="B195" s="584"/>
      <c r="C195" s="74" t="s">
        <v>4903</v>
      </c>
      <c r="D195" s="74" t="s">
        <v>4690</v>
      </c>
      <c r="E195" s="74"/>
      <c r="F195" s="74"/>
      <c r="G195" s="116"/>
      <c r="H195" s="116">
        <v>6969.16</v>
      </c>
      <c r="I195" s="116"/>
    </row>
    <row r="196" spans="1:9">
      <c r="A196" s="584"/>
      <c r="B196" s="584"/>
      <c r="C196" s="74" t="s">
        <v>4904</v>
      </c>
      <c r="D196" s="74" t="s">
        <v>4687</v>
      </c>
      <c r="E196" s="74"/>
      <c r="F196" s="74"/>
      <c r="G196" s="116"/>
      <c r="H196" s="116">
        <v>6897.97</v>
      </c>
      <c r="I196" s="116"/>
    </row>
    <row r="197" spans="1:9">
      <c r="A197" s="584"/>
      <c r="B197" s="584"/>
      <c r="C197" s="74" t="s">
        <v>4905</v>
      </c>
      <c r="D197" s="74" t="s">
        <v>4690</v>
      </c>
      <c r="E197" s="74"/>
      <c r="F197" s="74"/>
      <c r="G197" s="116"/>
      <c r="H197" s="116">
        <v>5568</v>
      </c>
      <c r="I197" s="116"/>
    </row>
    <row r="198" spans="1:9">
      <c r="A198" s="584"/>
      <c r="B198" s="584"/>
      <c r="C198" s="74" t="s">
        <v>4906</v>
      </c>
      <c r="D198" s="74" t="s">
        <v>4687</v>
      </c>
      <c r="E198" s="74"/>
      <c r="F198" s="74"/>
      <c r="G198" s="116"/>
      <c r="H198" s="116">
        <v>5176</v>
      </c>
      <c r="I198" s="116"/>
    </row>
    <row r="199" spans="1:9">
      <c r="A199" s="584"/>
      <c r="B199" s="584"/>
      <c r="C199" s="74" t="s">
        <v>4907</v>
      </c>
      <c r="D199" s="74" t="s">
        <v>4690</v>
      </c>
      <c r="E199" s="74"/>
      <c r="F199" s="74"/>
      <c r="G199" s="116"/>
      <c r="H199" s="116">
        <v>5171.28</v>
      </c>
      <c r="I199" s="116"/>
    </row>
    <row r="200" spans="1:9">
      <c r="A200" s="584"/>
      <c r="B200" s="584"/>
      <c r="C200" s="74" t="s">
        <v>4908</v>
      </c>
      <c r="D200" s="74" t="s">
        <v>4687</v>
      </c>
      <c r="E200" s="74"/>
      <c r="F200" s="74"/>
      <c r="G200" s="116"/>
      <c r="H200" s="116">
        <v>5099</v>
      </c>
      <c r="I200" s="116"/>
    </row>
    <row r="201" spans="1:9">
      <c r="A201" s="584"/>
      <c r="B201" s="584"/>
      <c r="C201" s="74" t="s">
        <v>4909</v>
      </c>
      <c r="D201" s="74" t="s">
        <v>4687</v>
      </c>
      <c r="E201" s="74"/>
      <c r="F201" s="74"/>
      <c r="G201" s="116"/>
      <c r="H201" s="116">
        <v>4989.28</v>
      </c>
      <c r="I201" s="116"/>
    </row>
    <row r="202" spans="1:9">
      <c r="A202" s="584"/>
      <c r="B202" s="584"/>
      <c r="C202" s="74" t="s">
        <v>4910</v>
      </c>
      <c r="D202" s="74" t="s">
        <v>4690</v>
      </c>
      <c r="E202" s="74"/>
      <c r="F202" s="74"/>
      <c r="G202" s="116"/>
      <c r="H202" s="116">
        <v>4524</v>
      </c>
      <c r="I202" s="116"/>
    </row>
    <row r="203" spans="1:9">
      <c r="A203" s="584"/>
      <c r="B203" s="584"/>
      <c r="C203" s="74" t="s">
        <v>4911</v>
      </c>
      <c r="D203" s="74" t="s">
        <v>4687</v>
      </c>
      <c r="E203" s="74"/>
      <c r="F203" s="74"/>
      <c r="G203" s="116"/>
      <c r="H203" s="116">
        <v>4140</v>
      </c>
      <c r="I203" s="116"/>
    </row>
    <row r="204" spans="1:9">
      <c r="A204" s="584"/>
      <c r="B204" s="584"/>
      <c r="C204" s="74" t="s">
        <v>4912</v>
      </c>
      <c r="D204" s="74" t="s">
        <v>4687</v>
      </c>
      <c r="E204" s="74"/>
      <c r="F204" s="74"/>
      <c r="G204" s="116"/>
      <c r="H204" s="116">
        <v>3965.33</v>
      </c>
      <c r="I204" s="116"/>
    </row>
    <row r="205" spans="1:9">
      <c r="A205" s="584"/>
      <c r="B205" s="584"/>
      <c r="C205" s="74" t="s">
        <v>4913</v>
      </c>
      <c r="D205" s="74" t="s">
        <v>4687</v>
      </c>
      <c r="E205" s="74"/>
      <c r="F205" s="74"/>
      <c r="G205" s="116"/>
      <c r="H205" s="116">
        <v>3698.66</v>
      </c>
      <c r="I205" s="116"/>
    </row>
    <row r="206" spans="1:9">
      <c r="A206" s="584"/>
      <c r="B206" s="584"/>
      <c r="C206" s="74" t="s">
        <v>4914</v>
      </c>
      <c r="D206" s="74" t="s">
        <v>4687</v>
      </c>
      <c r="E206" s="74"/>
      <c r="F206" s="74"/>
      <c r="G206" s="116"/>
      <c r="H206" s="116">
        <v>2863.8</v>
      </c>
      <c r="I206" s="116"/>
    </row>
    <row r="207" spans="1:9">
      <c r="A207" s="584"/>
      <c r="B207" s="584"/>
      <c r="C207" s="74" t="s">
        <v>4915</v>
      </c>
      <c r="D207" s="74" t="s">
        <v>4687</v>
      </c>
      <c r="E207" s="74"/>
      <c r="F207" s="74"/>
      <c r="G207" s="116"/>
      <c r="H207" s="116">
        <v>1633.7</v>
      </c>
      <c r="I207" s="116"/>
    </row>
    <row r="208" spans="1:9">
      <c r="A208" s="584"/>
      <c r="B208" s="584"/>
      <c r="C208" s="74" t="s">
        <v>4916</v>
      </c>
      <c r="D208" s="74" t="s">
        <v>4687</v>
      </c>
      <c r="E208" s="74"/>
      <c r="F208" s="74"/>
      <c r="G208" s="116"/>
      <c r="H208" s="116">
        <v>924.42</v>
      </c>
      <c r="I208" s="116"/>
    </row>
    <row r="209" spans="1:9">
      <c r="A209" s="577"/>
      <c r="B209" s="577"/>
      <c r="C209" s="74" t="s">
        <v>4917</v>
      </c>
      <c r="D209" s="74" t="s">
        <v>4687</v>
      </c>
      <c r="E209" s="74"/>
      <c r="F209" s="74"/>
      <c r="G209" s="116"/>
      <c r="H209" s="116">
        <v>350</v>
      </c>
      <c r="I209" s="116"/>
    </row>
    <row r="210" spans="1:9">
      <c r="A210" s="771">
        <v>8</v>
      </c>
      <c r="B210" s="771" t="s">
        <v>656</v>
      </c>
      <c r="C210" s="76" t="s">
        <v>4918</v>
      </c>
      <c r="D210" s="76" t="s">
        <v>4919</v>
      </c>
      <c r="E210" s="76" t="s">
        <v>4920</v>
      </c>
      <c r="F210" s="76" t="s">
        <v>4921</v>
      </c>
      <c r="G210" s="76"/>
      <c r="H210" s="117">
        <v>181457023.25999999</v>
      </c>
      <c r="I210" s="76"/>
    </row>
    <row r="211" spans="1:9">
      <c r="A211" s="772"/>
      <c r="B211" s="772"/>
      <c r="C211" s="76" t="s">
        <v>4922</v>
      </c>
      <c r="D211" s="76" t="s">
        <v>4923</v>
      </c>
      <c r="E211" s="76" t="s">
        <v>4924</v>
      </c>
      <c r="F211" s="76" t="s">
        <v>4925</v>
      </c>
      <c r="G211" s="76"/>
      <c r="H211" s="117">
        <v>69836833.840000004</v>
      </c>
      <c r="I211" s="76"/>
    </row>
    <row r="212" spans="1:9">
      <c r="A212" s="772"/>
      <c r="B212" s="772"/>
      <c r="C212" s="76" t="s">
        <v>4926</v>
      </c>
      <c r="D212" s="76" t="s">
        <v>4923</v>
      </c>
      <c r="E212" s="76" t="s">
        <v>4927</v>
      </c>
      <c r="F212" s="76" t="s">
        <v>4925</v>
      </c>
      <c r="G212" s="76"/>
      <c r="H212" s="117">
        <v>41066748.549999997</v>
      </c>
      <c r="I212" s="76"/>
    </row>
    <row r="213" spans="1:9">
      <c r="A213" s="772"/>
      <c r="B213" s="772"/>
      <c r="C213" s="76" t="s">
        <v>4918</v>
      </c>
      <c r="D213" s="76" t="s">
        <v>4919</v>
      </c>
      <c r="E213" s="76" t="s">
        <v>4920</v>
      </c>
      <c r="F213" s="76" t="s">
        <v>4921</v>
      </c>
      <c r="G213" s="76"/>
      <c r="H213" s="117">
        <v>24970059.449999999</v>
      </c>
      <c r="I213" s="76"/>
    </row>
    <row r="214" spans="1:9">
      <c r="A214" s="772"/>
      <c r="B214" s="772"/>
      <c r="C214" s="76" t="s">
        <v>4928</v>
      </c>
      <c r="D214" s="76" t="s">
        <v>4919</v>
      </c>
      <c r="E214" s="76" t="s">
        <v>4920</v>
      </c>
      <c r="F214" s="76" t="s">
        <v>4929</v>
      </c>
      <c r="G214" s="76"/>
      <c r="H214" s="117">
        <v>18761643.02</v>
      </c>
      <c r="I214" s="76"/>
    </row>
    <row r="215" spans="1:9">
      <c r="A215" s="772"/>
      <c r="B215" s="772"/>
      <c r="C215" s="76" t="s">
        <v>4930</v>
      </c>
      <c r="D215" s="76" t="s">
        <v>4919</v>
      </c>
      <c r="E215" s="76" t="s">
        <v>4920</v>
      </c>
      <c r="F215" s="76" t="s">
        <v>4931</v>
      </c>
      <c r="G215" s="76"/>
      <c r="H215" s="117">
        <v>16125101.030000001</v>
      </c>
      <c r="I215" s="76"/>
    </row>
    <row r="216" spans="1:9">
      <c r="A216" s="772"/>
      <c r="B216" s="772"/>
      <c r="C216" s="76" t="s">
        <v>4932</v>
      </c>
      <c r="D216" s="76" t="s">
        <v>4923</v>
      </c>
      <c r="E216" s="76" t="s">
        <v>4933</v>
      </c>
      <c r="F216" s="76" t="s">
        <v>4934</v>
      </c>
      <c r="G216" s="76"/>
      <c r="H216" s="117">
        <v>14199923.930000002</v>
      </c>
      <c r="I216" s="76"/>
    </row>
    <row r="217" spans="1:9">
      <c r="A217" s="772"/>
      <c r="B217" s="772"/>
      <c r="C217" s="76" t="s">
        <v>4935</v>
      </c>
      <c r="D217" s="76" t="s">
        <v>4919</v>
      </c>
      <c r="E217" s="76" t="s">
        <v>4920</v>
      </c>
      <c r="F217" s="76" t="s">
        <v>4936</v>
      </c>
      <c r="G217" s="76"/>
      <c r="H217" s="117">
        <v>13931858.820000002</v>
      </c>
      <c r="I217" s="76"/>
    </row>
    <row r="218" spans="1:9">
      <c r="A218" s="772"/>
      <c r="B218" s="772"/>
      <c r="C218" s="76" t="s">
        <v>4937</v>
      </c>
      <c r="D218" s="76" t="s">
        <v>4923</v>
      </c>
      <c r="E218" s="76" t="s">
        <v>4938</v>
      </c>
      <c r="F218" s="76" t="s">
        <v>4939</v>
      </c>
      <c r="G218" s="76"/>
      <c r="H218" s="117">
        <v>13401386.66</v>
      </c>
      <c r="I218" s="76"/>
    </row>
    <row r="219" spans="1:9">
      <c r="A219" s="772"/>
      <c r="B219" s="772"/>
      <c r="C219" s="76" t="s">
        <v>4940</v>
      </c>
      <c r="D219" s="76" t="s">
        <v>4923</v>
      </c>
      <c r="E219" s="76" t="s">
        <v>4941</v>
      </c>
      <c r="F219" s="76" t="s">
        <v>4939</v>
      </c>
      <c r="G219" s="76"/>
      <c r="H219" s="117">
        <v>12498871.049999999</v>
      </c>
      <c r="I219" s="76"/>
    </row>
    <row r="220" spans="1:9">
      <c r="A220" s="772"/>
      <c r="B220" s="772"/>
      <c r="C220" s="76" t="s">
        <v>4942</v>
      </c>
      <c r="D220" s="76" t="s">
        <v>4923</v>
      </c>
      <c r="E220" s="76" t="s">
        <v>657</v>
      </c>
      <c r="F220" s="76" t="s">
        <v>4925</v>
      </c>
      <c r="G220" s="76"/>
      <c r="H220" s="117">
        <v>12496060.689999999</v>
      </c>
      <c r="I220" s="76"/>
    </row>
    <row r="221" spans="1:9">
      <c r="A221" s="772"/>
      <c r="B221" s="772"/>
      <c r="C221" s="76" t="s">
        <v>4943</v>
      </c>
      <c r="D221" s="76" t="s">
        <v>4923</v>
      </c>
      <c r="E221" s="76" t="s">
        <v>4944</v>
      </c>
      <c r="F221" s="76" t="s">
        <v>4925</v>
      </c>
      <c r="G221" s="76"/>
      <c r="H221" s="117">
        <v>10459420.189999999</v>
      </c>
      <c r="I221" s="76"/>
    </row>
    <row r="222" spans="1:9">
      <c r="A222" s="772"/>
      <c r="B222" s="772"/>
      <c r="C222" s="76" t="s">
        <v>4945</v>
      </c>
      <c r="D222" s="76" t="s">
        <v>4923</v>
      </c>
      <c r="E222" s="76" t="s">
        <v>4946</v>
      </c>
      <c r="F222" s="76" t="s">
        <v>4925</v>
      </c>
      <c r="G222" s="76"/>
      <c r="H222" s="117">
        <v>8263741.7700000005</v>
      </c>
      <c r="I222" s="76"/>
    </row>
    <row r="223" spans="1:9">
      <c r="A223" s="772"/>
      <c r="B223" s="772"/>
      <c r="C223" s="76" t="s">
        <v>4947</v>
      </c>
      <c r="D223" s="76" t="s">
        <v>4923</v>
      </c>
      <c r="E223" s="76" t="s">
        <v>4948</v>
      </c>
      <c r="F223" s="76" t="s">
        <v>4949</v>
      </c>
      <c r="G223" s="76"/>
      <c r="H223" s="117">
        <v>7027041.4800000014</v>
      </c>
      <c r="I223" s="76"/>
    </row>
    <row r="224" spans="1:9">
      <c r="A224" s="772"/>
      <c r="B224" s="772"/>
      <c r="C224" s="76" t="s">
        <v>4950</v>
      </c>
      <c r="D224" s="76" t="s">
        <v>4923</v>
      </c>
      <c r="E224" s="76" t="s">
        <v>2590</v>
      </c>
      <c r="F224" s="76" t="s">
        <v>4939</v>
      </c>
      <c r="G224" s="76"/>
      <c r="H224" s="117">
        <v>6366078.8099999987</v>
      </c>
      <c r="I224" s="76"/>
    </row>
    <row r="225" spans="1:9">
      <c r="A225" s="772"/>
      <c r="B225" s="772"/>
      <c r="C225" s="76" t="s">
        <v>4951</v>
      </c>
      <c r="D225" s="76" t="s">
        <v>4923</v>
      </c>
      <c r="E225" s="76" t="s">
        <v>4708</v>
      </c>
      <c r="F225" s="76" t="s">
        <v>4925</v>
      </c>
      <c r="G225" s="76"/>
      <c r="H225" s="117">
        <v>5513449.8500000006</v>
      </c>
      <c r="I225" s="76"/>
    </row>
    <row r="226" spans="1:9">
      <c r="A226" s="772"/>
      <c r="B226" s="772"/>
      <c r="C226" s="76" t="s">
        <v>4952</v>
      </c>
      <c r="D226" s="76" t="s">
        <v>4923</v>
      </c>
      <c r="E226" s="76" t="s">
        <v>4953</v>
      </c>
      <c r="F226" s="76" t="s">
        <v>4925</v>
      </c>
      <c r="G226" s="76"/>
      <c r="H226" s="117">
        <v>4719798.8600000003</v>
      </c>
      <c r="I226" s="76"/>
    </row>
    <row r="227" spans="1:9">
      <c r="A227" s="772"/>
      <c r="B227" s="772"/>
      <c r="C227" s="76" t="s">
        <v>4954</v>
      </c>
      <c r="D227" s="76" t="s">
        <v>4919</v>
      </c>
      <c r="E227" s="76" t="s">
        <v>4920</v>
      </c>
      <c r="F227" s="76" t="s">
        <v>4955</v>
      </c>
      <c r="G227" s="76"/>
      <c r="H227" s="117">
        <v>4606924.7300000004</v>
      </c>
      <c r="I227" s="76"/>
    </row>
    <row r="228" spans="1:9">
      <c r="A228" s="772"/>
      <c r="B228" s="772"/>
      <c r="C228" s="76" t="s">
        <v>4956</v>
      </c>
      <c r="D228" s="76" t="s">
        <v>4923</v>
      </c>
      <c r="E228" s="76" t="s">
        <v>4957</v>
      </c>
      <c r="F228" s="76" t="s">
        <v>4925</v>
      </c>
      <c r="G228" s="76"/>
      <c r="H228" s="117">
        <v>3958801.4499999997</v>
      </c>
      <c r="I228" s="76"/>
    </row>
    <row r="229" spans="1:9">
      <c r="A229" s="772"/>
      <c r="B229" s="772"/>
      <c r="C229" s="76" t="s">
        <v>4958</v>
      </c>
      <c r="D229" s="76" t="s">
        <v>4923</v>
      </c>
      <c r="E229" s="76" t="s">
        <v>4920</v>
      </c>
      <c r="F229" s="76" t="s">
        <v>4939</v>
      </c>
      <c r="G229" s="76"/>
      <c r="H229" s="117">
        <v>3370622.02</v>
      </c>
      <c r="I229" s="76"/>
    </row>
    <row r="230" spans="1:9">
      <c r="A230" s="772"/>
      <c r="B230" s="772"/>
      <c r="C230" s="76" t="s">
        <v>4959</v>
      </c>
      <c r="D230" s="76" t="s">
        <v>4923</v>
      </c>
      <c r="E230" s="76" t="s">
        <v>4960</v>
      </c>
      <c r="F230" s="76" t="s">
        <v>4925</v>
      </c>
      <c r="G230" s="76"/>
      <c r="H230" s="117">
        <v>3252345.84</v>
      </c>
      <c r="I230" s="76"/>
    </row>
    <row r="231" spans="1:9">
      <c r="A231" s="772"/>
      <c r="B231" s="772"/>
      <c r="C231" s="76" t="s">
        <v>4961</v>
      </c>
      <c r="D231" s="76" t="s">
        <v>4923</v>
      </c>
      <c r="E231" s="76" t="s">
        <v>4962</v>
      </c>
      <c r="F231" s="76" t="s">
        <v>4963</v>
      </c>
      <c r="G231" s="76"/>
      <c r="H231" s="117">
        <v>3245611.3200000008</v>
      </c>
      <c r="I231" s="76"/>
    </row>
    <row r="232" spans="1:9">
      <c r="A232" s="772"/>
      <c r="B232" s="772"/>
      <c r="C232" s="76" t="s">
        <v>4964</v>
      </c>
      <c r="D232" s="76" t="s">
        <v>4923</v>
      </c>
      <c r="E232" s="76" t="s">
        <v>4920</v>
      </c>
      <c r="F232" s="76" t="s">
        <v>4965</v>
      </c>
      <c r="G232" s="76"/>
      <c r="H232" s="117">
        <v>3090897.33</v>
      </c>
      <c r="I232" s="76"/>
    </row>
    <row r="233" spans="1:9">
      <c r="A233" s="772"/>
      <c r="B233" s="772"/>
      <c r="C233" s="76" t="s">
        <v>4966</v>
      </c>
      <c r="D233" s="76" t="s">
        <v>4923</v>
      </c>
      <c r="E233" s="76" t="s">
        <v>4967</v>
      </c>
      <c r="F233" s="76" t="s">
        <v>4925</v>
      </c>
      <c r="G233" s="76"/>
      <c r="H233" s="117">
        <v>2632764.4700000002</v>
      </c>
      <c r="I233" s="76"/>
    </row>
    <row r="234" spans="1:9">
      <c r="A234" s="772"/>
      <c r="B234" s="772"/>
      <c r="C234" s="76" t="s">
        <v>4968</v>
      </c>
      <c r="D234" s="76" t="s">
        <v>4923</v>
      </c>
      <c r="E234" s="76" t="s">
        <v>4920</v>
      </c>
      <c r="F234" s="76" t="s">
        <v>4925</v>
      </c>
      <c r="G234" s="76"/>
      <c r="H234" s="117">
        <v>2428519.06</v>
      </c>
      <c r="I234" s="76"/>
    </row>
    <row r="235" spans="1:9">
      <c r="A235" s="772"/>
      <c r="B235" s="772"/>
      <c r="C235" s="76" t="s">
        <v>4969</v>
      </c>
      <c r="D235" s="76" t="s">
        <v>4923</v>
      </c>
      <c r="E235" s="76" t="s">
        <v>4970</v>
      </c>
      <c r="F235" s="76" t="s">
        <v>4971</v>
      </c>
      <c r="G235" s="76"/>
      <c r="H235" s="117">
        <v>2207939.5300000003</v>
      </c>
      <c r="I235" s="76"/>
    </row>
    <row r="236" spans="1:9">
      <c r="A236" s="772"/>
      <c r="B236" s="772"/>
      <c r="C236" s="76" t="s">
        <v>4972</v>
      </c>
      <c r="D236" s="76" t="s">
        <v>4923</v>
      </c>
      <c r="E236" s="76" t="s">
        <v>4973</v>
      </c>
      <c r="F236" s="76" t="s">
        <v>4925</v>
      </c>
      <c r="G236" s="76"/>
      <c r="H236" s="117">
        <v>2128446.0599999996</v>
      </c>
      <c r="I236" s="76"/>
    </row>
    <row r="237" spans="1:9">
      <c r="A237" s="772"/>
      <c r="B237" s="772"/>
      <c r="C237" s="76" t="s">
        <v>4974</v>
      </c>
      <c r="D237" s="76" t="s">
        <v>4923</v>
      </c>
      <c r="E237" s="76" t="s">
        <v>4970</v>
      </c>
      <c r="F237" s="76" t="s">
        <v>4925</v>
      </c>
      <c r="G237" s="76"/>
      <c r="H237" s="117">
        <v>2032807.5699999998</v>
      </c>
      <c r="I237" s="76"/>
    </row>
    <row r="238" spans="1:9">
      <c r="A238" s="772"/>
      <c r="B238" s="772"/>
      <c r="C238" s="76" t="s">
        <v>4975</v>
      </c>
      <c r="D238" s="76" t="s">
        <v>4923</v>
      </c>
      <c r="E238" s="76" t="s">
        <v>4976</v>
      </c>
      <c r="F238" s="76" t="s">
        <v>4925</v>
      </c>
      <c r="G238" s="76"/>
      <c r="H238" s="117">
        <v>1863775.4099999997</v>
      </c>
      <c r="I238" s="76"/>
    </row>
    <row r="239" spans="1:9">
      <c r="A239" s="772"/>
      <c r="B239" s="772"/>
      <c r="C239" s="76" t="s">
        <v>4977</v>
      </c>
      <c r="D239" s="76" t="s">
        <v>4919</v>
      </c>
      <c r="E239" s="76" t="s">
        <v>4920</v>
      </c>
      <c r="F239" s="76" t="s">
        <v>4978</v>
      </c>
      <c r="G239" s="76"/>
      <c r="H239" s="117">
        <v>1776189.66</v>
      </c>
      <c r="I239" s="76"/>
    </row>
    <row r="240" spans="1:9">
      <c r="A240" s="772"/>
      <c r="B240" s="772"/>
      <c r="C240" s="76" t="s">
        <v>4979</v>
      </c>
      <c r="D240" s="76" t="s">
        <v>4923</v>
      </c>
      <c r="E240" s="76" t="s">
        <v>4980</v>
      </c>
      <c r="F240" s="76" t="s">
        <v>4939</v>
      </c>
      <c r="G240" s="76"/>
      <c r="H240" s="117">
        <v>1754798.2800000003</v>
      </c>
      <c r="I240" s="76"/>
    </row>
    <row r="241" spans="1:9">
      <c r="A241" s="772"/>
      <c r="B241" s="772"/>
      <c r="C241" s="76" t="s">
        <v>4981</v>
      </c>
      <c r="D241" s="76" t="s">
        <v>4923</v>
      </c>
      <c r="E241" s="76" t="s">
        <v>4982</v>
      </c>
      <c r="F241" s="76" t="s">
        <v>4983</v>
      </c>
      <c r="G241" s="76"/>
      <c r="H241" s="117">
        <v>1583404.0200000003</v>
      </c>
      <c r="I241" s="76"/>
    </row>
    <row r="242" spans="1:9">
      <c r="A242" s="772"/>
      <c r="B242" s="772"/>
      <c r="C242" s="76" t="s">
        <v>4984</v>
      </c>
      <c r="D242" s="76" t="s">
        <v>4919</v>
      </c>
      <c r="E242" s="76" t="s">
        <v>4920</v>
      </c>
      <c r="F242" s="76" t="s">
        <v>4985</v>
      </c>
      <c r="G242" s="76"/>
      <c r="H242" s="117">
        <v>1440000</v>
      </c>
      <c r="I242" s="76"/>
    </row>
    <row r="243" spans="1:9">
      <c r="A243" s="772"/>
      <c r="B243" s="772"/>
      <c r="C243" s="76" t="s">
        <v>4986</v>
      </c>
      <c r="D243" s="76" t="s">
        <v>4923</v>
      </c>
      <c r="E243" s="76" t="s">
        <v>4987</v>
      </c>
      <c r="F243" s="76" t="s">
        <v>4949</v>
      </c>
      <c r="G243" s="76"/>
      <c r="H243" s="117">
        <v>1382524.81</v>
      </c>
      <c r="I243" s="76"/>
    </row>
    <row r="244" spans="1:9">
      <c r="A244" s="772"/>
      <c r="B244" s="772"/>
      <c r="C244" s="76" t="s">
        <v>4988</v>
      </c>
      <c r="D244" s="76" t="s">
        <v>4923</v>
      </c>
      <c r="E244" s="76" t="s">
        <v>4970</v>
      </c>
      <c r="F244" s="76" t="s">
        <v>4925</v>
      </c>
      <c r="G244" s="76"/>
      <c r="H244" s="117">
        <v>1340190.1199999996</v>
      </c>
      <c r="I244" s="76"/>
    </row>
    <row r="245" spans="1:9">
      <c r="A245" s="772"/>
      <c r="B245" s="772"/>
      <c r="C245" s="76" t="s">
        <v>4989</v>
      </c>
      <c r="D245" s="76" t="s">
        <v>4923</v>
      </c>
      <c r="E245" s="76" t="s">
        <v>4987</v>
      </c>
      <c r="F245" s="76" t="s">
        <v>4963</v>
      </c>
      <c r="G245" s="76"/>
      <c r="H245" s="117">
        <v>1312106.9500000002</v>
      </c>
      <c r="I245" s="76"/>
    </row>
    <row r="246" spans="1:9">
      <c r="A246" s="772"/>
      <c r="B246" s="772"/>
      <c r="C246" s="76" t="s">
        <v>4990</v>
      </c>
      <c r="D246" s="76" t="s">
        <v>4923</v>
      </c>
      <c r="E246" s="76" t="s">
        <v>4991</v>
      </c>
      <c r="F246" s="76" t="s">
        <v>4949</v>
      </c>
      <c r="G246" s="76"/>
      <c r="H246" s="117">
        <v>1195179.92</v>
      </c>
      <c r="I246" s="76"/>
    </row>
    <row r="247" spans="1:9">
      <c r="A247" s="772"/>
      <c r="B247" s="772"/>
      <c r="C247" s="76" t="s">
        <v>4992</v>
      </c>
      <c r="D247" s="76" t="s">
        <v>4923</v>
      </c>
      <c r="E247" s="76" t="s">
        <v>4993</v>
      </c>
      <c r="F247" s="76" t="s">
        <v>4963</v>
      </c>
      <c r="G247" s="76"/>
      <c r="H247" s="117">
        <v>1170351.54</v>
      </c>
      <c r="I247" s="76"/>
    </row>
    <row r="248" spans="1:9">
      <c r="A248" s="772"/>
      <c r="B248" s="772"/>
      <c r="C248" s="76" t="s">
        <v>4994</v>
      </c>
      <c r="D248" s="76" t="s">
        <v>4919</v>
      </c>
      <c r="E248" s="76" t="s">
        <v>4920</v>
      </c>
      <c r="F248" s="76" t="s">
        <v>4995</v>
      </c>
      <c r="G248" s="76"/>
      <c r="H248" s="117">
        <v>1167310</v>
      </c>
      <c r="I248" s="76"/>
    </row>
    <row r="249" spans="1:9">
      <c r="A249" s="772"/>
      <c r="B249" s="772"/>
      <c r="C249" s="76" t="s">
        <v>4996</v>
      </c>
      <c r="D249" s="76" t="s">
        <v>4923</v>
      </c>
      <c r="E249" s="76" t="s">
        <v>4997</v>
      </c>
      <c r="F249" s="76" t="s">
        <v>4939</v>
      </c>
      <c r="G249" s="76"/>
      <c r="H249" s="117">
        <v>1138703.96</v>
      </c>
      <c r="I249" s="76"/>
    </row>
    <row r="250" spans="1:9">
      <c r="A250" s="772"/>
      <c r="B250" s="772"/>
      <c r="C250" s="76" t="s">
        <v>4998</v>
      </c>
      <c r="D250" s="76" t="s">
        <v>4923</v>
      </c>
      <c r="E250" s="76" t="s">
        <v>4999</v>
      </c>
      <c r="F250" s="76" t="s">
        <v>4925</v>
      </c>
      <c r="G250" s="76"/>
      <c r="H250" s="117">
        <v>1076630.8</v>
      </c>
      <c r="I250" s="76"/>
    </row>
    <row r="251" spans="1:9">
      <c r="A251" s="772"/>
      <c r="B251" s="772"/>
      <c r="C251" s="76" t="s">
        <v>5000</v>
      </c>
      <c r="D251" s="76" t="s">
        <v>4923</v>
      </c>
      <c r="E251" s="76" t="s">
        <v>4997</v>
      </c>
      <c r="F251" s="76" t="s">
        <v>4925</v>
      </c>
      <c r="G251" s="76"/>
      <c r="H251" s="117">
        <v>1020676.2199999997</v>
      </c>
      <c r="I251" s="76"/>
    </row>
    <row r="252" spans="1:9">
      <c r="A252" s="772"/>
      <c r="B252" s="772"/>
      <c r="C252" s="76" t="s">
        <v>5001</v>
      </c>
      <c r="D252" s="76" t="s">
        <v>4919</v>
      </c>
      <c r="E252" s="76" t="s">
        <v>4920</v>
      </c>
      <c r="F252" s="76" t="s">
        <v>5002</v>
      </c>
      <c r="G252" s="76"/>
      <c r="H252" s="117">
        <v>1007215.24</v>
      </c>
      <c r="I252" s="76"/>
    </row>
    <row r="253" spans="1:9">
      <c r="A253" s="772"/>
      <c r="B253" s="772"/>
      <c r="C253" s="76" t="s">
        <v>5003</v>
      </c>
      <c r="D253" s="76" t="s">
        <v>4923</v>
      </c>
      <c r="E253" s="76" t="s">
        <v>5004</v>
      </c>
      <c r="F253" s="76" t="s">
        <v>4949</v>
      </c>
      <c r="G253" s="76"/>
      <c r="H253" s="117">
        <v>963148.28999999992</v>
      </c>
      <c r="I253" s="76"/>
    </row>
    <row r="254" spans="1:9">
      <c r="A254" s="772"/>
      <c r="B254" s="772"/>
      <c r="C254" s="76" t="s">
        <v>5005</v>
      </c>
      <c r="D254" s="76" t="s">
        <v>4923</v>
      </c>
      <c r="E254" s="76" t="s">
        <v>5006</v>
      </c>
      <c r="F254" s="76" t="s">
        <v>4925</v>
      </c>
      <c r="G254" s="76"/>
      <c r="H254" s="117">
        <v>945900.95</v>
      </c>
      <c r="I254" s="76"/>
    </row>
    <row r="255" spans="1:9">
      <c r="A255" s="772"/>
      <c r="B255" s="772"/>
      <c r="C255" s="76" t="s">
        <v>5007</v>
      </c>
      <c r="D255" s="76" t="s">
        <v>4923</v>
      </c>
      <c r="E255" s="76" t="s">
        <v>5008</v>
      </c>
      <c r="F255" s="76" t="s">
        <v>4949</v>
      </c>
      <c r="G255" s="76"/>
      <c r="H255" s="117">
        <v>936657.77</v>
      </c>
      <c r="I255" s="76"/>
    </row>
    <row r="256" spans="1:9">
      <c r="A256" s="772"/>
      <c r="B256" s="772"/>
      <c r="C256" s="76" t="s">
        <v>5009</v>
      </c>
      <c r="D256" s="76" t="s">
        <v>4923</v>
      </c>
      <c r="E256" s="76" t="s">
        <v>5010</v>
      </c>
      <c r="F256" s="76" t="s">
        <v>4925</v>
      </c>
      <c r="G256" s="76"/>
      <c r="H256" s="117">
        <v>917400.99</v>
      </c>
      <c r="I256" s="76"/>
    </row>
    <row r="257" spans="1:9">
      <c r="A257" s="772"/>
      <c r="B257" s="772"/>
      <c r="C257" s="76" t="s">
        <v>5011</v>
      </c>
      <c r="D257" s="76" t="s">
        <v>4923</v>
      </c>
      <c r="E257" s="76" t="s">
        <v>5012</v>
      </c>
      <c r="F257" s="76" t="s">
        <v>4925</v>
      </c>
      <c r="G257" s="76"/>
      <c r="H257" s="117">
        <v>916948.97</v>
      </c>
      <c r="I257" s="76"/>
    </row>
    <row r="258" spans="1:9">
      <c r="A258" s="772"/>
      <c r="B258" s="772"/>
      <c r="C258" s="76" t="s">
        <v>5013</v>
      </c>
      <c r="D258" s="76" t="s">
        <v>4919</v>
      </c>
      <c r="E258" s="76" t="s">
        <v>4920</v>
      </c>
      <c r="F258" s="76" t="s">
        <v>5014</v>
      </c>
      <c r="G258" s="76"/>
      <c r="H258" s="117">
        <v>893918.31</v>
      </c>
      <c r="I258" s="76"/>
    </row>
    <row r="259" spans="1:9">
      <c r="A259" s="772"/>
      <c r="B259" s="772"/>
      <c r="C259" s="76" t="s">
        <v>5015</v>
      </c>
      <c r="D259" s="76" t="s">
        <v>4923</v>
      </c>
      <c r="E259" s="76" t="s">
        <v>5016</v>
      </c>
      <c r="F259" s="76" t="s">
        <v>4925</v>
      </c>
      <c r="G259" s="76"/>
      <c r="H259" s="117">
        <v>885040.51</v>
      </c>
      <c r="I259" s="76"/>
    </row>
    <row r="260" spans="1:9">
      <c r="A260" s="772"/>
      <c r="B260" s="772"/>
      <c r="C260" s="76" t="s">
        <v>5017</v>
      </c>
      <c r="D260" s="76" t="s">
        <v>4923</v>
      </c>
      <c r="E260" s="76" t="s">
        <v>5018</v>
      </c>
      <c r="F260" s="76" t="s">
        <v>4949</v>
      </c>
      <c r="G260" s="76"/>
      <c r="H260" s="117">
        <v>860359.31</v>
      </c>
      <c r="I260" s="76"/>
    </row>
    <row r="261" spans="1:9">
      <c r="A261" s="772"/>
      <c r="B261" s="772"/>
      <c r="C261" s="76" t="s">
        <v>5019</v>
      </c>
      <c r="D261" s="76" t="s">
        <v>4923</v>
      </c>
      <c r="E261" s="76" t="s">
        <v>5020</v>
      </c>
      <c r="F261" s="76" t="s">
        <v>4949</v>
      </c>
      <c r="G261" s="76"/>
      <c r="H261" s="117">
        <v>804675.61</v>
      </c>
      <c r="I261" s="76"/>
    </row>
    <row r="262" spans="1:9">
      <c r="A262" s="772"/>
      <c r="B262" s="772"/>
      <c r="C262" s="76" t="s">
        <v>5021</v>
      </c>
      <c r="D262" s="76" t="s">
        <v>4923</v>
      </c>
      <c r="E262" s="76" t="s">
        <v>5022</v>
      </c>
      <c r="F262" s="76" t="s">
        <v>4925</v>
      </c>
      <c r="G262" s="76"/>
      <c r="H262" s="117">
        <v>798540</v>
      </c>
      <c r="I262" s="76"/>
    </row>
    <row r="263" spans="1:9">
      <c r="A263" s="772"/>
      <c r="B263" s="772"/>
      <c r="C263" s="76" t="s">
        <v>5023</v>
      </c>
      <c r="D263" s="76" t="s">
        <v>4919</v>
      </c>
      <c r="E263" s="76" t="s">
        <v>4920</v>
      </c>
      <c r="F263" s="76" t="s">
        <v>5024</v>
      </c>
      <c r="G263" s="76"/>
      <c r="H263" s="117">
        <v>779022.4</v>
      </c>
      <c r="I263" s="76"/>
    </row>
    <row r="264" spans="1:9">
      <c r="A264" s="772"/>
      <c r="B264" s="772"/>
      <c r="C264" s="76" t="s">
        <v>5025</v>
      </c>
      <c r="D264" s="76" t="s">
        <v>4923</v>
      </c>
      <c r="E264" s="76" t="s">
        <v>5026</v>
      </c>
      <c r="F264" s="76" t="s">
        <v>4949</v>
      </c>
      <c r="G264" s="76"/>
      <c r="H264" s="117">
        <v>706106.2</v>
      </c>
      <c r="I264" s="76"/>
    </row>
    <row r="265" spans="1:9">
      <c r="A265" s="772"/>
      <c r="B265" s="772"/>
      <c r="C265" s="76" t="s">
        <v>5027</v>
      </c>
      <c r="D265" s="76" t="s">
        <v>4923</v>
      </c>
      <c r="E265" s="76" t="s">
        <v>5028</v>
      </c>
      <c r="F265" s="76" t="s">
        <v>4949</v>
      </c>
      <c r="G265" s="76"/>
      <c r="H265" s="117">
        <v>691050</v>
      </c>
      <c r="I265" s="76"/>
    </row>
    <row r="266" spans="1:9">
      <c r="A266" s="772"/>
      <c r="B266" s="772"/>
      <c r="C266" s="76" t="s">
        <v>5029</v>
      </c>
      <c r="D266" s="76" t="s">
        <v>4923</v>
      </c>
      <c r="E266" s="76" t="s">
        <v>5030</v>
      </c>
      <c r="F266" s="76" t="s">
        <v>5031</v>
      </c>
      <c r="G266" s="76"/>
      <c r="H266" s="117">
        <v>687345.62</v>
      </c>
      <c r="I266" s="76"/>
    </row>
    <row r="267" spans="1:9">
      <c r="A267" s="772"/>
      <c r="B267" s="772"/>
      <c r="C267" s="76" t="s">
        <v>5032</v>
      </c>
      <c r="D267" s="76" t="s">
        <v>4919</v>
      </c>
      <c r="E267" s="76" t="s">
        <v>4920</v>
      </c>
      <c r="F267" s="76" t="s">
        <v>5033</v>
      </c>
      <c r="G267" s="76"/>
      <c r="H267" s="117">
        <v>680190</v>
      </c>
      <c r="I267" s="76"/>
    </row>
    <row r="268" spans="1:9">
      <c r="A268" s="772"/>
      <c r="B268" s="772"/>
      <c r="C268" s="76" t="s">
        <v>5034</v>
      </c>
      <c r="D268" s="76" t="s">
        <v>4923</v>
      </c>
      <c r="E268" s="76" t="s">
        <v>5035</v>
      </c>
      <c r="F268" s="76" t="s">
        <v>4925</v>
      </c>
      <c r="G268" s="76"/>
      <c r="H268" s="117">
        <v>649389</v>
      </c>
      <c r="I268" s="76"/>
    </row>
    <row r="269" spans="1:9">
      <c r="A269" s="772"/>
      <c r="B269" s="772"/>
      <c r="C269" s="76" t="s">
        <v>5036</v>
      </c>
      <c r="D269" s="76" t="s">
        <v>4923</v>
      </c>
      <c r="E269" s="76" t="s">
        <v>5037</v>
      </c>
      <c r="F269" s="76" t="s">
        <v>4925</v>
      </c>
      <c r="G269" s="76"/>
      <c r="H269" s="117">
        <v>613971.43000000005</v>
      </c>
      <c r="I269" s="76"/>
    </row>
    <row r="270" spans="1:9">
      <c r="A270" s="772"/>
      <c r="B270" s="772"/>
      <c r="C270" s="76" t="s">
        <v>5038</v>
      </c>
      <c r="D270" s="76" t="s">
        <v>4919</v>
      </c>
      <c r="E270" s="76" t="s">
        <v>4920</v>
      </c>
      <c r="F270" s="76" t="s">
        <v>4921</v>
      </c>
      <c r="G270" s="76"/>
      <c r="H270" s="117">
        <v>603357.09</v>
      </c>
      <c r="I270" s="76"/>
    </row>
    <row r="271" spans="1:9">
      <c r="A271" s="772"/>
      <c r="B271" s="772"/>
      <c r="C271" s="76" t="s">
        <v>5039</v>
      </c>
      <c r="D271" s="76" t="s">
        <v>4923</v>
      </c>
      <c r="E271" s="76" t="s">
        <v>5040</v>
      </c>
      <c r="F271" s="76" t="s">
        <v>4949</v>
      </c>
      <c r="G271" s="76"/>
      <c r="H271" s="117">
        <v>603101.56000000006</v>
      </c>
      <c r="I271" s="76"/>
    </row>
    <row r="272" spans="1:9">
      <c r="A272" s="772"/>
      <c r="B272" s="772"/>
      <c r="C272" s="76" t="s">
        <v>5041</v>
      </c>
      <c r="D272" s="76" t="s">
        <v>4923</v>
      </c>
      <c r="E272" s="76" t="s">
        <v>5042</v>
      </c>
      <c r="F272" s="76" t="s">
        <v>4949</v>
      </c>
      <c r="G272" s="76"/>
      <c r="H272" s="117">
        <v>583488.97</v>
      </c>
      <c r="I272" s="76"/>
    </row>
    <row r="273" spans="1:9">
      <c r="A273" s="772"/>
      <c r="B273" s="772"/>
      <c r="C273" s="76" t="s">
        <v>5043</v>
      </c>
      <c r="D273" s="76" t="s">
        <v>4923</v>
      </c>
      <c r="E273" s="76" t="s">
        <v>4970</v>
      </c>
      <c r="F273" s="76" t="s">
        <v>4971</v>
      </c>
      <c r="G273" s="76"/>
      <c r="H273" s="117">
        <v>537962.9</v>
      </c>
      <c r="I273" s="76"/>
    </row>
    <row r="274" spans="1:9">
      <c r="A274" s="772"/>
      <c r="B274" s="772"/>
      <c r="C274" s="76" t="s">
        <v>5044</v>
      </c>
      <c r="D274" s="76" t="s">
        <v>4923</v>
      </c>
      <c r="E274" s="76" t="s">
        <v>5045</v>
      </c>
      <c r="F274" s="76" t="s">
        <v>4949</v>
      </c>
      <c r="G274" s="76"/>
      <c r="H274" s="117">
        <v>521535.57</v>
      </c>
      <c r="I274" s="76"/>
    </row>
    <row r="275" spans="1:9">
      <c r="A275" s="772"/>
      <c r="B275" s="772"/>
      <c r="C275" s="76" t="s">
        <v>5046</v>
      </c>
      <c r="D275" s="76" t="s">
        <v>4919</v>
      </c>
      <c r="E275" s="76" t="s">
        <v>4920</v>
      </c>
      <c r="F275" s="76" t="s">
        <v>5047</v>
      </c>
      <c r="G275" s="76"/>
      <c r="H275" s="117">
        <v>515438</v>
      </c>
      <c r="I275" s="76"/>
    </row>
    <row r="276" spans="1:9">
      <c r="A276" s="772"/>
      <c r="B276" s="772"/>
      <c r="C276" s="76" t="s">
        <v>5048</v>
      </c>
      <c r="D276" s="76" t="s">
        <v>4919</v>
      </c>
      <c r="E276" s="76" t="s">
        <v>4970</v>
      </c>
      <c r="F276" s="76" t="s">
        <v>5049</v>
      </c>
      <c r="G276" s="76"/>
      <c r="H276" s="117">
        <v>511058</v>
      </c>
      <c r="I276" s="76"/>
    </row>
    <row r="277" spans="1:9">
      <c r="A277" s="772"/>
      <c r="B277" s="772"/>
      <c r="C277" s="76" t="s">
        <v>5050</v>
      </c>
      <c r="D277" s="76" t="s">
        <v>4923</v>
      </c>
      <c r="E277" s="76" t="s">
        <v>5051</v>
      </c>
      <c r="F277" s="76" t="s">
        <v>4939</v>
      </c>
      <c r="G277" s="76"/>
      <c r="H277" s="117">
        <v>500408.68999999994</v>
      </c>
      <c r="I277" s="76"/>
    </row>
    <row r="278" spans="1:9">
      <c r="A278" s="772"/>
      <c r="B278" s="772"/>
      <c r="C278" s="76" t="s">
        <v>5052</v>
      </c>
      <c r="D278" s="76" t="s">
        <v>4923</v>
      </c>
      <c r="E278" s="76" t="s">
        <v>5040</v>
      </c>
      <c r="F278" s="76" t="s">
        <v>4925</v>
      </c>
      <c r="G278" s="76"/>
      <c r="H278" s="117">
        <v>495652</v>
      </c>
      <c r="I278" s="76"/>
    </row>
    <row r="279" spans="1:9">
      <c r="A279" s="772"/>
      <c r="B279" s="772"/>
      <c r="C279" s="76" t="s">
        <v>5053</v>
      </c>
      <c r="D279" s="76" t="s">
        <v>4919</v>
      </c>
      <c r="E279" s="76" t="s">
        <v>4920</v>
      </c>
      <c r="F279" s="76" t="s">
        <v>5054</v>
      </c>
      <c r="G279" s="76"/>
      <c r="H279" s="117">
        <v>495539.55999999994</v>
      </c>
      <c r="I279" s="76"/>
    </row>
    <row r="280" spans="1:9">
      <c r="A280" s="772"/>
      <c r="B280" s="772"/>
      <c r="C280" s="76" t="s">
        <v>5055</v>
      </c>
      <c r="D280" s="76" t="s">
        <v>4919</v>
      </c>
      <c r="E280" s="76" t="s">
        <v>4920</v>
      </c>
      <c r="F280" s="76" t="s">
        <v>5056</v>
      </c>
      <c r="G280" s="76"/>
      <c r="H280" s="117">
        <v>477940.31</v>
      </c>
      <c r="I280" s="76"/>
    </row>
    <row r="281" spans="1:9">
      <c r="A281" s="772"/>
      <c r="B281" s="772"/>
      <c r="C281" s="76" t="s">
        <v>5057</v>
      </c>
      <c r="D281" s="76" t="s">
        <v>4919</v>
      </c>
      <c r="E281" s="76" t="s">
        <v>4920</v>
      </c>
      <c r="F281" s="76" t="s">
        <v>5058</v>
      </c>
      <c r="G281" s="76"/>
      <c r="H281" s="117">
        <v>477292.74</v>
      </c>
      <c r="I281" s="76"/>
    </row>
    <row r="282" spans="1:9">
      <c r="A282" s="772"/>
      <c r="B282" s="772"/>
      <c r="C282" s="76" t="s">
        <v>5059</v>
      </c>
      <c r="D282" s="76" t="s">
        <v>4919</v>
      </c>
      <c r="E282" s="76" t="s">
        <v>4920</v>
      </c>
      <c r="F282" s="76" t="s">
        <v>5060</v>
      </c>
      <c r="G282" s="76"/>
      <c r="H282" s="117">
        <v>475223.29</v>
      </c>
      <c r="I282" s="76"/>
    </row>
    <row r="283" spans="1:9">
      <c r="A283" s="772"/>
      <c r="B283" s="772"/>
      <c r="C283" s="76" t="s">
        <v>5061</v>
      </c>
      <c r="D283" s="76" t="s">
        <v>4923</v>
      </c>
      <c r="E283" s="76" t="s">
        <v>4987</v>
      </c>
      <c r="F283" s="76" t="s">
        <v>4925</v>
      </c>
      <c r="G283" s="76"/>
      <c r="H283" s="117">
        <v>430640.58000000007</v>
      </c>
      <c r="I283" s="76"/>
    </row>
    <row r="284" spans="1:9">
      <c r="A284" s="772"/>
      <c r="B284" s="772"/>
      <c r="C284" s="76" t="s">
        <v>5062</v>
      </c>
      <c r="D284" s="76" t="s">
        <v>4923</v>
      </c>
      <c r="E284" s="76" t="s">
        <v>5063</v>
      </c>
      <c r="F284" s="76" t="s">
        <v>4949</v>
      </c>
      <c r="G284" s="76"/>
      <c r="H284" s="117">
        <v>411925.66000000003</v>
      </c>
      <c r="I284" s="76"/>
    </row>
    <row r="285" spans="1:9">
      <c r="A285" s="772"/>
      <c r="B285" s="772"/>
      <c r="C285" s="76" t="s">
        <v>5064</v>
      </c>
      <c r="D285" s="76" t="s">
        <v>4919</v>
      </c>
      <c r="E285" s="76" t="s">
        <v>4920</v>
      </c>
      <c r="F285" s="76" t="s">
        <v>4921</v>
      </c>
      <c r="G285" s="76"/>
      <c r="H285" s="117">
        <v>410884.81</v>
      </c>
      <c r="I285" s="76"/>
    </row>
    <row r="286" spans="1:9">
      <c r="A286" s="772"/>
      <c r="B286" s="772"/>
      <c r="C286" s="76" t="s">
        <v>5065</v>
      </c>
      <c r="D286" s="76" t="s">
        <v>4919</v>
      </c>
      <c r="E286" s="76" t="s">
        <v>4920</v>
      </c>
      <c r="F286" s="76" t="s">
        <v>5066</v>
      </c>
      <c r="G286" s="76"/>
      <c r="H286" s="117">
        <v>393105.14000000007</v>
      </c>
      <c r="I286" s="76"/>
    </row>
    <row r="287" spans="1:9">
      <c r="A287" s="772"/>
      <c r="B287" s="772"/>
      <c r="C287" s="76" t="s">
        <v>5067</v>
      </c>
      <c r="D287" s="76" t="s">
        <v>4919</v>
      </c>
      <c r="E287" s="76" t="s">
        <v>4970</v>
      </c>
      <c r="F287" s="76" t="s">
        <v>5068</v>
      </c>
      <c r="G287" s="76"/>
      <c r="H287" s="117">
        <v>371993.74</v>
      </c>
      <c r="I287" s="76"/>
    </row>
    <row r="288" spans="1:9">
      <c r="A288" s="772"/>
      <c r="B288" s="772"/>
      <c r="C288" s="76" t="s">
        <v>5069</v>
      </c>
      <c r="D288" s="76" t="s">
        <v>4919</v>
      </c>
      <c r="E288" s="76" t="s">
        <v>4920</v>
      </c>
      <c r="F288" s="76" t="s">
        <v>5070</v>
      </c>
      <c r="G288" s="76"/>
      <c r="H288" s="117">
        <v>354055.19</v>
      </c>
      <c r="I288" s="76"/>
    </row>
    <row r="289" spans="1:9">
      <c r="A289" s="772"/>
      <c r="B289" s="772"/>
      <c r="C289" s="76" t="s">
        <v>5071</v>
      </c>
      <c r="D289" s="76" t="s">
        <v>4919</v>
      </c>
      <c r="E289" s="76" t="s">
        <v>4920</v>
      </c>
      <c r="F289" s="76" t="s">
        <v>5024</v>
      </c>
      <c r="G289" s="76"/>
      <c r="H289" s="117">
        <v>346730.86000000004</v>
      </c>
      <c r="I289" s="76"/>
    </row>
    <row r="290" spans="1:9">
      <c r="A290" s="772"/>
      <c r="B290" s="772"/>
      <c r="C290" s="76" t="s">
        <v>5072</v>
      </c>
      <c r="D290" s="76" t="s">
        <v>4923</v>
      </c>
      <c r="E290" s="76" t="s">
        <v>5073</v>
      </c>
      <c r="F290" s="76" t="s">
        <v>4939</v>
      </c>
      <c r="G290" s="76"/>
      <c r="H290" s="117">
        <v>342506.94</v>
      </c>
      <c r="I290" s="76"/>
    </row>
    <row r="291" spans="1:9">
      <c r="A291" s="772"/>
      <c r="B291" s="772"/>
      <c r="C291" s="76" t="s">
        <v>5074</v>
      </c>
      <c r="D291" s="76" t="s">
        <v>4919</v>
      </c>
      <c r="E291" s="76" t="s">
        <v>4920</v>
      </c>
      <c r="F291" s="76" t="s">
        <v>5024</v>
      </c>
      <c r="G291" s="76"/>
      <c r="H291" s="117">
        <v>339936.13</v>
      </c>
      <c r="I291" s="76"/>
    </row>
    <row r="292" spans="1:9">
      <c r="A292" s="772"/>
      <c r="B292" s="772"/>
      <c r="C292" s="76" t="s">
        <v>5075</v>
      </c>
      <c r="D292" s="76" t="s">
        <v>4919</v>
      </c>
      <c r="E292" s="76" t="s">
        <v>4920</v>
      </c>
      <c r="F292" s="76" t="s">
        <v>5076</v>
      </c>
      <c r="G292" s="76"/>
      <c r="H292" s="117">
        <v>338717.7</v>
      </c>
      <c r="I292" s="76"/>
    </row>
    <row r="293" spans="1:9">
      <c r="A293" s="772"/>
      <c r="B293" s="772"/>
      <c r="C293" s="76" t="s">
        <v>5077</v>
      </c>
      <c r="D293" s="76" t="s">
        <v>4923</v>
      </c>
      <c r="E293" s="76" t="s">
        <v>5078</v>
      </c>
      <c r="F293" s="76" t="s">
        <v>4963</v>
      </c>
      <c r="G293" s="76"/>
      <c r="H293" s="117">
        <v>333248.95999999996</v>
      </c>
      <c r="I293" s="76"/>
    </row>
    <row r="294" spans="1:9">
      <c r="A294" s="772"/>
      <c r="B294" s="772"/>
      <c r="C294" s="76" t="s">
        <v>5079</v>
      </c>
      <c r="D294" s="76" t="s">
        <v>4923</v>
      </c>
      <c r="E294" s="76" t="s">
        <v>5080</v>
      </c>
      <c r="F294" s="76" t="s">
        <v>4939</v>
      </c>
      <c r="G294" s="76"/>
      <c r="H294" s="117">
        <v>326794.24000000005</v>
      </c>
      <c r="I294" s="76"/>
    </row>
    <row r="295" spans="1:9">
      <c r="A295" s="772"/>
      <c r="B295" s="772"/>
      <c r="C295" s="76" t="s">
        <v>5081</v>
      </c>
      <c r="D295" s="76" t="s">
        <v>4923</v>
      </c>
      <c r="E295" s="76" t="s">
        <v>4970</v>
      </c>
      <c r="F295" s="76" t="s">
        <v>4983</v>
      </c>
      <c r="G295" s="76"/>
      <c r="H295" s="117">
        <v>323700</v>
      </c>
      <c r="I295" s="76"/>
    </row>
    <row r="296" spans="1:9">
      <c r="A296" s="772"/>
      <c r="B296" s="772"/>
      <c r="C296" s="76" t="s">
        <v>5082</v>
      </c>
      <c r="D296" s="76" t="s">
        <v>4919</v>
      </c>
      <c r="E296" s="76" t="s">
        <v>4920</v>
      </c>
      <c r="F296" s="76" t="s">
        <v>5024</v>
      </c>
      <c r="G296" s="76"/>
      <c r="H296" s="117">
        <v>310071</v>
      </c>
      <c r="I296" s="76"/>
    </row>
    <row r="297" spans="1:9">
      <c r="A297" s="772"/>
      <c r="B297" s="772"/>
      <c r="C297" s="76" t="s">
        <v>5083</v>
      </c>
      <c r="D297" s="76" t="s">
        <v>4923</v>
      </c>
      <c r="E297" s="76" t="s">
        <v>5084</v>
      </c>
      <c r="F297" s="76" t="s">
        <v>4983</v>
      </c>
      <c r="G297" s="76"/>
      <c r="H297" s="117">
        <v>304893.87</v>
      </c>
      <c r="I297" s="76"/>
    </row>
    <row r="298" spans="1:9">
      <c r="A298" s="772"/>
      <c r="B298" s="772"/>
      <c r="C298" s="76" t="s">
        <v>5085</v>
      </c>
      <c r="D298" s="76" t="s">
        <v>4923</v>
      </c>
      <c r="E298" s="76" t="s">
        <v>5086</v>
      </c>
      <c r="F298" s="76" t="s">
        <v>4949</v>
      </c>
      <c r="G298" s="76"/>
      <c r="H298" s="117">
        <v>293514.14</v>
      </c>
      <c r="I298" s="76"/>
    </row>
    <row r="299" spans="1:9">
      <c r="A299" s="772"/>
      <c r="B299" s="772"/>
      <c r="C299" s="76" t="s">
        <v>5087</v>
      </c>
      <c r="D299" s="76" t="s">
        <v>4919</v>
      </c>
      <c r="E299" s="76" t="s">
        <v>4970</v>
      </c>
      <c r="F299" s="76" t="s">
        <v>5088</v>
      </c>
      <c r="G299" s="76"/>
      <c r="H299" s="117">
        <v>287547.61</v>
      </c>
      <c r="I299" s="76"/>
    </row>
    <row r="300" spans="1:9">
      <c r="A300" s="772"/>
      <c r="B300" s="772"/>
      <c r="C300" s="76" t="s">
        <v>5089</v>
      </c>
      <c r="D300" s="76" t="s">
        <v>4919</v>
      </c>
      <c r="E300" s="76" t="s">
        <v>4920</v>
      </c>
      <c r="F300" s="76" t="s">
        <v>5054</v>
      </c>
      <c r="G300" s="76"/>
      <c r="H300" s="117">
        <v>283447.09000000003</v>
      </c>
      <c r="I300" s="76"/>
    </row>
    <row r="301" spans="1:9">
      <c r="A301" s="772"/>
      <c r="B301" s="772"/>
      <c r="C301" s="76" t="s">
        <v>5090</v>
      </c>
      <c r="D301" s="76" t="s">
        <v>4923</v>
      </c>
      <c r="E301" s="76" t="s">
        <v>5091</v>
      </c>
      <c r="F301" s="76" t="s">
        <v>4949</v>
      </c>
      <c r="G301" s="76"/>
      <c r="H301" s="117">
        <v>271440.52999999997</v>
      </c>
      <c r="I301" s="76"/>
    </row>
    <row r="302" spans="1:9">
      <c r="A302" s="772"/>
      <c r="B302" s="772"/>
      <c r="C302" s="76" t="s">
        <v>5092</v>
      </c>
      <c r="D302" s="76" t="s">
        <v>4919</v>
      </c>
      <c r="E302" s="76" t="s">
        <v>5040</v>
      </c>
      <c r="F302" s="76" t="s">
        <v>5093</v>
      </c>
      <c r="G302" s="76"/>
      <c r="H302" s="117">
        <v>258534.46</v>
      </c>
      <c r="I302" s="76"/>
    </row>
    <row r="303" spans="1:9">
      <c r="A303" s="772"/>
      <c r="B303" s="772"/>
      <c r="C303" s="76" t="s">
        <v>5094</v>
      </c>
      <c r="D303" s="76" t="s">
        <v>4919</v>
      </c>
      <c r="E303" s="76" t="s">
        <v>5095</v>
      </c>
      <c r="F303" s="76" t="s">
        <v>4921</v>
      </c>
      <c r="G303" s="76"/>
      <c r="H303" s="117">
        <v>257233.30999999997</v>
      </c>
      <c r="I303" s="76"/>
    </row>
    <row r="304" spans="1:9">
      <c r="A304" s="772"/>
      <c r="B304" s="772"/>
      <c r="C304" s="76" t="s">
        <v>5096</v>
      </c>
      <c r="D304" s="76" t="s">
        <v>4923</v>
      </c>
      <c r="E304" s="76" t="s">
        <v>5097</v>
      </c>
      <c r="F304" s="76" t="s">
        <v>4925</v>
      </c>
      <c r="G304" s="76"/>
      <c r="H304" s="117">
        <v>250906.68</v>
      </c>
      <c r="I304" s="76"/>
    </row>
    <row r="305" spans="1:9">
      <c r="A305" s="772"/>
      <c r="B305" s="772"/>
      <c r="C305" s="76" t="s">
        <v>5098</v>
      </c>
      <c r="D305" s="76" t="s">
        <v>4919</v>
      </c>
      <c r="E305" s="76" t="s">
        <v>5040</v>
      </c>
      <c r="F305" s="76" t="s">
        <v>5099</v>
      </c>
      <c r="G305" s="76"/>
      <c r="H305" s="117">
        <v>246317</v>
      </c>
      <c r="I305" s="76"/>
    </row>
    <row r="306" spans="1:9">
      <c r="A306" s="772"/>
      <c r="B306" s="772"/>
      <c r="C306" s="76" t="s">
        <v>5100</v>
      </c>
      <c r="D306" s="76" t="s">
        <v>4919</v>
      </c>
      <c r="E306" s="76" t="s">
        <v>4970</v>
      </c>
      <c r="F306" s="76" t="s">
        <v>5101</v>
      </c>
      <c r="G306" s="76"/>
      <c r="H306" s="117">
        <v>233985</v>
      </c>
      <c r="I306" s="76"/>
    </row>
    <row r="307" spans="1:9">
      <c r="A307" s="772"/>
      <c r="B307" s="772"/>
      <c r="C307" s="76" t="s">
        <v>5102</v>
      </c>
      <c r="D307" s="76" t="s">
        <v>4919</v>
      </c>
      <c r="E307" s="76" t="s">
        <v>5103</v>
      </c>
      <c r="F307" s="76" t="s">
        <v>5104</v>
      </c>
      <c r="G307" s="76"/>
      <c r="H307" s="117">
        <v>227173</v>
      </c>
      <c r="I307" s="76"/>
    </row>
    <row r="308" spans="1:9">
      <c r="A308" s="772"/>
      <c r="B308" s="772"/>
      <c r="C308" s="76" t="s">
        <v>5105</v>
      </c>
      <c r="D308" s="76" t="s">
        <v>4923</v>
      </c>
      <c r="E308" s="76" t="s">
        <v>5106</v>
      </c>
      <c r="F308" s="76" t="s">
        <v>4949</v>
      </c>
      <c r="G308" s="76"/>
      <c r="H308" s="117">
        <v>226580.48000000001</v>
      </c>
      <c r="I308" s="76"/>
    </row>
    <row r="309" spans="1:9">
      <c r="A309" s="772"/>
      <c r="B309" s="772"/>
      <c r="C309" s="76" t="s">
        <v>5107</v>
      </c>
      <c r="D309" s="76" t="s">
        <v>4923</v>
      </c>
      <c r="E309" s="76" t="s">
        <v>5108</v>
      </c>
      <c r="F309" s="76" t="s">
        <v>4949</v>
      </c>
      <c r="G309" s="76"/>
      <c r="H309" s="117">
        <v>222821.26</v>
      </c>
      <c r="I309" s="76"/>
    </row>
    <row r="310" spans="1:9">
      <c r="A310" s="772"/>
      <c r="B310" s="772"/>
      <c r="C310" s="76" t="s">
        <v>5109</v>
      </c>
      <c r="D310" s="76" t="s">
        <v>4919</v>
      </c>
      <c r="E310" s="76" t="s">
        <v>4970</v>
      </c>
      <c r="F310" s="76" t="s">
        <v>5070</v>
      </c>
      <c r="G310" s="76"/>
      <c r="H310" s="117">
        <v>220164</v>
      </c>
      <c r="I310" s="76"/>
    </row>
    <row r="311" spans="1:9">
      <c r="A311" s="772"/>
      <c r="B311" s="772"/>
      <c r="C311" s="76" t="s">
        <v>5110</v>
      </c>
      <c r="D311" s="76" t="s">
        <v>4923</v>
      </c>
      <c r="E311" s="76" t="s">
        <v>5111</v>
      </c>
      <c r="F311" s="76" t="s">
        <v>4949</v>
      </c>
      <c r="G311" s="76"/>
      <c r="H311" s="117">
        <v>216502.72</v>
      </c>
      <c r="I311" s="76"/>
    </row>
    <row r="312" spans="1:9">
      <c r="A312" s="772"/>
      <c r="B312" s="772"/>
      <c r="C312" s="76" t="s">
        <v>5112</v>
      </c>
      <c r="D312" s="76" t="s">
        <v>4923</v>
      </c>
      <c r="E312" s="76" t="s">
        <v>5113</v>
      </c>
      <c r="F312" s="76" t="s">
        <v>5114</v>
      </c>
      <c r="G312" s="76"/>
      <c r="H312" s="117">
        <v>210230.45</v>
      </c>
      <c r="I312" s="76"/>
    </row>
    <row r="313" spans="1:9">
      <c r="A313" s="772"/>
      <c r="B313" s="772"/>
      <c r="C313" s="76" t="s">
        <v>5115</v>
      </c>
      <c r="D313" s="76" t="s">
        <v>4923</v>
      </c>
      <c r="E313" s="76" t="s">
        <v>5116</v>
      </c>
      <c r="F313" s="76" t="s">
        <v>4949</v>
      </c>
      <c r="G313" s="76"/>
      <c r="H313" s="117">
        <v>206457.30999999997</v>
      </c>
      <c r="I313" s="76"/>
    </row>
    <row r="314" spans="1:9">
      <c r="A314" s="772"/>
      <c r="B314" s="772"/>
      <c r="C314" s="76" t="s">
        <v>5117</v>
      </c>
      <c r="D314" s="76" t="s">
        <v>4919</v>
      </c>
      <c r="E314" s="76" t="s">
        <v>5040</v>
      </c>
      <c r="F314" s="76" t="s">
        <v>5118</v>
      </c>
      <c r="G314" s="76"/>
      <c r="H314" s="117">
        <v>206368.31</v>
      </c>
      <c r="I314" s="76"/>
    </row>
    <row r="315" spans="1:9">
      <c r="A315" s="772"/>
      <c r="B315" s="772"/>
      <c r="C315" s="76" t="s">
        <v>5119</v>
      </c>
      <c r="D315" s="76" t="s">
        <v>4923</v>
      </c>
      <c r="E315" s="76" t="s">
        <v>5120</v>
      </c>
      <c r="F315" s="76" t="s">
        <v>4949</v>
      </c>
      <c r="G315" s="76"/>
      <c r="H315" s="117">
        <v>205191.03999999998</v>
      </c>
      <c r="I315" s="76"/>
    </row>
    <row r="316" spans="1:9">
      <c r="A316" s="772"/>
      <c r="B316" s="772"/>
      <c r="C316" s="76" t="s">
        <v>5121</v>
      </c>
      <c r="D316" s="76" t="s">
        <v>4923</v>
      </c>
      <c r="E316" s="76" t="s">
        <v>5122</v>
      </c>
      <c r="F316" s="76" t="s">
        <v>4949</v>
      </c>
      <c r="G316" s="76"/>
      <c r="H316" s="117">
        <v>203541.78</v>
      </c>
      <c r="I316" s="76"/>
    </row>
    <row r="317" spans="1:9">
      <c r="A317" s="772"/>
      <c r="B317" s="772"/>
      <c r="C317" s="76" t="s">
        <v>5123</v>
      </c>
      <c r="D317" s="76" t="s">
        <v>4923</v>
      </c>
      <c r="E317" s="76" t="s">
        <v>5124</v>
      </c>
      <c r="F317" s="76" t="s">
        <v>4939</v>
      </c>
      <c r="G317" s="76"/>
      <c r="H317" s="117">
        <v>200747.26</v>
      </c>
      <c r="I317" s="76"/>
    </row>
    <row r="318" spans="1:9">
      <c r="A318" s="772"/>
      <c r="B318" s="772"/>
      <c r="C318" s="76" t="s">
        <v>5125</v>
      </c>
      <c r="D318" s="76" t="s">
        <v>4923</v>
      </c>
      <c r="E318" s="76" t="s">
        <v>5126</v>
      </c>
      <c r="F318" s="76" t="s">
        <v>4949</v>
      </c>
      <c r="G318" s="76"/>
      <c r="H318" s="117">
        <v>199352.41999999998</v>
      </c>
      <c r="I318" s="76"/>
    </row>
    <row r="319" spans="1:9">
      <c r="A319" s="772"/>
      <c r="B319" s="772"/>
      <c r="C319" s="76" t="s">
        <v>5127</v>
      </c>
      <c r="D319" s="76" t="s">
        <v>4919</v>
      </c>
      <c r="E319" s="76" t="s">
        <v>5040</v>
      </c>
      <c r="F319" s="76" t="s">
        <v>5128</v>
      </c>
      <c r="G319" s="76"/>
      <c r="H319" s="117">
        <v>194673.75</v>
      </c>
      <c r="I319" s="76"/>
    </row>
    <row r="320" spans="1:9">
      <c r="A320" s="772"/>
      <c r="B320" s="772"/>
      <c r="C320" s="76" t="s">
        <v>5129</v>
      </c>
      <c r="D320" s="76" t="s">
        <v>4923</v>
      </c>
      <c r="E320" s="76" t="s">
        <v>5130</v>
      </c>
      <c r="F320" s="76" t="s">
        <v>5131</v>
      </c>
      <c r="G320" s="76"/>
      <c r="H320" s="117">
        <v>193933.39</v>
      </c>
      <c r="I320" s="76"/>
    </row>
    <row r="321" spans="1:9">
      <c r="A321" s="772"/>
      <c r="B321" s="772"/>
      <c r="C321" s="76" t="s">
        <v>5132</v>
      </c>
      <c r="D321" s="76" t="s">
        <v>4923</v>
      </c>
      <c r="E321" s="76" t="s">
        <v>5133</v>
      </c>
      <c r="F321" s="76" t="s">
        <v>4949</v>
      </c>
      <c r="G321" s="76"/>
      <c r="H321" s="117">
        <v>192000</v>
      </c>
      <c r="I321" s="76"/>
    </row>
    <row r="322" spans="1:9">
      <c r="A322" s="772"/>
      <c r="B322" s="772"/>
      <c r="C322" s="76" t="s">
        <v>5134</v>
      </c>
      <c r="D322" s="76" t="s">
        <v>4923</v>
      </c>
      <c r="E322" s="76" t="s">
        <v>5135</v>
      </c>
      <c r="F322" s="76" t="s">
        <v>4949</v>
      </c>
      <c r="G322" s="76"/>
      <c r="H322" s="117">
        <v>186077.05</v>
      </c>
      <c r="I322" s="76"/>
    </row>
    <row r="323" spans="1:9">
      <c r="A323" s="772"/>
      <c r="B323" s="772"/>
      <c r="C323" s="76" t="s">
        <v>5136</v>
      </c>
      <c r="D323" s="76" t="s">
        <v>4923</v>
      </c>
      <c r="E323" s="76" t="s">
        <v>5137</v>
      </c>
      <c r="F323" s="76" t="s">
        <v>4949</v>
      </c>
      <c r="G323" s="76"/>
      <c r="H323" s="117">
        <v>184252.51</v>
      </c>
      <c r="I323" s="76"/>
    </row>
    <row r="324" spans="1:9">
      <c r="A324" s="772"/>
      <c r="B324" s="772"/>
      <c r="C324" s="76" t="s">
        <v>5138</v>
      </c>
      <c r="D324" s="76" t="s">
        <v>4923</v>
      </c>
      <c r="E324" s="76" t="s">
        <v>5139</v>
      </c>
      <c r="F324" s="76" t="s">
        <v>4949</v>
      </c>
      <c r="G324" s="76"/>
      <c r="H324" s="117">
        <v>184003.4</v>
      </c>
      <c r="I324" s="76"/>
    </row>
    <row r="325" spans="1:9">
      <c r="A325" s="772"/>
      <c r="B325" s="772"/>
      <c r="C325" s="76" t="s">
        <v>5140</v>
      </c>
      <c r="D325" s="76" t="s">
        <v>4923</v>
      </c>
      <c r="E325" s="76" t="s">
        <v>5141</v>
      </c>
      <c r="F325" s="76" t="s">
        <v>4949</v>
      </c>
      <c r="G325" s="76"/>
      <c r="H325" s="117">
        <v>178944</v>
      </c>
      <c r="I325" s="76"/>
    </row>
    <row r="326" spans="1:9">
      <c r="A326" s="772"/>
      <c r="B326" s="772"/>
      <c r="C326" s="76" t="s">
        <v>5142</v>
      </c>
      <c r="D326" s="76" t="s">
        <v>4923</v>
      </c>
      <c r="E326" s="76" t="s">
        <v>5143</v>
      </c>
      <c r="F326" s="76" t="s">
        <v>4949</v>
      </c>
      <c r="G326" s="76"/>
      <c r="H326" s="117">
        <v>176846.67</v>
      </c>
      <c r="I326" s="76"/>
    </row>
    <row r="327" spans="1:9">
      <c r="A327" s="772"/>
      <c r="B327" s="772"/>
      <c r="C327" s="76" t="s">
        <v>5144</v>
      </c>
      <c r="D327" s="76" t="s">
        <v>4923</v>
      </c>
      <c r="E327" s="76" t="s">
        <v>5145</v>
      </c>
      <c r="F327" s="76" t="s">
        <v>4949</v>
      </c>
      <c r="G327" s="76"/>
      <c r="H327" s="117">
        <v>176615.69999999998</v>
      </c>
      <c r="I327" s="76"/>
    </row>
    <row r="328" spans="1:9">
      <c r="A328" s="772"/>
      <c r="B328" s="772"/>
      <c r="C328" s="76" t="s">
        <v>5146</v>
      </c>
      <c r="D328" s="76" t="s">
        <v>4923</v>
      </c>
      <c r="E328" s="76" t="s">
        <v>5147</v>
      </c>
      <c r="F328" s="76" t="s">
        <v>4949</v>
      </c>
      <c r="G328" s="76"/>
      <c r="H328" s="117">
        <v>174206.45000000004</v>
      </c>
      <c r="I328" s="76"/>
    </row>
    <row r="329" spans="1:9">
      <c r="A329" s="772"/>
      <c r="B329" s="772"/>
      <c r="C329" s="76" t="s">
        <v>5148</v>
      </c>
      <c r="D329" s="76" t="s">
        <v>4923</v>
      </c>
      <c r="E329" s="76" t="s">
        <v>5149</v>
      </c>
      <c r="F329" s="76" t="s">
        <v>5114</v>
      </c>
      <c r="G329" s="76"/>
      <c r="H329" s="117">
        <v>169758.63999999998</v>
      </c>
      <c r="I329" s="76"/>
    </row>
    <row r="330" spans="1:9">
      <c r="A330" s="772"/>
      <c r="B330" s="772"/>
      <c r="C330" s="76" t="s">
        <v>5150</v>
      </c>
      <c r="D330" s="76" t="s">
        <v>4919</v>
      </c>
      <c r="E330" s="76" t="s">
        <v>5103</v>
      </c>
      <c r="F330" s="76" t="s">
        <v>4978</v>
      </c>
      <c r="G330" s="76"/>
      <c r="H330" s="117">
        <v>168672</v>
      </c>
      <c r="I330" s="76"/>
    </row>
    <row r="331" spans="1:9">
      <c r="A331" s="772"/>
      <c r="B331" s="772"/>
      <c r="C331" s="76" t="s">
        <v>5151</v>
      </c>
      <c r="D331" s="76" t="s">
        <v>4923</v>
      </c>
      <c r="E331" s="76" t="s">
        <v>5040</v>
      </c>
      <c r="F331" s="76" t="s">
        <v>4925</v>
      </c>
      <c r="G331" s="76"/>
      <c r="H331" s="117">
        <v>168010</v>
      </c>
      <c r="I331" s="76"/>
    </row>
    <row r="332" spans="1:9">
      <c r="A332" s="772"/>
      <c r="B332" s="772"/>
      <c r="C332" s="76" t="s">
        <v>5152</v>
      </c>
      <c r="D332" s="76" t="s">
        <v>4919</v>
      </c>
      <c r="E332" s="76" t="s">
        <v>5040</v>
      </c>
      <c r="F332" s="76" t="s">
        <v>5153</v>
      </c>
      <c r="G332" s="76"/>
      <c r="H332" s="117">
        <v>167842.36</v>
      </c>
      <c r="I332" s="76"/>
    </row>
    <row r="333" spans="1:9">
      <c r="A333" s="772"/>
      <c r="B333" s="772"/>
      <c r="C333" s="76" t="s">
        <v>5154</v>
      </c>
      <c r="D333" s="76" t="s">
        <v>4923</v>
      </c>
      <c r="E333" s="76" t="s">
        <v>5155</v>
      </c>
      <c r="F333" s="76" t="s">
        <v>4949</v>
      </c>
      <c r="G333" s="76"/>
      <c r="H333" s="117">
        <v>164300.56</v>
      </c>
      <c r="I333" s="76"/>
    </row>
    <row r="334" spans="1:9">
      <c r="A334" s="772"/>
      <c r="B334" s="772"/>
      <c r="C334" s="76" t="s">
        <v>5156</v>
      </c>
      <c r="D334" s="76" t="s">
        <v>4923</v>
      </c>
      <c r="E334" s="76" t="s">
        <v>5157</v>
      </c>
      <c r="F334" s="76" t="s">
        <v>4949</v>
      </c>
      <c r="G334" s="76"/>
      <c r="H334" s="117">
        <v>163080.90999999997</v>
      </c>
      <c r="I334" s="76"/>
    </row>
    <row r="335" spans="1:9">
      <c r="A335" s="772"/>
      <c r="B335" s="772"/>
      <c r="C335" s="76" t="s">
        <v>5158</v>
      </c>
      <c r="D335" s="76" t="s">
        <v>4923</v>
      </c>
      <c r="E335" s="76" t="s">
        <v>5159</v>
      </c>
      <c r="F335" s="76" t="s">
        <v>4949</v>
      </c>
      <c r="G335" s="76"/>
      <c r="H335" s="117">
        <v>162734.39000000001</v>
      </c>
      <c r="I335" s="76"/>
    </row>
    <row r="336" spans="1:9">
      <c r="A336" s="772"/>
      <c r="B336" s="772"/>
      <c r="C336" s="76" t="s">
        <v>5160</v>
      </c>
      <c r="D336" s="76" t="s">
        <v>4923</v>
      </c>
      <c r="E336" s="76" t="s">
        <v>5040</v>
      </c>
      <c r="F336" s="76" t="s">
        <v>4925</v>
      </c>
      <c r="G336" s="76"/>
      <c r="H336" s="117">
        <v>160644.81</v>
      </c>
      <c r="I336" s="76"/>
    </row>
    <row r="337" spans="1:9">
      <c r="A337" s="772"/>
      <c r="B337" s="772"/>
      <c r="C337" s="76" t="s">
        <v>5161</v>
      </c>
      <c r="D337" s="76" t="s">
        <v>4919</v>
      </c>
      <c r="E337" s="76" t="s">
        <v>5040</v>
      </c>
      <c r="F337" s="76" t="s">
        <v>5162</v>
      </c>
      <c r="G337" s="76"/>
      <c r="H337" s="117">
        <v>155000</v>
      </c>
      <c r="I337" s="76"/>
    </row>
    <row r="338" spans="1:9">
      <c r="A338" s="772"/>
      <c r="B338" s="772"/>
      <c r="C338" s="76" t="s">
        <v>5163</v>
      </c>
      <c r="D338" s="76" t="s">
        <v>4919</v>
      </c>
      <c r="E338" s="76" t="s">
        <v>5040</v>
      </c>
      <c r="F338" s="76" t="s">
        <v>5070</v>
      </c>
      <c r="G338" s="76"/>
      <c r="H338" s="117">
        <v>153471</v>
      </c>
      <c r="I338" s="76"/>
    </row>
    <row r="339" spans="1:9">
      <c r="A339" s="772"/>
      <c r="B339" s="772"/>
      <c r="C339" s="76" t="s">
        <v>5164</v>
      </c>
      <c r="D339" s="76" t="s">
        <v>4923</v>
      </c>
      <c r="E339" s="76" t="s">
        <v>5165</v>
      </c>
      <c r="F339" s="76" t="s">
        <v>4925</v>
      </c>
      <c r="G339" s="76"/>
      <c r="H339" s="117">
        <v>151993.76</v>
      </c>
      <c r="I339" s="76"/>
    </row>
    <row r="340" spans="1:9">
      <c r="A340" s="772"/>
      <c r="B340" s="772"/>
      <c r="C340" s="76" t="s">
        <v>5166</v>
      </c>
      <c r="D340" s="76" t="s">
        <v>4919</v>
      </c>
      <c r="E340" s="76" t="s">
        <v>5135</v>
      </c>
      <c r="F340" s="76" t="s">
        <v>4995</v>
      </c>
      <c r="G340" s="76"/>
      <c r="H340" s="117">
        <v>144746.71</v>
      </c>
      <c r="I340" s="76"/>
    </row>
    <row r="341" spans="1:9">
      <c r="A341" s="772"/>
      <c r="B341" s="772"/>
      <c r="C341" s="76" t="s">
        <v>5167</v>
      </c>
      <c r="D341" s="76" t="s">
        <v>4923</v>
      </c>
      <c r="E341" s="76" t="s">
        <v>5168</v>
      </c>
      <c r="F341" s="76" t="s">
        <v>4949</v>
      </c>
      <c r="G341" s="76"/>
      <c r="H341" s="117">
        <v>141642.59</v>
      </c>
      <c r="I341" s="76"/>
    </row>
    <row r="342" spans="1:9">
      <c r="A342" s="772"/>
      <c r="B342" s="772"/>
      <c r="C342" s="76" t="s">
        <v>5169</v>
      </c>
      <c r="D342" s="76" t="s">
        <v>4919</v>
      </c>
      <c r="E342" s="76" t="s">
        <v>5040</v>
      </c>
      <c r="F342" s="76" t="s">
        <v>4936</v>
      </c>
      <c r="G342" s="76"/>
      <c r="H342" s="117">
        <v>141150.25</v>
      </c>
      <c r="I342" s="76"/>
    </row>
    <row r="343" spans="1:9">
      <c r="A343" s="772"/>
      <c r="B343" s="772"/>
      <c r="C343" s="76" t="s">
        <v>5170</v>
      </c>
      <c r="D343" s="76" t="s">
        <v>4923</v>
      </c>
      <c r="E343" s="76" t="s">
        <v>5171</v>
      </c>
      <c r="F343" s="76" t="s">
        <v>4925</v>
      </c>
      <c r="G343" s="76"/>
      <c r="H343" s="117">
        <v>140561.97999999998</v>
      </c>
      <c r="I343" s="76"/>
    </row>
    <row r="344" spans="1:9">
      <c r="A344" s="772"/>
      <c r="B344" s="772"/>
      <c r="C344" s="76" t="s">
        <v>5172</v>
      </c>
      <c r="D344" s="76" t="s">
        <v>4923</v>
      </c>
      <c r="E344" s="76" t="s">
        <v>5173</v>
      </c>
      <c r="F344" s="76" t="s">
        <v>4949</v>
      </c>
      <c r="G344" s="76"/>
      <c r="H344" s="117">
        <v>138798.39999999999</v>
      </c>
      <c r="I344" s="76"/>
    </row>
    <row r="345" spans="1:9">
      <c r="A345" s="772"/>
      <c r="B345" s="772"/>
      <c r="C345" s="76" t="s">
        <v>1690</v>
      </c>
      <c r="D345" s="76" t="s">
        <v>4923</v>
      </c>
      <c r="E345" s="76" t="s">
        <v>4733</v>
      </c>
      <c r="F345" s="76" t="s">
        <v>4939</v>
      </c>
      <c r="G345" s="76"/>
      <c r="H345" s="117">
        <v>137466.89000000001</v>
      </c>
      <c r="I345" s="76"/>
    </row>
    <row r="346" spans="1:9">
      <c r="A346" s="772"/>
      <c r="B346" s="772"/>
      <c r="C346" s="76" t="s">
        <v>5174</v>
      </c>
      <c r="D346" s="76" t="s">
        <v>4919</v>
      </c>
      <c r="E346" s="76" t="s">
        <v>5095</v>
      </c>
      <c r="F346" s="76" t="s">
        <v>5175</v>
      </c>
      <c r="G346" s="76"/>
      <c r="H346" s="117">
        <v>136615.29999999999</v>
      </c>
      <c r="I346" s="76"/>
    </row>
    <row r="347" spans="1:9">
      <c r="A347" s="772"/>
      <c r="B347" s="772"/>
      <c r="C347" s="76" t="s">
        <v>5176</v>
      </c>
      <c r="D347" s="76" t="s">
        <v>4923</v>
      </c>
      <c r="E347" s="76" t="s">
        <v>2695</v>
      </c>
      <c r="F347" s="76" t="s">
        <v>4949</v>
      </c>
      <c r="G347" s="76"/>
      <c r="H347" s="117">
        <v>136509.75</v>
      </c>
      <c r="I347" s="76"/>
    </row>
    <row r="348" spans="1:9">
      <c r="A348" s="772"/>
      <c r="B348" s="772"/>
      <c r="C348" s="76" t="s">
        <v>5177</v>
      </c>
      <c r="D348" s="76" t="s">
        <v>4923</v>
      </c>
      <c r="E348" s="76" t="s">
        <v>5178</v>
      </c>
      <c r="F348" s="76" t="s">
        <v>4963</v>
      </c>
      <c r="G348" s="76"/>
      <c r="H348" s="117">
        <v>135836.79999999999</v>
      </c>
      <c r="I348" s="76"/>
    </row>
    <row r="349" spans="1:9">
      <c r="A349" s="772"/>
      <c r="B349" s="772"/>
      <c r="C349" s="76" t="s">
        <v>5179</v>
      </c>
      <c r="D349" s="76" t="s">
        <v>4919</v>
      </c>
      <c r="E349" s="76" t="s">
        <v>5040</v>
      </c>
      <c r="F349" s="76" t="s">
        <v>5014</v>
      </c>
      <c r="G349" s="76"/>
      <c r="H349" s="117">
        <v>132104.56</v>
      </c>
      <c r="I349" s="76"/>
    </row>
    <row r="350" spans="1:9">
      <c r="A350" s="772"/>
      <c r="B350" s="772"/>
      <c r="C350" s="76" t="s">
        <v>5180</v>
      </c>
      <c r="D350" s="76" t="s">
        <v>4919</v>
      </c>
      <c r="E350" s="76" t="s">
        <v>5135</v>
      </c>
      <c r="F350" s="76" t="s">
        <v>5181</v>
      </c>
      <c r="G350" s="76"/>
      <c r="H350" s="117">
        <v>132000</v>
      </c>
      <c r="I350" s="76"/>
    </row>
    <row r="351" spans="1:9">
      <c r="A351" s="772"/>
      <c r="B351" s="772"/>
      <c r="C351" s="76" t="s">
        <v>5182</v>
      </c>
      <c r="D351" s="76" t="s">
        <v>4923</v>
      </c>
      <c r="E351" s="76" t="s">
        <v>5183</v>
      </c>
      <c r="F351" s="76" t="s">
        <v>4949</v>
      </c>
      <c r="G351" s="76"/>
      <c r="H351" s="117">
        <v>131228.63999999998</v>
      </c>
      <c r="I351" s="76"/>
    </row>
    <row r="352" spans="1:9">
      <c r="A352" s="772"/>
      <c r="B352" s="772"/>
      <c r="C352" s="76" t="s">
        <v>5184</v>
      </c>
      <c r="D352" s="76" t="s">
        <v>4923</v>
      </c>
      <c r="E352" s="76" t="s">
        <v>5185</v>
      </c>
      <c r="F352" s="76" t="s">
        <v>4949</v>
      </c>
      <c r="G352" s="76"/>
      <c r="H352" s="117">
        <v>129914.95999999999</v>
      </c>
      <c r="I352" s="76"/>
    </row>
    <row r="353" spans="1:9">
      <c r="A353" s="772"/>
      <c r="B353" s="772"/>
      <c r="C353" s="76" t="s">
        <v>5186</v>
      </c>
      <c r="D353" s="76" t="s">
        <v>4923</v>
      </c>
      <c r="E353" s="76" t="s">
        <v>5185</v>
      </c>
      <c r="F353" s="76" t="s">
        <v>4925</v>
      </c>
      <c r="G353" s="76"/>
      <c r="H353" s="117">
        <v>128356.39000000001</v>
      </c>
      <c r="I353" s="76"/>
    </row>
    <row r="354" spans="1:9">
      <c r="A354" s="772"/>
      <c r="B354" s="772"/>
      <c r="C354" s="76" t="s">
        <v>5187</v>
      </c>
      <c r="D354" s="76" t="s">
        <v>4923</v>
      </c>
      <c r="E354" s="76" t="s">
        <v>5188</v>
      </c>
      <c r="F354" s="76" t="s">
        <v>4963</v>
      </c>
      <c r="G354" s="76"/>
      <c r="H354" s="117">
        <v>126222.69</v>
      </c>
      <c r="I354" s="76"/>
    </row>
    <row r="355" spans="1:9">
      <c r="A355" s="772"/>
      <c r="B355" s="772"/>
      <c r="C355" s="76" t="s">
        <v>5189</v>
      </c>
      <c r="D355" s="76" t="s">
        <v>4919</v>
      </c>
      <c r="E355" s="76" t="s">
        <v>5040</v>
      </c>
      <c r="F355" s="76" t="s">
        <v>5190</v>
      </c>
      <c r="G355" s="76"/>
      <c r="H355" s="117">
        <v>124500</v>
      </c>
      <c r="I355" s="76"/>
    </row>
    <row r="356" spans="1:9">
      <c r="A356" s="772"/>
      <c r="B356" s="772"/>
      <c r="C356" s="76" t="s">
        <v>5191</v>
      </c>
      <c r="D356" s="76" t="s">
        <v>4923</v>
      </c>
      <c r="E356" s="76" t="s">
        <v>5192</v>
      </c>
      <c r="F356" s="76" t="s">
        <v>4949</v>
      </c>
      <c r="G356" s="76"/>
      <c r="H356" s="117">
        <v>120169.57</v>
      </c>
      <c r="I356" s="76"/>
    </row>
    <row r="357" spans="1:9">
      <c r="A357" s="772"/>
      <c r="B357" s="772"/>
      <c r="C357" s="76" t="s">
        <v>5193</v>
      </c>
      <c r="D357" s="76" t="s">
        <v>4923</v>
      </c>
      <c r="E357" s="76" t="s">
        <v>5194</v>
      </c>
      <c r="F357" s="76" t="s">
        <v>4949</v>
      </c>
      <c r="G357" s="76"/>
      <c r="H357" s="117">
        <v>120160</v>
      </c>
      <c r="I357" s="76"/>
    </row>
    <row r="358" spans="1:9">
      <c r="A358" s="772"/>
      <c r="B358" s="772"/>
      <c r="C358" s="76" t="s">
        <v>5195</v>
      </c>
      <c r="D358" s="76" t="s">
        <v>4919</v>
      </c>
      <c r="E358" s="76" t="s">
        <v>5040</v>
      </c>
      <c r="F358" s="76" t="s">
        <v>5196</v>
      </c>
      <c r="G358" s="76"/>
      <c r="H358" s="117">
        <v>120000</v>
      </c>
      <c r="I358" s="76"/>
    </row>
    <row r="359" spans="1:9">
      <c r="A359" s="772"/>
      <c r="B359" s="772"/>
      <c r="C359" s="76" t="s">
        <v>5197</v>
      </c>
      <c r="D359" s="76" t="s">
        <v>4923</v>
      </c>
      <c r="E359" s="76" t="s">
        <v>4970</v>
      </c>
      <c r="F359" s="76" t="s">
        <v>5198</v>
      </c>
      <c r="G359" s="76"/>
      <c r="H359" s="117">
        <v>119674.30999999998</v>
      </c>
      <c r="I359" s="76"/>
    </row>
    <row r="360" spans="1:9">
      <c r="A360" s="772"/>
      <c r="B360" s="772"/>
      <c r="C360" s="76" t="s">
        <v>5199</v>
      </c>
      <c r="D360" s="76" t="s">
        <v>4923</v>
      </c>
      <c r="E360" s="76" t="s">
        <v>5200</v>
      </c>
      <c r="F360" s="76" t="s">
        <v>4949</v>
      </c>
      <c r="G360" s="76"/>
      <c r="H360" s="117">
        <v>119606.79999999997</v>
      </c>
      <c r="I360" s="76"/>
    </row>
    <row r="361" spans="1:9">
      <c r="A361" s="772"/>
      <c r="B361" s="772"/>
      <c r="C361" s="76" t="s">
        <v>5201</v>
      </c>
      <c r="D361" s="76" t="s">
        <v>4923</v>
      </c>
      <c r="E361" s="76" t="s">
        <v>5202</v>
      </c>
      <c r="F361" s="76" t="s">
        <v>4963</v>
      </c>
      <c r="G361" s="76"/>
      <c r="H361" s="117">
        <v>117597.17000000001</v>
      </c>
      <c r="I361" s="76"/>
    </row>
    <row r="362" spans="1:9">
      <c r="A362" s="772"/>
      <c r="B362" s="772"/>
      <c r="C362" s="76" t="s">
        <v>5203</v>
      </c>
      <c r="D362" s="76" t="s">
        <v>4923</v>
      </c>
      <c r="E362" s="76" t="s">
        <v>5204</v>
      </c>
      <c r="F362" s="76" t="s">
        <v>4949</v>
      </c>
      <c r="G362" s="76"/>
      <c r="H362" s="117">
        <v>117155.66</v>
      </c>
      <c r="I362" s="76"/>
    </row>
    <row r="363" spans="1:9">
      <c r="A363" s="772"/>
      <c r="B363" s="772"/>
      <c r="C363" s="76" t="s">
        <v>5205</v>
      </c>
      <c r="D363" s="76" t="s">
        <v>4923</v>
      </c>
      <c r="E363" s="76" t="s">
        <v>5206</v>
      </c>
      <c r="F363" s="76" t="s">
        <v>4949</v>
      </c>
      <c r="G363" s="76"/>
      <c r="H363" s="117">
        <v>117081.90999999996</v>
      </c>
      <c r="I363" s="76"/>
    </row>
    <row r="364" spans="1:9">
      <c r="A364" s="772"/>
      <c r="B364" s="772"/>
      <c r="C364" s="76" t="s">
        <v>5207</v>
      </c>
      <c r="D364" s="76" t="s">
        <v>4923</v>
      </c>
      <c r="E364" s="76" t="s">
        <v>5208</v>
      </c>
      <c r="F364" s="76" t="s">
        <v>4939</v>
      </c>
      <c r="G364" s="76"/>
      <c r="H364" s="117">
        <v>116692</v>
      </c>
      <c r="I364" s="76"/>
    </row>
    <row r="365" spans="1:9">
      <c r="A365" s="772"/>
      <c r="B365" s="772"/>
      <c r="C365" s="76" t="s">
        <v>5209</v>
      </c>
      <c r="D365" s="76" t="s">
        <v>4923</v>
      </c>
      <c r="E365" s="76" t="s">
        <v>5210</v>
      </c>
      <c r="F365" s="76" t="s">
        <v>4949</v>
      </c>
      <c r="G365" s="76"/>
      <c r="H365" s="117">
        <v>116605.21</v>
      </c>
      <c r="I365" s="76"/>
    </row>
    <row r="366" spans="1:9">
      <c r="A366" s="772"/>
      <c r="B366" s="772"/>
      <c r="C366" s="76" t="s">
        <v>5211</v>
      </c>
      <c r="D366" s="76" t="s">
        <v>4923</v>
      </c>
      <c r="E366" s="76" t="s">
        <v>5212</v>
      </c>
      <c r="F366" s="76" t="s">
        <v>5114</v>
      </c>
      <c r="G366" s="76"/>
      <c r="H366" s="117">
        <v>114102.17</v>
      </c>
      <c r="I366" s="76"/>
    </row>
    <row r="367" spans="1:9">
      <c r="A367" s="772"/>
      <c r="B367" s="772"/>
      <c r="C367" s="76" t="s">
        <v>5213</v>
      </c>
      <c r="D367" s="76" t="s">
        <v>4923</v>
      </c>
      <c r="E367" s="76" t="s">
        <v>5214</v>
      </c>
      <c r="F367" s="76" t="s">
        <v>4949</v>
      </c>
      <c r="G367" s="76"/>
      <c r="H367" s="117">
        <v>113239.19999999998</v>
      </c>
      <c r="I367" s="76"/>
    </row>
    <row r="368" spans="1:9">
      <c r="A368" s="772"/>
      <c r="B368" s="772"/>
      <c r="C368" s="76" t="s">
        <v>5215</v>
      </c>
      <c r="D368" s="76" t="s">
        <v>4923</v>
      </c>
      <c r="E368" s="76" t="s">
        <v>5216</v>
      </c>
      <c r="F368" s="76" t="s">
        <v>4949</v>
      </c>
      <c r="G368" s="76"/>
      <c r="H368" s="117">
        <v>112624.84000000001</v>
      </c>
      <c r="I368" s="76"/>
    </row>
    <row r="369" spans="1:9">
      <c r="A369" s="772"/>
      <c r="B369" s="772"/>
      <c r="C369" s="76" t="s">
        <v>5217</v>
      </c>
      <c r="D369" s="76" t="s">
        <v>4923</v>
      </c>
      <c r="E369" s="76" t="s">
        <v>5218</v>
      </c>
      <c r="F369" s="76" t="s">
        <v>4949</v>
      </c>
      <c r="G369" s="76"/>
      <c r="H369" s="117">
        <v>111514.09999999999</v>
      </c>
      <c r="I369" s="76"/>
    </row>
    <row r="370" spans="1:9">
      <c r="A370" s="772"/>
      <c r="B370" s="772"/>
      <c r="C370" s="76" t="s">
        <v>5219</v>
      </c>
      <c r="D370" s="76" t="s">
        <v>4919</v>
      </c>
      <c r="E370" s="76" t="s">
        <v>4970</v>
      </c>
      <c r="F370" s="76" t="s">
        <v>5181</v>
      </c>
      <c r="G370" s="76"/>
      <c r="H370" s="117">
        <v>108894.99</v>
      </c>
      <c r="I370" s="76"/>
    </row>
    <row r="371" spans="1:9">
      <c r="A371" s="772"/>
      <c r="B371" s="772"/>
      <c r="C371" s="76" t="s">
        <v>5220</v>
      </c>
      <c r="D371" s="76" t="s">
        <v>4919</v>
      </c>
      <c r="E371" s="76" t="s">
        <v>5221</v>
      </c>
      <c r="F371" s="76" t="s">
        <v>5222</v>
      </c>
      <c r="G371" s="76"/>
      <c r="H371" s="117">
        <v>108843.06</v>
      </c>
      <c r="I371" s="76"/>
    </row>
    <row r="372" spans="1:9">
      <c r="A372" s="772"/>
      <c r="B372" s="772"/>
      <c r="C372" s="76" t="s">
        <v>5223</v>
      </c>
      <c r="D372" s="76" t="s">
        <v>4923</v>
      </c>
      <c r="E372" s="76" t="s">
        <v>5224</v>
      </c>
      <c r="F372" s="76" t="s">
        <v>4963</v>
      </c>
      <c r="G372" s="76"/>
      <c r="H372" s="117">
        <v>108721.25000000001</v>
      </c>
      <c r="I372" s="76"/>
    </row>
    <row r="373" spans="1:9">
      <c r="A373" s="772"/>
      <c r="B373" s="772"/>
      <c r="C373" s="76" t="s">
        <v>5225</v>
      </c>
      <c r="D373" s="76" t="s">
        <v>4923</v>
      </c>
      <c r="E373" s="76" t="s">
        <v>5226</v>
      </c>
      <c r="F373" s="76" t="s">
        <v>4949</v>
      </c>
      <c r="G373" s="76"/>
      <c r="H373" s="117">
        <v>107756.29000000001</v>
      </c>
      <c r="I373" s="76"/>
    </row>
    <row r="374" spans="1:9">
      <c r="A374" s="772"/>
      <c r="B374" s="772"/>
      <c r="C374" s="76" t="s">
        <v>5227</v>
      </c>
      <c r="D374" s="76" t="s">
        <v>4923</v>
      </c>
      <c r="E374" s="76" t="s">
        <v>5228</v>
      </c>
      <c r="F374" s="76" t="s">
        <v>4939</v>
      </c>
      <c r="G374" s="76"/>
      <c r="H374" s="117">
        <v>107389.32</v>
      </c>
      <c r="I374" s="76"/>
    </row>
    <row r="375" spans="1:9">
      <c r="A375" s="772"/>
      <c r="B375" s="772"/>
      <c r="C375" s="76" t="s">
        <v>5229</v>
      </c>
      <c r="D375" s="76" t="s">
        <v>4923</v>
      </c>
      <c r="E375" s="76" t="s">
        <v>5230</v>
      </c>
      <c r="F375" s="76" t="s">
        <v>4949</v>
      </c>
      <c r="G375" s="76"/>
      <c r="H375" s="117">
        <v>106724.5</v>
      </c>
      <c r="I375" s="76"/>
    </row>
    <row r="376" spans="1:9">
      <c r="A376" s="772"/>
      <c r="B376" s="772"/>
      <c r="C376" s="76" t="s">
        <v>5231</v>
      </c>
      <c r="D376" s="76" t="s">
        <v>4923</v>
      </c>
      <c r="E376" s="76" t="s">
        <v>5232</v>
      </c>
      <c r="F376" s="76" t="s">
        <v>4949</v>
      </c>
      <c r="G376" s="76"/>
      <c r="H376" s="117">
        <v>106023.47999999998</v>
      </c>
      <c r="I376" s="76"/>
    </row>
    <row r="377" spans="1:9">
      <c r="A377" s="772"/>
      <c r="B377" s="772"/>
      <c r="C377" s="76" t="s">
        <v>5233</v>
      </c>
      <c r="D377" s="76" t="s">
        <v>4923</v>
      </c>
      <c r="E377" s="76" t="s">
        <v>5234</v>
      </c>
      <c r="F377" s="76" t="s">
        <v>4939</v>
      </c>
      <c r="G377" s="76"/>
      <c r="H377" s="117">
        <v>104400</v>
      </c>
      <c r="I377" s="76"/>
    </row>
    <row r="378" spans="1:9">
      <c r="A378" s="772"/>
      <c r="B378" s="772"/>
      <c r="C378" s="76" t="s">
        <v>5235</v>
      </c>
      <c r="D378" s="76" t="s">
        <v>4923</v>
      </c>
      <c r="E378" s="76" t="s">
        <v>5236</v>
      </c>
      <c r="F378" s="76" t="s">
        <v>4949</v>
      </c>
      <c r="G378" s="76"/>
      <c r="H378" s="117">
        <v>104097.62000000002</v>
      </c>
      <c r="I378" s="76"/>
    </row>
    <row r="379" spans="1:9">
      <c r="A379" s="772"/>
      <c r="B379" s="772"/>
      <c r="C379" s="76" t="s">
        <v>5237</v>
      </c>
      <c r="D379" s="76" t="s">
        <v>4923</v>
      </c>
      <c r="E379" s="76" t="s">
        <v>5238</v>
      </c>
      <c r="F379" s="76" t="s">
        <v>4949</v>
      </c>
      <c r="G379" s="76"/>
      <c r="H379" s="117">
        <v>102767.13000000002</v>
      </c>
      <c r="I379" s="76"/>
    </row>
    <row r="380" spans="1:9">
      <c r="A380" s="772"/>
      <c r="B380" s="772"/>
      <c r="C380" s="76" t="s">
        <v>5239</v>
      </c>
      <c r="D380" s="76" t="s">
        <v>4923</v>
      </c>
      <c r="E380" s="76" t="s">
        <v>5240</v>
      </c>
      <c r="F380" s="76" t="s">
        <v>4949</v>
      </c>
      <c r="G380" s="76"/>
      <c r="H380" s="117">
        <v>102363.97</v>
      </c>
      <c r="I380" s="76"/>
    </row>
    <row r="381" spans="1:9">
      <c r="A381" s="772"/>
      <c r="B381" s="772"/>
      <c r="C381" s="76" t="s">
        <v>5241</v>
      </c>
      <c r="D381" s="76" t="s">
        <v>4923</v>
      </c>
      <c r="E381" s="76" t="s">
        <v>5242</v>
      </c>
      <c r="F381" s="76" t="s">
        <v>4983</v>
      </c>
      <c r="G381" s="76"/>
      <c r="H381" s="117">
        <v>101598</v>
      </c>
      <c r="I381" s="76"/>
    </row>
    <row r="382" spans="1:9">
      <c r="A382" s="772"/>
      <c r="B382" s="772"/>
      <c r="C382" s="76" t="s">
        <v>5243</v>
      </c>
      <c r="D382" s="76" t="s">
        <v>4923</v>
      </c>
      <c r="E382" s="76" t="s">
        <v>5244</v>
      </c>
      <c r="F382" s="76" t="s">
        <v>4949</v>
      </c>
      <c r="G382" s="76"/>
      <c r="H382" s="117">
        <v>100660.21000000002</v>
      </c>
      <c r="I382" s="76"/>
    </row>
    <row r="383" spans="1:9">
      <c r="A383" s="772"/>
      <c r="B383" s="772"/>
      <c r="C383" s="76" t="s">
        <v>5245</v>
      </c>
      <c r="D383" s="76" t="s">
        <v>4923</v>
      </c>
      <c r="E383" s="76" t="s">
        <v>5246</v>
      </c>
      <c r="F383" s="76" t="s">
        <v>4925</v>
      </c>
      <c r="G383" s="76"/>
      <c r="H383" s="117">
        <v>99575.760000000009</v>
      </c>
      <c r="I383" s="76"/>
    </row>
    <row r="384" spans="1:9">
      <c r="A384" s="772"/>
      <c r="B384" s="772"/>
      <c r="C384" s="76" t="s">
        <v>5247</v>
      </c>
      <c r="D384" s="76" t="s">
        <v>4923</v>
      </c>
      <c r="E384" s="76" t="s">
        <v>5248</v>
      </c>
      <c r="F384" s="76" t="s">
        <v>4949</v>
      </c>
      <c r="G384" s="76"/>
      <c r="H384" s="117">
        <v>99544.73000000001</v>
      </c>
      <c r="I384" s="76"/>
    </row>
    <row r="385" spans="1:9">
      <c r="A385" s="772"/>
      <c r="B385" s="772"/>
      <c r="C385" s="76" t="s">
        <v>5249</v>
      </c>
      <c r="D385" s="76" t="s">
        <v>4923</v>
      </c>
      <c r="E385" s="76" t="s">
        <v>5250</v>
      </c>
      <c r="F385" s="76" t="s">
        <v>4963</v>
      </c>
      <c r="G385" s="76"/>
      <c r="H385" s="117">
        <v>98899.669999999984</v>
      </c>
      <c r="I385" s="76"/>
    </row>
    <row r="386" spans="1:9">
      <c r="A386" s="772"/>
      <c r="B386" s="772"/>
      <c r="C386" s="76" t="s">
        <v>5251</v>
      </c>
      <c r="D386" s="76" t="s">
        <v>4919</v>
      </c>
      <c r="E386" s="76" t="s">
        <v>5252</v>
      </c>
      <c r="F386" s="76" t="s">
        <v>5253</v>
      </c>
      <c r="G386" s="76"/>
      <c r="H386" s="117">
        <v>97668.199999999983</v>
      </c>
      <c r="I386" s="76"/>
    </row>
    <row r="387" spans="1:9">
      <c r="A387" s="772"/>
      <c r="B387" s="772"/>
      <c r="C387" s="76" t="s">
        <v>5254</v>
      </c>
      <c r="D387" s="76" t="s">
        <v>4923</v>
      </c>
      <c r="E387" s="76" t="s">
        <v>5255</v>
      </c>
      <c r="F387" s="76" t="s">
        <v>4949</v>
      </c>
      <c r="G387" s="76"/>
      <c r="H387" s="117">
        <v>97071.640000000014</v>
      </c>
      <c r="I387" s="76"/>
    </row>
    <row r="388" spans="1:9">
      <c r="A388" s="772"/>
      <c r="B388" s="772"/>
      <c r="C388" s="76" t="s">
        <v>5256</v>
      </c>
      <c r="D388" s="76" t="s">
        <v>4923</v>
      </c>
      <c r="E388" s="76" t="s">
        <v>5257</v>
      </c>
      <c r="F388" s="76" t="s">
        <v>4925</v>
      </c>
      <c r="G388" s="76"/>
      <c r="H388" s="117">
        <v>96748.199999999983</v>
      </c>
      <c r="I388" s="76"/>
    </row>
    <row r="389" spans="1:9">
      <c r="A389" s="772"/>
      <c r="B389" s="772"/>
      <c r="C389" s="76" t="s">
        <v>5258</v>
      </c>
      <c r="D389" s="76" t="s">
        <v>4923</v>
      </c>
      <c r="E389" s="76" t="s">
        <v>5259</v>
      </c>
      <c r="F389" s="76" t="s">
        <v>4925</v>
      </c>
      <c r="G389" s="76"/>
      <c r="H389" s="117">
        <v>96421</v>
      </c>
      <c r="I389" s="76"/>
    </row>
    <row r="390" spans="1:9">
      <c r="A390" s="772"/>
      <c r="B390" s="772"/>
      <c r="C390" s="76" t="s">
        <v>5260</v>
      </c>
      <c r="D390" s="76" t="s">
        <v>4923</v>
      </c>
      <c r="E390" s="76" t="s">
        <v>2695</v>
      </c>
      <c r="F390" s="76" t="s">
        <v>5131</v>
      </c>
      <c r="G390" s="76"/>
      <c r="H390" s="117">
        <v>96272.599999999991</v>
      </c>
      <c r="I390" s="76"/>
    </row>
    <row r="391" spans="1:9">
      <c r="A391" s="772"/>
      <c r="B391" s="772"/>
      <c r="C391" s="76" t="s">
        <v>5261</v>
      </c>
      <c r="D391" s="76" t="s">
        <v>4919</v>
      </c>
      <c r="E391" s="76" t="s">
        <v>5040</v>
      </c>
      <c r="F391" s="76" t="s">
        <v>5262</v>
      </c>
      <c r="G391" s="76"/>
      <c r="H391" s="117">
        <v>95724.76999999999</v>
      </c>
      <c r="I391" s="76"/>
    </row>
    <row r="392" spans="1:9">
      <c r="A392" s="772"/>
      <c r="B392" s="772"/>
      <c r="C392" s="76" t="s">
        <v>5263</v>
      </c>
      <c r="D392" s="76" t="s">
        <v>4923</v>
      </c>
      <c r="E392" s="76" t="s">
        <v>5264</v>
      </c>
      <c r="F392" s="76" t="s">
        <v>4963</v>
      </c>
      <c r="G392" s="76"/>
      <c r="H392" s="117">
        <v>94880</v>
      </c>
      <c r="I392" s="76"/>
    </row>
    <row r="393" spans="1:9">
      <c r="A393" s="772"/>
      <c r="B393" s="772"/>
      <c r="C393" s="76" t="s">
        <v>5265</v>
      </c>
      <c r="D393" s="76" t="s">
        <v>4923</v>
      </c>
      <c r="E393" s="76" t="s">
        <v>5266</v>
      </c>
      <c r="F393" s="76" t="s">
        <v>4983</v>
      </c>
      <c r="G393" s="76"/>
      <c r="H393" s="117">
        <v>93922.880000000005</v>
      </c>
      <c r="I393" s="76"/>
    </row>
    <row r="394" spans="1:9">
      <c r="A394" s="772"/>
      <c r="B394" s="772"/>
      <c r="C394" s="76" t="s">
        <v>5267</v>
      </c>
      <c r="D394" s="76" t="s">
        <v>4919</v>
      </c>
      <c r="E394" s="76" t="s">
        <v>5040</v>
      </c>
      <c r="F394" s="76" t="s">
        <v>5024</v>
      </c>
      <c r="G394" s="76"/>
      <c r="H394" s="117">
        <v>93844.040000000008</v>
      </c>
      <c r="I394" s="76"/>
    </row>
    <row r="395" spans="1:9">
      <c r="A395" s="772"/>
      <c r="B395" s="772"/>
      <c r="C395" s="76" t="s">
        <v>5268</v>
      </c>
      <c r="D395" s="76" t="s">
        <v>4919</v>
      </c>
      <c r="E395" s="76" t="s">
        <v>5269</v>
      </c>
      <c r="F395" s="76" t="s">
        <v>4978</v>
      </c>
      <c r="G395" s="76"/>
      <c r="H395" s="117">
        <v>92060</v>
      </c>
      <c r="I395" s="76"/>
    </row>
    <row r="396" spans="1:9">
      <c r="A396" s="772"/>
      <c r="B396" s="772"/>
      <c r="C396" s="76" t="s">
        <v>5270</v>
      </c>
      <c r="D396" s="76" t="s">
        <v>4919</v>
      </c>
      <c r="E396" s="76" t="s">
        <v>5271</v>
      </c>
      <c r="F396" s="76" t="s">
        <v>5272</v>
      </c>
      <c r="G396" s="76"/>
      <c r="H396" s="117">
        <v>91705.5</v>
      </c>
      <c r="I396" s="76"/>
    </row>
    <row r="397" spans="1:9">
      <c r="A397" s="772"/>
      <c r="B397" s="772"/>
      <c r="C397" s="76" t="s">
        <v>5273</v>
      </c>
      <c r="D397" s="76" t="s">
        <v>4923</v>
      </c>
      <c r="E397" s="76" t="s">
        <v>5274</v>
      </c>
      <c r="F397" s="76" t="s">
        <v>4939</v>
      </c>
      <c r="G397" s="76"/>
      <c r="H397" s="117">
        <v>86913.2</v>
      </c>
      <c r="I397" s="76"/>
    </row>
    <row r="398" spans="1:9">
      <c r="A398" s="772"/>
      <c r="B398" s="772"/>
      <c r="C398" s="76" t="s">
        <v>5275</v>
      </c>
      <c r="D398" s="76" t="s">
        <v>4923</v>
      </c>
      <c r="E398" s="76" t="s">
        <v>5276</v>
      </c>
      <c r="F398" s="76" t="s">
        <v>4925</v>
      </c>
      <c r="G398" s="76"/>
      <c r="H398" s="117">
        <v>85770.59</v>
      </c>
      <c r="I398" s="76"/>
    </row>
    <row r="399" spans="1:9">
      <c r="A399" s="772"/>
      <c r="B399" s="772"/>
      <c r="C399" s="76" t="s">
        <v>5277</v>
      </c>
      <c r="D399" s="76" t="s">
        <v>4923</v>
      </c>
      <c r="E399" s="76" t="s">
        <v>5278</v>
      </c>
      <c r="F399" s="76" t="s">
        <v>4949</v>
      </c>
      <c r="G399" s="76"/>
      <c r="H399" s="117">
        <v>83721.62</v>
      </c>
      <c r="I399" s="76"/>
    </row>
    <row r="400" spans="1:9">
      <c r="A400" s="772"/>
      <c r="B400" s="772"/>
      <c r="C400" s="76" t="s">
        <v>5279</v>
      </c>
      <c r="D400" s="76" t="s">
        <v>4919</v>
      </c>
      <c r="E400" s="76" t="s">
        <v>5280</v>
      </c>
      <c r="F400" s="76" t="s">
        <v>5054</v>
      </c>
      <c r="G400" s="76"/>
      <c r="H400" s="117">
        <v>82703.820000000007</v>
      </c>
      <c r="I400" s="76"/>
    </row>
    <row r="401" spans="1:9">
      <c r="A401" s="772"/>
      <c r="B401" s="772"/>
      <c r="C401" s="76" t="s">
        <v>5281</v>
      </c>
      <c r="D401" s="76" t="s">
        <v>4919</v>
      </c>
      <c r="E401" s="76" t="s">
        <v>5282</v>
      </c>
      <c r="F401" s="76" t="s">
        <v>5283</v>
      </c>
      <c r="G401" s="76"/>
      <c r="H401" s="117">
        <v>82143</v>
      </c>
      <c r="I401" s="76"/>
    </row>
    <row r="402" spans="1:9">
      <c r="A402" s="772"/>
      <c r="B402" s="772"/>
      <c r="C402" s="76" t="s">
        <v>5284</v>
      </c>
      <c r="D402" s="76" t="s">
        <v>4923</v>
      </c>
      <c r="E402" s="76" t="s">
        <v>5285</v>
      </c>
      <c r="F402" s="76" t="s">
        <v>4949</v>
      </c>
      <c r="G402" s="76"/>
      <c r="H402" s="117">
        <v>81392.92</v>
      </c>
      <c r="I402" s="76"/>
    </row>
    <row r="403" spans="1:9">
      <c r="A403" s="772"/>
      <c r="B403" s="772"/>
      <c r="C403" s="76" t="s">
        <v>5286</v>
      </c>
      <c r="D403" s="76" t="s">
        <v>4919</v>
      </c>
      <c r="E403" s="76" t="s">
        <v>4970</v>
      </c>
      <c r="F403" s="76" t="s">
        <v>5066</v>
      </c>
      <c r="G403" s="76"/>
      <c r="H403" s="117">
        <v>77389.33</v>
      </c>
      <c r="I403" s="76"/>
    </row>
    <row r="404" spans="1:9">
      <c r="A404" s="772"/>
      <c r="B404" s="772"/>
      <c r="C404" s="76" t="s">
        <v>5287</v>
      </c>
      <c r="D404" s="76" t="s">
        <v>4919</v>
      </c>
      <c r="E404" s="76" t="s">
        <v>5037</v>
      </c>
      <c r="F404" s="76" t="s">
        <v>5288</v>
      </c>
      <c r="G404" s="76"/>
      <c r="H404" s="117">
        <v>76708</v>
      </c>
      <c r="I404" s="76"/>
    </row>
    <row r="405" spans="1:9">
      <c r="A405" s="772"/>
      <c r="B405" s="772"/>
      <c r="C405" s="76" t="s">
        <v>5289</v>
      </c>
      <c r="D405" s="76" t="s">
        <v>4923</v>
      </c>
      <c r="E405" s="76" t="s">
        <v>5103</v>
      </c>
      <c r="F405" s="76" t="s">
        <v>4965</v>
      </c>
      <c r="G405" s="76"/>
      <c r="H405" s="117">
        <v>74497.399999999994</v>
      </c>
      <c r="I405" s="76"/>
    </row>
    <row r="406" spans="1:9">
      <c r="A406" s="772"/>
      <c r="B406" s="772"/>
      <c r="C406" s="76" t="s">
        <v>5290</v>
      </c>
      <c r="D406" s="76" t="s">
        <v>4923</v>
      </c>
      <c r="E406" s="76" t="s">
        <v>5291</v>
      </c>
      <c r="F406" s="76" t="s">
        <v>4949</v>
      </c>
      <c r="G406" s="76"/>
      <c r="H406" s="117">
        <v>72868.950000000012</v>
      </c>
      <c r="I406" s="76"/>
    </row>
    <row r="407" spans="1:9">
      <c r="A407" s="772"/>
      <c r="B407" s="772"/>
      <c r="C407" s="76" t="s">
        <v>5292</v>
      </c>
      <c r="D407" s="76" t="s">
        <v>4919</v>
      </c>
      <c r="E407" s="76" t="s">
        <v>4970</v>
      </c>
      <c r="F407" s="76" t="s">
        <v>5293</v>
      </c>
      <c r="G407" s="76"/>
      <c r="H407" s="117">
        <v>72300.409999999989</v>
      </c>
      <c r="I407" s="76"/>
    </row>
    <row r="408" spans="1:9">
      <c r="A408" s="772"/>
      <c r="B408" s="772"/>
      <c r="C408" s="76" t="s">
        <v>5294</v>
      </c>
      <c r="D408" s="76" t="s">
        <v>4923</v>
      </c>
      <c r="E408" s="76" t="s">
        <v>4970</v>
      </c>
      <c r="F408" s="76" t="s">
        <v>4949</v>
      </c>
      <c r="G408" s="76"/>
      <c r="H408" s="117">
        <v>66516.73</v>
      </c>
      <c r="I408" s="76"/>
    </row>
    <row r="409" spans="1:9">
      <c r="A409" s="772"/>
      <c r="B409" s="772"/>
      <c r="C409" s="76" t="s">
        <v>5295</v>
      </c>
      <c r="D409" s="76" t="s">
        <v>4919</v>
      </c>
      <c r="E409" s="76" t="s">
        <v>4970</v>
      </c>
      <c r="F409" s="76" t="s">
        <v>5175</v>
      </c>
      <c r="G409" s="76"/>
      <c r="H409" s="117">
        <v>64610.010000000009</v>
      </c>
      <c r="I409" s="76"/>
    </row>
    <row r="410" spans="1:9">
      <c r="A410" s="772"/>
      <c r="B410" s="772"/>
      <c r="C410" s="76" t="s">
        <v>5296</v>
      </c>
      <c r="D410" s="76" t="s">
        <v>4923</v>
      </c>
      <c r="E410" s="76" t="s">
        <v>5297</v>
      </c>
      <c r="F410" s="76" t="s">
        <v>4925</v>
      </c>
      <c r="G410" s="76"/>
      <c r="H410" s="117">
        <v>63365.600000000006</v>
      </c>
      <c r="I410" s="76"/>
    </row>
    <row r="411" spans="1:9">
      <c r="A411" s="772"/>
      <c r="B411" s="772"/>
      <c r="C411" s="76" t="s">
        <v>5298</v>
      </c>
      <c r="D411" s="76" t="s">
        <v>4919</v>
      </c>
      <c r="E411" s="76" t="s">
        <v>5103</v>
      </c>
      <c r="F411" s="76" t="s">
        <v>5299</v>
      </c>
      <c r="G411" s="76"/>
      <c r="H411" s="117">
        <v>62693.25</v>
      </c>
      <c r="I411" s="76"/>
    </row>
    <row r="412" spans="1:9">
      <c r="A412" s="772"/>
      <c r="B412" s="772"/>
      <c r="C412" s="76" t="s">
        <v>5300</v>
      </c>
      <c r="D412" s="76" t="s">
        <v>4923</v>
      </c>
      <c r="E412" s="76" t="s">
        <v>5301</v>
      </c>
      <c r="F412" s="76" t="s">
        <v>4963</v>
      </c>
      <c r="G412" s="76"/>
      <c r="H412" s="117">
        <v>62223.100000000006</v>
      </c>
      <c r="I412" s="76"/>
    </row>
    <row r="413" spans="1:9">
      <c r="A413" s="772"/>
      <c r="B413" s="772"/>
      <c r="C413" s="76" t="s">
        <v>5302</v>
      </c>
      <c r="D413" s="76" t="s">
        <v>4923</v>
      </c>
      <c r="E413" s="76" t="s">
        <v>5040</v>
      </c>
      <c r="F413" s="76" t="s">
        <v>4949</v>
      </c>
      <c r="G413" s="76"/>
      <c r="H413" s="117">
        <v>61870.54</v>
      </c>
      <c r="I413" s="76"/>
    </row>
    <row r="414" spans="1:9">
      <c r="A414" s="772"/>
      <c r="B414" s="772"/>
      <c r="C414" s="76" t="s">
        <v>5303</v>
      </c>
      <c r="D414" s="76" t="s">
        <v>4923</v>
      </c>
      <c r="E414" s="76" t="s">
        <v>5304</v>
      </c>
      <c r="F414" s="76" t="s">
        <v>4963</v>
      </c>
      <c r="G414" s="76"/>
      <c r="H414" s="117">
        <v>61691.799999999988</v>
      </c>
      <c r="I414" s="76"/>
    </row>
    <row r="415" spans="1:9">
      <c r="A415" s="772"/>
      <c r="B415" s="772"/>
      <c r="C415" s="76" t="s">
        <v>5305</v>
      </c>
      <c r="D415" s="76" t="s">
        <v>4923</v>
      </c>
      <c r="E415" s="76" t="s">
        <v>5306</v>
      </c>
      <c r="F415" s="76" t="s">
        <v>4949</v>
      </c>
      <c r="G415" s="76"/>
      <c r="H415" s="117">
        <v>60499.6</v>
      </c>
      <c r="I415" s="76"/>
    </row>
    <row r="416" spans="1:9">
      <c r="A416" s="772"/>
      <c r="B416" s="772"/>
      <c r="C416" s="76" t="s">
        <v>5307</v>
      </c>
      <c r="D416" s="76" t="s">
        <v>4923</v>
      </c>
      <c r="E416" s="76" t="s">
        <v>5308</v>
      </c>
      <c r="F416" s="76" t="s">
        <v>4949</v>
      </c>
      <c r="G416" s="76"/>
      <c r="H416" s="117">
        <v>60268.31</v>
      </c>
      <c r="I416" s="76"/>
    </row>
    <row r="417" spans="1:9">
      <c r="A417" s="772"/>
      <c r="B417" s="772"/>
      <c r="C417" s="76" t="s">
        <v>5309</v>
      </c>
      <c r="D417" s="76" t="s">
        <v>4919</v>
      </c>
      <c r="E417" s="76" t="s">
        <v>4970</v>
      </c>
      <c r="F417" s="76" t="s">
        <v>5310</v>
      </c>
      <c r="G417" s="76"/>
      <c r="H417" s="117">
        <v>60140</v>
      </c>
      <c r="I417" s="76"/>
    </row>
    <row r="418" spans="1:9">
      <c r="A418" s="772"/>
      <c r="B418" s="772"/>
      <c r="C418" s="76" t="s">
        <v>5311</v>
      </c>
      <c r="D418" s="76" t="s">
        <v>4923</v>
      </c>
      <c r="E418" s="76" t="s">
        <v>5312</v>
      </c>
      <c r="F418" s="76" t="s">
        <v>4925</v>
      </c>
      <c r="G418" s="76"/>
      <c r="H418" s="117">
        <v>58136</v>
      </c>
      <c r="I418" s="76"/>
    </row>
    <row r="419" spans="1:9">
      <c r="A419" s="772"/>
      <c r="B419" s="772"/>
      <c r="C419" s="76" t="s">
        <v>5313</v>
      </c>
      <c r="D419" s="76" t="s">
        <v>4919</v>
      </c>
      <c r="E419" s="76" t="s">
        <v>5037</v>
      </c>
      <c r="F419" s="76" t="s">
        <v>5314</v>
      </c>
      <c r="G419" s="76"/>
      <c r="H419" s="117">
        <v>58050.7</v>
      </c>
      <c r="I419" s="76"/>
    </row>
    <row r="420" spans="1:9">
      <c r="A420" s="772"/>
      <c r="B420" s="772"/>
      <c r="C420" s="76" t="s">
        <v>5315</v>
      </c>
      <c r="D420" s="76" t="s">
        <v>4923</v>
      </c>
      <c r="E420" s="76" t="s">
        <v>5316</v>
      </c>
      <c r="F420" s="76" t="s">
        <v>4949</v>
      </c>
      <c r="G420" s="76"/>
      <c r="H420" s="117">
        <v>57525.000000000007</v>
      </c>
      <c r="I420" s="76"/>
    </row>
    <row r="421" spans="1:9">
      <c r="A421" s="772"/>
      <c r="B421" s="772"/>
      <c r="C421" s="76" t="s">
        <v>5317</v>
      </c>
      <c r="D421" s="76" t="s">
        <v>4923</v>
      </c>
      <c r="E421" s="76" t="s">
        <v>5318</v>
      </c>
      <c r="F421" s="76" t="s">
        <v>4949</v>
      </c>
      <c r="G421" s="76"/>
      <c r="H421" s="117">
        <v>56210.110000000008</v>
      </c>
      <c r="I421" s="76"/>
    </row>
    <row r="422" spans="1:9">
      <c r="A422" s="772"/>
      <c r="B422" s="772"/>
      <c r="C422" s="76" t="s">
        <v>5319</v>
      </c>
      <c r="D422" s="76" t="s">
        <v>4919</v>
      </c>
      <c r="E422" s="76" t="s">
        <v>4970</v>
      </c>
      <c r="F422" s="76" t="s">
        <v>5181</v>
      </c>
      <c r="G422" s="76"/>
      <c r="H422" s="117">
        <v>55600</v>
      </c>
      <c r="I422" s="76"/>
    </row>
    <row r="423" spans="1:9">
      <c r="A423" s="772"/>
      <c r="B423" s="772"/>
      <c r="C423" s="76" t="s">
        <v>5320</v>
      </c>
      <c r="D423" s="76" t="s">
        <v>4919</v>
      </c>
      <c r="E423" s="76" t="s">
        <v>4970</v>
      </c>
      <c r="F423" s="76" t="s">
        <v>5047</v>
      </c>
      <c r="G423" s="76"/>
      <c r="H423" s="117">
        <v>55200</v>
      </c>
      <c r="I423" s="76"/>
    </row>
    <row r="424" spans="1:9">
      <c r="A424" s="772"/>
      <c r="B424" s="772"/>
      <c r="C424" s="76" t="s">
        <v>5321</v>
      </c>
      <c r="D424" s="76" t="s">
        <v>4923</v>
      </c>
      <c r="E424" s="76" t="s">
        <v>4970</v>
      </c>
      <c r="F424" s="76" t="s">
        <v>4949</v>
      </c>
      <c r="G424" s="76"/>
      <c r="H424" s="117">
        <v>55031.040000000001</v>
      </c>
      <c r="I424" s="76"/>
    </row>
    <row r="425" spans="1:9">
      <c r="A425" s="772"/>
      <c r="B425" s="772"/>
      <c r="C425" s="76" t="s">
        <v>5322</v>
      </c>
      <c r="D425" s="76" t="s">
        <v>4919</v>
      </c>
      <c r="E425" s="76" t="s">
        <v>5037</v>
      </c>
      <c r="F425" s="76" t="s">
        <v>5175</v>
      </c>
      <c r="G425" s="76"/>
      <c r="H425" s="117">
        <v>54600</v>
      </c>
      <c r="I425" s="76"/>
    </row>
    <row r="426" spans="1:9">
      <c r="A426" s="772"/>
      <c r="B426" s="772"/>
      <c r="C426" s="76" t="s">
        <v>5323</v>
      </c>
      <c r="D426" s="76" t="s">
        <v>4919</v>
      </c>
      <c r="E426" s="76" t="s">
        <v>4970</v>
      </c>
      <c r="F426" s="76" t="s">
        <v>5324</v>
      </c>
      <c r="G426" s="76"/>
      <c r="H426" s="117">
        <v>54439.039999999994</v>
      </c>
      <c r="I426" s="76"/>
    </row>
    <row r="427" spans="1:9">
      <c r="A427" s="772"/>
      <c r="B427" s="772"/>
      <c r="C427" s="76" t="s">
        <v>5325</v>
      </c>
      <c r="D427" s="76" t="s">
        <v>4919</v>
      </c>
      <c r="E427" s="76" t="s">
        <v>4970</v>
      </c>
      <c r="F427" s="76" t="s">
        <v>5326</v>
      </c>
      <c r="G427" s="76"/>
      <c r="H427" s="117">
        <v>53300</v>
      </c>
      <c r="I427" s="76"/>
    </row>
    <row r="428" spans="1:9">
      <c r="A428" s="772"/>
      <c r="B428" s="772"/>
      <c r="C428" s="76" t="s">
        <v>5327</v>
      </c>
      <c r="D428" s="76" t="s">
        <v>4923</v>
      </c>
      <c r="E428" s="76" t="s">
        <v>5328</v>
      </c>
      <c r="F428" s="76" t="s">
        <v>4949</v>
      </c>
      <c r="G428" s="76"/>
      <c r="H428" s="117">
        <v>53154.209999999992</v>
      </c>
      <c r="I428" s="76"/>
    </row>
    <row r="429" spans="1:9">
      <c r="A429" s="772"/>
      <c r="B429" s="772"/>
      <c r="C429" s="76" t="s">
        <v>5329</v>
      </c>
      <c r="D429" s="76" t="s">
        <v>4919</v>
      </c>
      <c r="E429" s="76" t="s">
        <v>4970</v>
      </c>
      <c r="F429" s="76" t="s">
        <v>5330</v>
      </c>
      <c r="G429" s="76"/>
      <c r="H429" s="117">
        <v>52885.479999999996</v>
      </c>
      <c r="I429" s="76"/>
    </row>
    <row r="430" spans="1:9">
      <c r="A430" s="772"/>
      <c r="B430" s="772"/>
      <c r="C430" s="76" t="s">
        <v>5331</v>
      </c>
      <c r="D430" s="76" t="s">
        <v>4919</v>
      </c>
      <c r="E430" s="76" t="s">
        <v>4970</v>
      </c>
      <c r="F430" s="76" t="s">
        <v>5332</v>
      </c>
      <c r="G430" s="76"/>
      <c r="H430" s="117">
        <v>52205.39</v>
      </c>
      <c r="I430" s="76"/>
    </row>
    <row r="431" spans="1:9">
      <c r="A431" s="772"/>
      <c r="B431" s="772"/>
      <c r="C431" s="76" t="s">
        <v>5333</v>
      </c>
      <c r="D431" s="76" t="s">
        <v>4923</v>
      </c>
      <c r="E431" s="76" t="s">
        <v>5334</v>
      </c>
      <c r="F431" s="76" t="s">
        <v>4949</v>
      </c>
      <c r="G431" s="76"/>
      <c r="H431" s="117">
        <v>52202.39</v>
      </c>
      <c r="I431" s="76"/>
    </row>
    <row r="432" spans="1:9">
      <c r="A432" s="772"/>
      <c r="B432" s="772"/>
      <c r="C432" s="76" t="s">
        <v>5335</v>
      </c>
      <c r="D432" s="76" t="s">
        <v>4919</v>
      </c>
      <c r="E432" s="76" t="s">
        <v>5037</v>
      </c>
      <c r="F432" s="76" t="s">
        <v>5336</v>
      </c>
      <c r="G432" s="76"/>
      <c r="H432" s="117">
        <v>51776.19</v>
      </c>
      <c r="I432" s="76"/>
    </row>
    <row r="433" spans="1:9">
      <c r="A433" s="772"/>
      <c r="B433" s="772"/>
      <c r="C433" s="76" t="s">
        <v>5337</v>
      </c>
      <c r="D433" s="76" t="s">
        <v>4923</v>
      </c>
      <c r="E433" s="76" t="s">
        <v>5338</v>
      </c>
      <c r="F433" s="76" t="s">
        <v>4949</v>
      </c>
      <c r="G433" s="76"/>
      <c r="H433" s="117">
        <v>51300.150000000009</v>
      </c>
      <c r="I433" s="76"/>
    </row>
    <row r="434" spans="1:9">
      <c r="A434" s="772"/>
      <c r="B434" s="772"/>
      <c r="C434" s="76" t="s">
        <v>5339</v>
      </c>
      <c r="D434" s="76" t="s">
        <v>4923</v>
      </c>
      <c r="E434" s="76" t="s">
        <v>5340</v>
      </c>
      <c r="F434" s="76" t="s">
        <v>4925</v>
      </c>
      <c r="G434" s="76"/>
      <c r="H434" s="117">
        <v>49764.289999999994</v>
      </c>
      <c r="I434" s="76"/>
    </row>
    <row r="435" spans="1:9">
      <c r="A435" s="772"/>
      <c r="B435" s="772"/>
      <c r="C435" s="76" t="s">
        <v>5341</v>
      </c>
      <c r="D435" s="76" t="s">
        <v>4923</v>
      </c>
      <c r="E435" s="76" t="s">
        <v>5037</v>
      </c>
      <c r="F435" s="76" t="s">
        <v>4925</v>
      </c>
      <c r="G435" s="76"/>
      <c r="H435" s="117">
        <v>48500</v>
      </c>
      <c r="I435" s="76"/>
    </row>
    <row r="436" spans="1:9">
      <c r="A436" s="772"/>
      <c r="B436" s="772"/>
      <c r="C436" s="76" t="s">
        <v>5342</v>
      </c>
      <c r="D436" s="76" t="s">
        <v>4923</v>
      </c>
      <c r="E436" s="76" t="s">
        <v>5343</v>
      </c>
      <c r="F436" s="76" t="s">
        <v>4949</v>
      </c>
      <c r="G436" s="76"/>
      <c r="H436" s="117">
        <v>48413.45</v>
      </c>
      <c r="I436" s="76"/>
    </row>
    <row r="437" spans="1:9">
      <c r="A437" s="772"/>
      <c r="B437" s="772"/>
      <c r="C437" s="76" t="s">
        <v>5344</v>
      </c>
      <c r="D437" s="76" t="s">
        <v>4919</v>
      </c>
      <c r="E437" s="76" t="s">
        <v>4970</v>
      </c>
      <c r="F437" s="76" t="s">
        <v>5314</v>
      </c>
      <c r="G437" s="76"/>
      <c r="H437" s="117">
        <v>47845.68</v>
      </c>
      <c r="I437" s="76"/>
    </row>
    <row r="438" spans="1:9">
      <c r="A438" s="772"/>
      <c r="B438" s="772"/>
      <c r="C438" s="76" t="s">
        <v>5345</v>
      </c>
      <c r="D438" s="76" t="s">
        <v>4919</v>
      </c>
      <c r="E438" s="76" t="s">
        <v>5037</v>
      </c>
      <c r="F438" s="76" t="s">
        <v>5024</v>
      </c>
      <c r="G438" s="76"/>
      <c r="H438" s="117">
        <v>47000</v>
      </c>
      <c r="I438" s="76"/>
    </row>
    <row r="439" spans="1:9">
      <c r="A439" s="772"/>
      <c r="B439" s="772"/>
      <c r="C439" s="76" t="s">
        <v>5346</v>
      </c>
      <c r="D439" s="76" t="s">
        <v>4923</v>
      </c>
      <c r="E439" s="76" t="s">
        <v>5347</v>
      </c>
      <c r="F439" s="76" t="s">
        <v>4949</v>
      </c>
      <c r="G439" s="76"/>
      <c r="H439" s="117">
        <v>46776.959999999999</v>
      </c>
      <c r="I439" s="76"/>
    </row>
    <row r="440" spans="1:9">
      <c r="A440" s="772"/>
      <c r="B440" s="772"/>
      <c r="C440" s="76" t="s">
        <v>5348</v>
      </c>
      <c r="D440" s="76" t="s">
        <v>4923</v>
      </c>
      <c r="E440" s="76" t="s">
        <v>5349</v>
      </c>
      <c r="F440" s="76" t="s">
        <v>4949</v>
      </c>
      <c r="G440" s="76"/>
      <c r="H440" s="117">
        <v>46460.160000000003</v>
      </c>
      <c r="I440" s="76"/>
    </row>
    <row r="441" spans="1:9">
      <c r="A441" s="772"/>
      <c r="B441" s="772"/>
      <c r="C441" s="76" t="s">
        <v>5350</v>
      </c>
      <c r="D441" s="76" t="s">
        <v>4923</v>
      </c>
      <c r="E441" s="76"/>
      <c r="F441" s="76" t="s">
        <v>4925</v>
      </c>
      <c r="G441" s="76"/>
      <c r="H441" s="117">
        <v>46261.779999999992</v>
      </c>
      <c r="I441" s="76"/>
    </row>
    <row r="442" spans="1:9">
      <c r="A442" s="772"/>
      <c r="B442" s="772"/>
      <c r="C442" s="76" t="s">
        <v>5351</v>
      </c>
      <c r="D442" s="76" t="s">
        <v>4923</v>
      </c>
      <c r="E442" s="76" t="s">
        <v>5352</v>
      </c>
      <c r="F442" s="76" t="s">
        <v>4939</v>
      </c>
      <c r="G442" s="76"/>
      <c r="H442" s="117">
        <v>43570</v>
      </c>
      <c r="I442" s="76"/>
    </row>
    <row r="443" spans="1:9">
      <c r="A443" s="772"/>
      <c r="B443" s="772"/>
      <c r="C443" s="76" t="s">
        <v>5353</v>
      </c>
      <c r="D443" s="76" t="s">
        <v>4923</v>
      </c>
      <c r="E443" s="76" t="s">
        <v>5354</v>
      </c>
      <c r="F443" s="76" t="s">
        <v>4971</v>
      </c>
      <c r="G443" s="76"/>
      <c r="H443" s="117">
        <v>43298.82</v>
      </c>
      <c r="I443" s="76"/>
    </row>
    <row r="444" spans="1:9">
      <c r="A444" s="772"/>
      <c r="B444" s="772"/>
      <c r="C444" s="76" t="s">
        <v>5355</v>
      </c>
      <c r="D444" s="76" t="s">
        <v>4919</v>
      </c>
      <c r="E444" s="76" t="s">
        <v>4970</v>
      </c>
      <c r="F444" s="76" t="s">
        <v>5356</v>
      </c>
      <c r="G444" s="76"/>
      <c r="H444" s="117">
        <v>42656.450000000004</v>
      </c>
      <c r="I444" s="76"/>
    </row>
    <row r="445" spans="1:9">
      <c r="A445" s="772"/>
      <c r="B445" s="772"/>
      <c r="C445" s="76" t="s">
        <v>5357</v>
      </c>
      <c r="D445" s="76" t="s">
        <v>4923</v>
      </c>
      <c r="E445" s="76" t="s">
        <v>5358</v>
      </c>
      <c r="F445" s="76" t="s">
        <v>4949</v>
      </c>
      <c r="G445" s="76"/>
      <c r="H445" s="117">
        <v>42387.170000000006</v>
      </c>
      <c r="I445" s="76"/>
    </row>
    <row r="446" spans="1:9">
      <c r="A446" s="772"/>
      <c r="B446" s="772"/>
      <c r="C446" s="76" t="s">
        <v>5359</v>
      </c>
      <c r="D446" s="76" t="s">
        <v>4923</v>
      </c>
      <c r="E446" s="76" t="s">
        <v>5360</v>
      </c>
      <c r="F446" s="76" t="s">
        <v>4949</v>
      </c>
      <c r="G446" s="76"/>
      <c r="H446" s="117">
        <v>42336.08</v>
      </c>
      <c r="I446" s="76"/>
    </row>
    <row r="447" spans="1:9">
      <c r="A447" s="772"/>
      <c r="B447" s="772"/>
      <c r="C447" s="76" t="s">
        <v>5361</v>
      </c>
      <c r="D447" s="76" t="s">
        <v>4919</v>
      </c>
      <c r="E447" s="76" t="s">
        <v>4970</v>
      </c>
      <c r="F447" s="76" t="s">
        <v>4995</v>
      </c>
      <c r="G447" s="76"/>
      <c r="H447" s="117">
        <v>42200</v>
      </c>
      <c r="I447" s="76"/>
    </row>
    <row r="448" spans="1:9">
      <c r="A448" s="772"/>
      <c r="B448" s="772"/>
      <c r="C448" s="76" t="s">
        <v>5362</v>
      </c>
      <c r="D448" s="76" t="s">
        <v>4923</v>
      </c>
      <c r="E448" s="76" t="s">
        <v>5363</v>
      </c>
      <c r="F448" s="76" t="s">
        <v>4949</v>
      </c>
      <c r="G448" s="76"/>
      <c r="H448" s="117">
        <v>41496</v>
      </c>
      <c r="I448" s="76"/>
    </row>
    <row r="449" spans="1:9">
      <c r="A449" s="772"/>
      <c r="B449" s="772"/>
      <c r="C449" s="76" t="s">
        <v>5364</v>
      </c>
      <c r="D449" s="76" t="s">
        <v>4923</v>
      </c>
      <c r="E449" s="76" t="s">
        <v>4970</v>
      </c>
      <c r="F449" s="76" t="s">
        <v>4949</v>
      </c>
      <c r="G449" s="76"/>
      <c r="H449" s="117">
        <v>40039.18</v>
      </c>
      <c r="I449" s="76"/>
    </row>
    <row r="450" spans="1:9">
      <c r="A450" s="772"/>
      <c r="B450" s="772"/>
      <c r="C450" s="76" t="s">
        <v>5365</v>
      </c>
      <c r="D450" s="76" t="s">
        <v>4923</v>
      </c>
      <c r="E450" s="76" t="s">
        <v>5366</v>
      </c>
      <c r="F450" s="76" t="s">
        <v>4963</v>
      </c>
      <c r="G450" s="76"/>
      <c r="H450" s="117">
        <v>39329.71</v>
      </c>
      <c r="I450" s="76"/>
    </row>
    <row r="451" spans="1:9">
      <c r="A451" s="772"/>
      <c r="B451" s="772"/>
      <c r="C451" s="76" t="s">
        <v>5367</v>
      </c>
      <c r="D451" s="76" t="s">
        <v>4923</v>
      </c>
      <c r="E451" s="76" t="s">
        <v>5368</v>
      </c>
      <c r="F451" s="76" t="s">
        <v>4949</v>
      </c>
      <c r="G451" s="76"/>
      <c r="H451" s="117">
        <v>38819.749999999993</v>
      </c>
      <c r="I451" s="76"/>
    </row>
    <row r="452" spans="1:9">
      <c r="A452" s="772"/>
      <c r="B452" s="772"/>
      <c r="C452" s="76" t="s">
        <v>5369</v>
      </c>
      <c r="D452" s="76" t="s">
        <v>4923</v>
      </c>
      <c r="E452" s="76" t="s">
        <v>5370</v>
      </c>
      <c r="F452" s="76" t="s">
        <v>4949</v>
      </c>
      <c r="G452" s="76"/>
      <c r="H452" s="117">
        <v>38682.519999999997</v>
      </c>
      <c r="I452" s="76"/>
    </row>
    <row r="453" spans="1:9">
      <c r="A453" s="772"/>
      <c r="B453" s="772"/>
      <c r="C453" s="76" t="s">
        <v>5371</v>
      </c>
      <c r="D453" s="76" t="s">
        <v>4923</v>
      </c>
      <c r="E453" s="76" t="s">
        <v>5372</v>
      </c>
      <c r="F453" s="76" t="s">
        <v>4949</v>
      </c>
      <c r="G453" s="76"/>
      <c r="H453" s="117">
        <v>38555.870000000003</v>
      </c>
      <c r="I453" s="76"/>
    </row>
    <row r="454" spans="1:9">
      <c r="A454" s="772"/>
      <c r="B454" s="772"/>
      <c r="C454" s="76" t="s">
        <v>5373</v>
      </c>
      <c r="D454" s="76" t="s">
        <v>4923</v>
      </c>
      <c r="E454" s="76" t="s">
        <v>5374</v>
      </c>
      <c r="F454" s="76" t="s">
        <v>4949</v>
      </c>
      <c r="G454" s="76"/>
      <c r="H454" s="117">
        <v>38063.009999999995</v>
      </c>
      <c r="I454" s="76"/>
    </row>
    <row r="455" spans="1:9">
      <c r="A455" s="772"/>
      <c r="B455" s="772"/>
      <c r="C455" s="76" t="s">
        <v>5375</v>
      </c>
      <c r="D455" s="76" t="s">
        <v>4923</v>
      </c>
      <c r="E455" s="76" t="s">
        <v>5376</v>
      </c>
      <c r="F455" s="76" t="s">
        <v>5114</v>
      </c>
      <c r="G455" s="76"/>
      <c r="H455" s="117">
        <v>37575.43</v>
      </c>
      <c r="I455" s="76"/>
    </row>
    <row r="456" spans="1:9">
      <c r="A456" s="772"/>
      <c r="B456" s="772"/>
      <c r="C456" s="76" t="s">
        <v>5377</v>
      </c>
      <c r="D456" s="76" t="s">
        <v>4923</v>
      </c>
      <c r="E456" s="76" t="s">
        <v>5040</v>
      </c>
      <c r="F456" s="76" t="s">
        <v>4949</v>
      </c>
      <c r="G456" s="76"/>
      <c r="H456" s="117">
        <v>37413.879999999997</v>
      </c>
      <c r="I456" s="76"/>
    </row>
    <row r="457" spans="1:9">
      <c r="A457" s="772"/>
      <c r="B457" s="772"/>
      <c r="C457" s="76" t="s">
        <v>5378</v>
      </c>
      <c r="D457" s="76" t="s">
        <v>4923</v>
      </c>
      <c r="E457" s="76" t="s">
        <v>5379</v>
      </c>
      <c r="F457" s="76" t="s">
        <v>4925</v>
      </c>
      <c r="G457" s="76"/>
      <c r="H457" s="117">
        <v>36308.86</v>
      </c>
      <c r="I457" s="76"/>
    </row>
    <row r="458" spans="1:9">
      <c r="A458" s="772"/>
      <c r="B458" s="772"/>
      <c r="C458" s="76" t="s">
        <v>5380</v>
      </c>
      <c r="D458" s="76" t="s">
        <v>4919</v>
      </c>
      <c r="E458" s="76"/>
      <c r="F458" s="76" t="s">
        <v>5381</v>
      </c>
      <c r="G458" s="76"/>
      <c r="H458" s="117">
        <v>36200</v>
      </c>
      <c r="I458" s="76"/>
    </row>
    <row r="459" spans="1:9">
      <c r="A459" s="772"/>
      <c r="B459" s="772"/>
      <c r="C459" s="76" t="s">
        <v>5382</v>
      </c>
      <c r="D459" s="76" t="s">
        <v>4923</v>
      </c>
      <c r="E459" s="76" t="s">
        <v>5040</v>
      </c>
      <c r="F459" s="76" t="s">
        <v>4925</v>
      </c>
      <c r="G459" s="76"/>
      <c r="H459" s="117">
        <v>36164.699999999997</v>
      </c>
      <c r="I459" s="76"/>
    </row>
    <row r="460" spans="1:9">
      <c r="A460" s="772"/>
      <c r="B460" s="772"/>
      <c r="C460" s="76" t="s">
        <v>5383</v>
      </c>
      <c r="D460" s="76" t="s">
        <v>4923</v>
      </c>
      <c r="E460" s="76" t="s">
        <v>5384</v>
      </c>
      <c r="F460" s="76" t="s">
        <v>5385</v>
      </c>
      <c r="G460" s="76"/>
      <c r="H460" s="117">
        <v>35844.950000000004</v>
      </c>
      <c r="I460" s="76"/>
    </row>
    <row r="461" spans="1:9">
      <c r="A461" s="772"/>
      <c r="B461" s="772"/>
      <c r="C461" s="76" t="s">
        <v>5386</v>
      </c>
      <c r="D461" s="76" t="s">
        <v>4919</v>
      </c>
      <c r="E461" s="76" t="s">
        <v>4970</v>
      </c>
      <c r="F461" s="76" t="s">
        <v>5175</v>
      </c>
      <c r="G461" s="76"/>
      <c r="H461" s="117">
        <v>35525</v>
      </c>
      <c r="I461" s="76"/>
    </row>
    <row r="462" spans="1:9">
      <c r="A462" s="772"/>
      <c r="B462" s="772"/>
      <c r="C462" s="76" t="s">
        <v>5387</v>
      </c>
      <c r="D462" s="76" t="s">
        <v>4923</v>
      </c>
      <c r="E462" s="76" t="s">
        <v>5388</v>
      </c>
      <c r="F462" s="76" t="s">
        <v>4925</v>
      </c>
      <c r="G462" s="76"/>
      <c r="H462" s="117">
        <v>34987.979999999996</v>
      </c>
      <c r="I462" s="76"/>
    </row>
    <row r="463" spans="1:9">
      <c r="A463" s="772"/>
      <c r="B463" s="772"/>
      <c r="C463" s="76" t="s">
        <v>5389</v>
      </c>
      <c r="D463" s="76" t="s">
        <v>4919</v>
      </c>
      <c r="E463" s="76" t="s">
        <v>4970</v>
      </c>
      <c r="F463" s="76" t="s">
        <v>5390</v>
      </c>
      <c r="G463" s="76"/>
      <c r="H463" s="117">
        <v>34986</v>
      </c>
      <c r="I463" s="76"/>
    </row>
    <row r="464" spans="1:9">
      <c r="A464" s="772"/>
      <c r="B464" s="772"/>
      <c r="C464" s="76" t="s">
        <v>5391</v>
      </c>
      <c r="D464" s="76" t="s">
        <v>4923</v>
      </c>
      <c r="E464" s="76" t="s">
        <v>4970</v>
      </c>
      <c r="F464" s="76" t="s">
        <v>4925</v>
      </c>
      <c r="G464" s="76"/>
      <c r="H464" s="117">
        <v>34866.520000000004</v>
      </c>
      <c r="I464" s="76"/>
    </row>
    <row r="465" spans="1:9">
      <c r="A465" s="772"/>
      <c r="B465" s="772"/>
      <c r="C465" s="76" t="s">
        <v>5392</v>
      </c>
      <c r="D465" s="76" t="s">
        <v>4919</v>
      </c>
      <c r="E465" s="76" t="s">
        <v>4970</v>
      </c>
      <c r="F465" s="76" t="s">
        <v>5393</v>
      </c>
      <c r="G465" s="76"/>
      <c r="H465" s="117">
        <v>34450.639999999999</v>
      </c>
      <c r="I465" s="76"/>
    </row>
    <row r="466" spans="1:9">
      <c r="A466" s="772"/>
      <c r="B466" s="772"/>
      <c r="C466" s="76" t="s">
        <v>5394</v>
      </c>
      <c r="D466" s="76" t="s">
        <v>4923</v>
      </c>
      <c r="E466" s="76" t="s">
        <v>5395</v>
      </c>
      <c r="F466" s="76" t="s">
        <v>4963</v>
      </c>
      <c r="G466" s="76"/>
      <c r="H466" s="117">
        <v>34228.119999999995</v>
      </c>
      <c r="I466" s="76"/>
    </row>
    <row r="467" spans="1:9">
      <c r="A467" s="772"/>
      <c r="B467" s="772"/>
      <c r="C467" s="76" t="s">
        <v>5396</v>
      </c>
      <c r="D467" s="76" t="s">
        <v>4923</v>
      </c>
      <c r="E467" s="76" t="s">
        <v>5397</v>
      </c>
      <c r="F467" s="76" t="s">
        <v>4949</v>
      </c>
      <c r="G467" s="76"/>
      <c r="H467" s="117">
        <v>34128.070000000007</v>
      </c>
      <c r="I467" s="76"/>
    </row>
    <row r="468" spans="1:9">
      <c r="A468" s="772"/>
      <c r="B468" s="772"/>
      <c r="C468" s="76" t="s">
        <v>5398</v>
      </c>
      <c r="D468" s="76" t="s">
        <v>4923</v>
      </c>
      <c r="E468" s="76" t="s">
        <v>4970</v>
      </c>
      <c r="F468" s="76" t="s">
        <v>4949</v>
      </c>
      <c r="G468" s="76"/>
      <c r="H468" s="117">
        <v>34059.460000000006</v>
      </c>
      <c r="I468" s="76"/>
    </row>
    <row r="469" spans="1:9">
      <c r="A469" s="772"/>
      <c r="B469" s="772"/>
      <c r="C469" s="76" t="s">
        <v>5399</v>
      </c>
      <c r="D469" s="76" t="s">
        <v>4923</v>
      </c>
      <c r="E469" s="76" t="s">
        <v>5400</v>
      </c>
      <c r="F469" s="76" t="s">
        <v>4925</v>
      </c>
      <c r="G469" s="76"/>
      <c r="H469" s="117">
        <v>34037.509999999995</v>
      </c>
      <c r="I469" s="76"/>
    </row>
    <row r="470" spans="1:9">
      <c r="A470" s="772"/>
      <c r="B470" s="772"/>
      <c r="C470" s="76" t="s">
        <v>5401</v>
      </c>
      <c r="D470" s="76" t="s">
        <v>4923</v>
      </c>
      <c r="E470" s="76" t="s">
        <v>5402</v>
      </c>
      <c r="F470" s="76" t="s">
        <v>4963</v>
      </c>
      <c r="G470" s="76"/>
      <c r="H470" s="117">
        <v>33958.649999999994</v>
      </c>
      <c r="I470" s="76"/>
    </row>
    <row r="471" spans="1:9">
      <c r="A471" s="772"/>
      <c r="B471" s="772"/>
      <c r="C471" s="76" t="s">
        <v>5403</v>
      </c>
      <c r="D471" s="76" t="s">
        <v>4923</v>
      </c>
      <c r="E471" s="76" t="s">
        <v>5404</v>
      </c>
      <c r="F471" s="76" t="s">
        <v>5114</v>
      </c>
      <c r="G471" s="76"/>
      <c r="H471" s="117">
        <v>33801.26</v>
      </c>
      <c r="I471" s="76"/>
    </row>
    <row r="472" spans="1:9">
      <c r="A472" s="772"/>
      <c r="B472" s="772"/>
      <c r="C472" s="76" t="s">
        <v>5405</v>
      </c>
      <c r="D472" s="76" t="s">
        <v>4919</v>
      </c>
      <c r="E472" s="76" t="s">
        <v>4970</v>
      </c>
      <c r="F472" s="76" t="s">
        <v>5406</v>
      </c>
      <c r="G472" s="76"/>
      <c r="H472" s="117">
        <v>33255.089999999997</v>
      </c>
      <c r="I472" s="76"/>
    </row>
    <row r="473" spans="1:9">
      <c r="A473" s="772"/>
      <c r="B473" s="772"/>
      <c r="C473" s="76" t="s">
        <v>5407</v>
      </c>
      <c r="D473" s="76" t="s">
        <v>4923</v>
      </c>
      <c r="E473" s="76" t="s">
        <v>5408</v>
      </c>
      <c r="F473" s="76" t="s">
        <v>4949</v>
      </c>
      <c r="G473" s="76"/>
      <c r="H473" s="117">
        <v>32456.86</v>
      </c>
      <c r="I473" s="76"/>
    </row>
    <row r="474" spans="1:9">
      <c r="A474" s="772"/>
      <c r="B474" s="772"/>
      <c r="C474" s="76" t="s">
        <v>5409</v>
      </c>
      <c r="D474" s="76" t="s">
        <v>4923</v>
      </c>
      <c r="E474" s="76" t="s">
        <v>5410</v>
      </c>
      <c r="F474" s="76" t="s">
        <v>4949</v>
      </c>
      <c r="G474" s="76"/>
      <c r="H474" s="117">
        <v>32389.439999999999</v>
      </c>
      <c r="I474" s="76"/>
    </row>
    <row r="475" spans="1:9">
      <c r="A475" s="772"/>
      <c r="B475" s="772"/>
      <c r="C475" s="76" t="s">
        <v>5411</v>
      </c>
      <c r="D475" s="76" t="s">
        <v>4919</v>
      </c>
      <c r="E475" s="76" t="s">
        <v>4970</v>
      </c>
      <c r="F475" s="76" t="s">
        <v>5412</v>
      </c>
      <c r="G475" s="76"/>
      <c r="H475" s="117">
        <v>32384.82</v>
      </c>
      <c r="I475" s="76"/>
    </row>
    <row r="476" spans="1:9">
      <c r="A476" s="772"/>
      <c r="B476" s="772"/>
      <c r="C476" s="76" t="s">
        <v>5413</v>
      </c>
      <c r="D476" s="76" t="s">
        <v>4919</v>
      </c>
      <c r="E476" s="76" t="s">
        <v>4970</v>
      </c>
      <c r="F476" s="76" t="s">
        <v>5066</v>
      </c>
      <c r="G476" s="76"/>
      <c r="H476" s="117">
        <v>31798</v>
      </c>
      <c r="I476" s="76"/>
    </row>
    <row r="477" spans="1:9">
      <c r="A477" s="772"/>
      <c r="B477" s="772"/>
      <c r="C477" s="76" t="s">
        <v>5414</v>
      </c>
      <c r="D477" s="76" t="s">
        <v>4923</v>
      </c>
      <c r="E477" s="76" t="s">
        <v>5415</v>
      </c>
      <c r="F477" s="76" t="s">
        <v>4949</v>
      </c>
      <c r="G477" s="76"/>
      <c r="H477" s="117">
        <v>31697.19</v>
      </c>
      <c r="I477" s="76"/>
    </row>
    <row r="478" spans="1:9">
      <c r="A478" s="772"/>
      <c r="B478" s="772"/>
      <c r="C478" s="76" t="s">
        <v>5416</v>
      </c>
      <c r="D478" s="76" t="s">
        <v>4919</v>
      </c>
      <c r="E478" s="76" t="s">
        <v>4970</v>
      </c>
      <c r="F478" s="76" t="s">
        <v>5417</v>
      </c>
      <c r="G478" s="76"/>
      <c r="H478" s="117">
        <v>31169.620000000003</v>
      </c>
      <c r="I478" s="76"/>
    </row>
    <row r="479" spans="1:9">
      <c r="A479" s="772"/>
      <c r="B479" s="772"/>
      <c r="C479" s="76" t="s">
        <v>5418</v>
      </c>
      <c r="D479" s="76" t="s">
        <v>4919</v>
      </c>
      <c r="E479" s="76" t="s">
        <v>4970</v>
      </c>
      <c r="F479" s="76" t="s">
        <v>5419</v>
      </c>
      <c r="G479" s="76"/>
      <c r="H479" s="117">
        <v>31000</v>
      </c>
      <c r="I479" s="76"/>
    </row>
    <row r="480" spans="1:9">
      <c r="A480" s="772"/>
      <c r="B480" s="772"/>
      <c r="C480" s="76" t="s">
        <v>5420</v>
      </c>
      <c r="D480" s="76" t="s">
        <v>4923</v>
      </c>
      <c r="E480" s="76" t="s">
        <v>4970</v>
      </c>
      <c r="F480" s="76" t="s">
        <v>5131</v>
      </c>
      <c r="G480" s="76"/>
      <c r="H480" s="117">
        <v>30825.13</v>
      </c>
      <c r="I480" s="76"/>
    </row>
    <row r="481" spans="1:9">
      <c r="A481" s="772"/>
      <c r="B481" s="772"/>
      <c r="C481" s="76" t="s">
        <v>5421</v>
      </c>
      <c r="D481" s="76" t="s">
        <v>4923</v>
      </c>
      <c r="E481" s="76" t="s">
        <v>5422</v>
      </c>
      <c r="F481" s="76" t="s">
        <v>4949</v>
      </c>
      <c r="G481" s="76"/>
      <c r="H481" s="117">
        <v>30778.510000000002</v>
      </c>
      <c r="I481" s="76"/>
    </row>
    <row r="482" spans="1:9">
      <c r="A482" s="772"/>
      <c r="B482" s="772"/>
      <c r="C482" s="76" t="s">
        <v>5423</v>
      </c>
      <c r="D482" s="76" t="s">
        <v>4919</v>
      </c>
      <c r="E482" s="76" t="s">
        <v>5040</v>
      </c>
      <c r="F482" s="76" t="s">
        <v>5424</v>
      </c>
      <c r="G482" s="76"/>
      <c r="H482" s="117">
        <v>30250</v>
      </c>
      <c r="I482" s="76"/>
    </row>
    <row r="483" spans="1:9">
      <c r="A483" s="772"/>
      <c r="B483" s="772"/>
      <c r="C483" s="76" t="s">
        <v>5425</v>
      </c>
      <c r="D483" s="76" t="s">
        <v>4919</v>
      </c>
      <c r="E483" s="76" t="s">
        <v>5037</v>
      </c>
      <c r="F483" s="76" t="s">
        <v>5426</v>
      </c>
      <c r="G483" s="76"/>
      <c r="H483" s="117">
        <v>30165</v>
      </c>
      <c r="I483" s="76"/>
    </row>
    <row r="484" spans="1:9">
      <c r="A484" s="772"/>
      <c r="B484" s="772"/>
      <c r="C484" s="76" t="s">
        <v>5427</v>
      </c>
      <c r="D484" s="76" t="s">
        <v>4919</v>
      </c>
      <c r="E484" s="76" t="s">
        <v>5103</v>
      </c>
      <c r="F484" s="76" t="s">
        <v>5428</v>
      </c>
      <c r="G484" s="76"/>
      <c r="H484" s="117">
        <v>30082.25</v>
      </c>
      <c r="I484" s="76"/>
    </row>
    <row r="485" spans="1:9">
      <c r="A485" s="772"/>
      <c r="B485" s="772"/>
      <c r="C485" s="76" t="s">
        <v>5429</v>
      </c>
      <c r="D485" s="76" t="s">
        <v>4919</v>
      </c>
      <c r="E485" s="76" t="s">
        <v>5040</v>
      </c>
      <c r="F485" s="76" t="s">
        <v>5430</v>
      </c>
      <c r="G485" s="76"/>
      <c r="H485" s="117">
        <v>29852.11</v>
      </c>
      <c r="I485" s="76"/>
    </row>
    <row r="486" spans="1:9">
      <c r="A486" s="772"/>
      <c r="B486" s="772"/>
      <c r="C486" s="76" t="s">
        <v>5431</v>
      </c>
      <c r="D486" s="76" t="s">
        <v>4919</v>
      </c>
      <c r="E486" s="76" t="s">
        <v>5040</v>
      </c>
      <c r="F486" s="76" t="s">
        <v>5432</v>
      </c>
      <c r="G486" s="76"/>
      <c r="H486" s="117">
        <v>29589.68</v>
      </c>
      <c r="I486" s="76"/>
    </row>
    <row r="487" spans="1:9">
      <c r="A487" s="772"/>
      <c r="B487" s="772"/>
      <c r="C487" s="76" t="s">
        <v>5433</v>
      </c>
      <c r="D487" s="76" t="s">
        <v>4923</v>
      </c>
      <c r="E487" s="76" t="s">
        <v>5434</v>
      </c>
      <c r="F487" s="76" t="s">
        <v>4949</v>
      </c>
      <c r="G487" s="76"/>
      <c r="H487" s="117">
        <v>29579.73</v>
      </c>
      <c r="I487" s="76"/>
    </row>
    <row r="488" spans="1:9">
      <c r="A488" s="772"/>
      <c r="B488" s="772"/>
      <c r="C488" s="76" t="s">
        <v>5435</v>
      </c>
      <c r="D488" s="76" t="s">
        <v>4919</v>
      </c>
      <c r="E488" s="76" t="s">
        <v>5040</v>
      </c>
      <c r="F488" s="76" t="s">
        <v>5436</v>
      </c>
      <c r="G488" s="76"/>
      <c r="H488" s="117">
        <v>29360</v>
      </c>
      <c r="I488" s="76"/>
    </row>
    <row r="489" spans="1:9">
      <c r="A489" s="772"/>
      <c r="B489" s="772"/>
      <c r="C489" s="76" t="s">
        <v>5437</v>
      </c>
      <c r="D489" s="76" t="s">
        <v>4919</v>
      </c>
      <c r="E489" s="76" t="s">
        <v>5040</v>
      </c>
      <c r="F489" s="76" t="s">
        <v>5438</v>
      </c>
      <c r="G489" s="76"/>
      <c r="H489" s="117">
        <v>29271.980000000003</v>
      </c>
      <c r="I489" s="76"/>
    </row>
    <row r="490" spans="1:9">
      <c r="A490" s="772"/>
      <c r="B490" s="772"/>
      <c r="C490" s="76" t="s">
        <v>5439</v>
      </c>
      <c r="D490" s="76" t="s">
        <v>4919</v>
      </c>
      <c r="E490" s="76" t="s">
        <v>4970</v>
      </c>
      <c r="F490" s="76" t="s">
        <v>5428</v>
      </c>
      <c r="G490" s="76"/>
      <c r="H490" s="117">
        <v>28744.73</v>
      </c>
      <c r="I490" s="76"/>
    </row>
    <row r="491" spans="1:9">
      <c r="A491" s="772"/>
      <c r="B491" s="772"/>
      <c r="C491" s="76" t="s">
        <v>5440</v>
      </c>
      <c r="D491" s="76" t="s">
        <v>4923</v>
      </c>
      <c r="E491" s="76" t="s">
        <v>5441</v>
      </c>
      <c r="F491" s="76" t="s">
        <v>4963</v>
      </c>
      <c r="G491" s="76"/>
      <c r="H491" s="117">
        <v>28645.84</v>
      </c>
      <c r="I491" s="76"/>
    </row>
    <row r="492" spans="1:9">
      <c r="A492" s="772"/>
      <c r="B492" s="772"/>
      <c r="C492" s="76" t="s">
        <v>5442</v>
      </c>
      <c r="D492" s="76" t="s">
        <v>4923</v>
      </c>
      <c r="E492" s="76" t="s">
        <v>5443</v>
      </c>
      <c r="F492" s="76" t="s">
        <v>4949</v>
      </c>
      <c r="G492" s="76"/>
      <c r="H492" s="117">
        <v>27882.279999999995</v>
      </c>
      <c r="I492" s="76"/>
    </row>
    <row r="493" spans="1:9">
      <c r="A493" s="772"/>
      <c r="B493" s="772"/>
      <c r="C493" s="76" t="s">
        <v>5444</v>
      </c>
      <c r="D493" s="76" t="s">
        <v>4923</v>
      </c>
      <c r="E493" s="76" t="s">
        <v>5445</v>
      </c>
      <c r="F493" s="76" t="s">
        <v>4949</v>
      </c>
      <c r="G493" s="76"/>
      <c r="H493" s="117">
        <v>27668.82</v>
      </c>
      <c r="I493" s="76"/>
    </row>
    <row r="494" spans="1:9">
      <c r="A494" s="772"/>
      <c r="B494" s="772"/>
      <c r="C494" s="76" t="s">
        <v>5446</v>
      </c>
      <c r="D494" s="76" t="s">
        <v>4923</v>
      </c>
      <c r="E494" s="76" t="s">
        <v>5447</v>
      </c>
      <c r="F494" s="76" t="s">
        <v>4963</v>
      </c>
      <c r="G494" s="76"/>
      <c r="H494" s="117">
        <v>27664</v>
      </c>
      <c r="I494" s="76"/>
    </row>
    <row r="495" spans="1:9">
      <c r="A495" s="772"/>
      <c r="B495" s="772"/>
      <c r="C495" s="76" t="s">
        <v>5448</v>
      </c>
      <c r="D495" s="76" t="s">
        <v>4923</v>
      </c>
      <c r="E495" s="76" t="s">
        <v>5449</v>
      </c>
      <c r="F495" s="76" t="s">
        <v>4949</v>
      </c>
      <c r="G495" s="76"/>
      <c r="H495" s="117">
        <v>27268.799999999999</v>
      </c>
      <c r="I495" s="76"/>
    </row>
    <row r="496" spans="1:9">
      <c r="A496" s="772"/>
      <c r="B496" s="772"/>
      <c r="C496" s="76" t="s">
        <v>5450</v>
      </c>
      <c r="D496" s="76" t="s">
        <v>4919</v>
      </c>
      <c r="E496" s="76" t="s">
        <v>4970</v>
      </c>
      <c r="F496" s="76" t="s">
        <v>5451</v>
      </c>
      <c r="G496" s="76"/>
      <c r="H496" s="117">
        <v>26834.51</v>
      </c>
      <c r="I496" s="76"/>
    </row>
    <row r="497" spans="1:9">
      <c r="A497" s="772"/>
      <c r="B497" s="772"/>
      <c r="C497" s="76" t="s">
        <v>5452</v>
      </c>
      <c r="D497" s="76" t="s">
        <v>4923</v>
      </c>
      <c r="E497" s="76" t="s">
        <v>5453</v>
      </c>
      <c r="F497" s="76" t="s">
        <v>4949</v>
      </c>
      <c r="G497" s="76"/>
      <c r="H497" s="117">
        <v>26767.07</v>
      </c>
      <c r="I497" s="76"/>
    </row>
    <row r="498" spans="1:9">
      <c r="A498" s="772"/>
      <c r="B498" s="772"/>
      <c r="C498" s="76" t="s">
        <v>5454</v>
      </c>
      <c r="D498" s="76" t="s">
        <v>4919</v>
      </c>
      <c r="E498" s="76" t="s">
        <v>4970</v>
      </c>
      <c r="F498" s="76" t="s">
        <v>5455</v>
      </c>
      <c r="G498" s="76"/>
      <c r="H498" s="117">
        <v>26763.379999999997</v>
      </c>
      <c r="I498" s="76"/>
    </row>
    <row r="499" spans="1:9">
      <c r="A499" s="772"/>
      <c r="B499" s="772"/>
      <c r="C499" s="76" t="s">
        <v>5456</v>
      </c>
      <c r="D499" s="76" t="s">
        <v>4923</v>
      </c>
      <c r="E499" s="76" t="s">
        <v>5457</v>
      </c>
      <c r="F499" s="76" t="s">
        <v>4949</v>
      </c>
      <c r="G499" s="76"/>
      <c r="H499" s="117">
        <v>26172.759999999995</v>
      </c>
      <c r="I499" s="76"/>
    </row>
    <row r="500" spans="1:9">
      <c r="A500" s="772"/>
      <c r="B500" s="772"/>
      <c r="C500" s="76" t="s">
        <v>5458</v>
      </c>
      <c r="D500" s="76" t="s">
        <v>4923</v>
      </c>
      <c r="E500" s="76" t="s">
        <v>5459</v>
      </c>
      <c r="F500" s="76" t="s">
        <v>4949</v>
      </c>
      <c r="G500" s="76"/>
      <c r="H500" s="117">
        <v>26105.9</v>
      </c>
      <c r="I500" s="76"/>
    </row>
    <row r="501" spans="1:9">
      <c r="A501" s="772"/>
      <c r="B501" s="772"/>
      <c r="C501" s="76" t="s">
        <v>5460</v>
      </c>
      <c r="D501" s="76" t="s">
        <v>4919</v>
      </c>
      <c r="E501" s="76" t="s">
        <v>5040</v>
      </c>
      <c r="F501" s="76" t="s">
        <v>5070</v>
      </c>
      <c r="G501" s="76"/>
      <c r="H501" s="117">
        <v>26028</v>
      </c>
      <c r="I501" s="76"/>
    </row>
    <row r="502" spans="1:9">
      <c r="A502" s="772"/>
      <c r="B502" s="772"/>
      <c r="C502" s="76" t="s">
        <v>5461</v>
      </c>
      <c r="D502" s="76" t="s">
        <v>4923</v>
      </c>
      <c r="E502" s="76" t="s">
        <v>4970</v>
      </c>
      <c r="F502" s="76" t="s">
        <v>4949</v>
      </c>
      <c r="G502" s="76"/>
      <c r="H502" s="117">
        <v>25712</v>
      </c>
      <c r="I502" s="76"/>
    </row>
    <row r="503" spans="1:9">
      <c r="A503" s="772"/>
      <c r="B503" s="772"/>
      <c r="C503" s="76" t="s">
        <v>5462</v>
      </c>
      <c r="D503" s="76" t="s">
        <v>4919</v>
      </c>
      <c r="E503" s="76" t="s">
        <v>4970</v>
      </c>
      <c r="F503" s="76" t="s">
        <v>5068</v>
      </c>
      <c r="G503" s="76"/>
      <c r="H503" s="117">
        <v>25320</v>
      </c>
      <c r="I503" s="76"/>
    </row>
    <row r="504" spans="1:9">
      <c r="A504" s="772"/>
      <c r="B504" s="772"/>
      <c r="C504" s="76" t="s">
        <v>5463</v>
      </c>
      <c r="D504" s="76" t="s">
        <v>4923</v>
      </c>
      <c r="E504" s="76" t="s">
        <v>4970</v>
      </c>
      <c r="F504" s="76" t="s">
        <v>4949</v>
      </c>
      <c r="G504" s="76"/>
      <c r="H504" s="117">
        <v>25156.11</v>
      </c>
      <c r="I504" s="76"/>
    </row>
    <row r="505" spans="1:9">
      <c r="A505" s="772"/>
      <c r="B505" s="772"/>
      <c r="C505" s="76" t="s">
        <v>5464</v>
      </c>
      <c r="D505" s="76" t="s">
        <v>4923</v>
      </c>
      <c r="E505" s="76" t="s">
        <v>5465</v>
      </c>
      <c r="F505" s="76" t="s">
        <v>4965</v>
      </c>
      <c r="G505" s="76"/>
      <c r="H505" s="117">
        <v>24947</v>
      </c>
      <c r="I505" s="76"/>
    </row>
    <row r="506" spans="1:9">
      <c r="A506" s="772"/>
      <c r="B506" s="772"/>
      <c r="C506" s="76" t="s">
        <v>5466</v>
      </c>
      <c r="D506" s="76" t="s">
        <v>4923</v>
      </c>
      <c r="E506" s="76" t="s">
        <v>5467</v>
      </c>
      <c r="F506" s="76" t="s">
        <v>4949</v>
      </c>
      <c r="G506" s="76"/>
      <c r="H506" s="117">
        <v>24596.48</v>
      </c>
      <c r="I506" s="76"/>
    </row>
    <row r="507" spans="1:9">
      <c r="A507" s="772"/>
      <c r="B507" s="772"/>
      <c r="C507" s="76" t="s">
        <v>5468</v>
      </c>
      <c r="D507" s="76" t="s">
        <v>4923</v>
      </c>
      <c r="E507" s="76" t="s">
        <v>5469</v>
      </c>
      <c r="F507" s="76" t="s">
        <v>4949</v>
      </c>
      <c r="G507" s="76"/>
      <c r="H507" s="117">
        <v>24254.210000000003</v>
      </c>
      <c r="I507" s="76"/>
    </row>
    <row r="508" spans="1:9">
      <c r="A508" s="772"/>
      <c r="B508" s="772"/>
      <c r="C508" s="76" t="s">
        <v>5470</v>
      </c>
      <c r="D508" s="76" t="s">
        <v>4919</v>
      </c>
      <c r="E508" s="76" t="s">
        <v>4970</v>
      </c>
      <c r="F508" s="76" t="s">
        <v>5024</v>
      </c>
      <c r="G508" s="76"/>
      <c r="H508" s="117">
        <v>23060</v>
      </c>
      <c r="I508" s="76"/>
    </row>
    <row r="509" spans="1:9">
      <c r="A509" s="772"/>
      <c r="B509" s="772"/>
      <c r="C509" s="76" t="s">
        <v>5471</v>
      </c>
      <c r="D509" s="76" t="s">
        <v>4923</v>
      </c>
      <c r="E509" s="76" t="s">
        <v>4970</v>
      </c>
      <c r="F509" s="76" t="s">
        <v>4965</v>
      </c>
      <c r="G509" s="76"/>
      <c r="H509" s="117">
        <v>22900.799999999999</v>
      </c>
      <c r="I509" s="76"/>
    </row>
    <row r="510" spans="1:9">
      <c r="A510" s="772"/>
      <c r="B510" s="772"/>
      <c r="C510" s="76" t="s">
        <v>5472</v>
      </c>
      <c r="D510" s="76" t="s">
        <v>4923</v>
      </c>
      <c r="E510" s="76" t="s">
        <v>5473</v>
      </c>
      <c r="F510" s="76" t="s">
        <v>4949</v>
      </c>
      <c r="G510" s="76"/>
      <c r="H510" s="117">
        <v>22603.88</v>
      </c>
      <c r="I510" s="76"/>
    </row>
    <row r="511" spans="1:9">
      <c r="A511" s="772"/>
      <c r="B511" s="772"/>
      <c r="C511" s="76" t="s">
        <v>5474</v>
      </c>
      <c r="D511" s="76" t="s">
        <v>4923</v>
      </c>
      <c r="E511" s="76" t="s">
        <v>5475</v>
      </c>
      <c r="F511" s="76" t="s">
        <v>4949</v>
      </c>
      <c r="G511" s="76"/>
      <c r="H511" s="117">
        <v>22590.91</v>
      </c>
      <c r="I511" s="76"/>
    </row>
    <row r="512" spans="1:9">
      <c r="A512" s="772"/>
      <c r="B512" s="772"/>
      <c r="C512" s="76" t="s">
        <v>5476</v>
      </c>
      <c r="D512" s="76" t="s">
        <v>4919</v>
      </c>
      <c r="E512" s="76" t="s">
        <v>4970</v>
      </c>
      <c r="F512" s="76" t="s">
        <v>5477</v>
      </c>
      <c r="G512" s="76"/>
      <c r="H512" s="117">
        <v>22478.799999999999</v>
      </c>
      <c r="I512" s="76"/>
    </row>
    <row r="513" spans="1:9">
      <c r="A513" s="772"/>
      <c r="B513" s="772"/>
      <c r="C513" s="76" t="s">
        <v>5478</v>
      </c>
      <c r="D513" s="76" t="s">
        <v>4923</v>
      </c>
      <c r="E513" s="76" t="s">
        <v>5040</v>
      </c>
      <c r="F513" s="76" t="s">
        <v>4963</v>
      </c>
      <c r="G513" s="76"/>
      <c r="H513" s="117">
        <v>22465.759999999998</v>
      </c>
      <c r="I513" s="76"/>
    </row>
    <row r="514" spans="1:9">
      <c r="A514" s="772"/>
      <c r="B514" s="772"/>
      <c r="C514" s="76" t="s">
        <v>5479</v>
      </c>
      <c r="D514" s="76" t="s">
        <v>4923</v>
      </c>
      <c r="E514" s="76" t="s">
        <v>5480</v>
      </c>
      <c r="F514" s="76" t="s">
        <v>4949</v>
      </c>
      <c r="G514" s="76"/>
      <c r="H514" s="117">
        <v>22236.959999999999</v>
      </c>
      <c r="I514" s="76"/>
    </row>
    <row r="515" spans="1:9">
      <c r="A515" s="772"/>
      <c r="B515" s="772"/>
      <c r="C515" s="76" t="s">
        <v>5481</v>
      </c>
      <c r="D515" s="76" t="s">
        <v>4923</v>
      </c>
      <c r="E515" s="76" t="s">
        <v>4970</v>
      </c>
      <c r="F515" s="76" t="s">
        <v>4925</v>
      </c>
      <c r="G515" s="76"/>
      <c r="H515" s="117">
        <v>21729.01</v>
      </c>
      <c r="I515" s="76"/>
    </row>
    <row r="516" spans="1:9">
      <c r="A516" s="772"/>
      <c r="B516" s="772"/>
      <c r="C516" s="76" t="s">
        <v>5482</v>
      </c>
      <c r="D516" s="76" t="s">
        <v>4919</v>
      </c>
      <c r="E516" s="76" t="s">
        <v>4970</v>
      </c>
      <c r="F516" s="76" t="s">
        <v>5393</v>
      </c>
      <c r="G516" s="76"/>
      <c r="H516" s="117">
        <v>21572.02</v>
      </c>
      <c r="I516" s="76"/>
    </row>
    <row r="517" spans="1:9">
      <c r="A517" s="772"/>
      <c r="B517" s="772"/>
      <c r="C517" s="76" t="s">
        <v>5483</v>
      </c>
      <c r="D517" s="76" t="s">
        <v>4923</v>
      </c>
      <c r="E517" s="76" t="s">
        <v>5484</v>
      </c>
      <c r="F517" s="76" t="s">
        <v>4963</v>
      </c>
      <c r="G517" s="76"/>
      <c r="H517" s="117">
        <v>21364.16</v>
      </c>
      <c r="I517" s="76"/>
    </row>
    <row r="518" spans="1:9">
      <c r="A518" s="772"/>
      <c r="B518" s="772"/>
      <c r="C518" s="76" t="s">
        <v>5485</v>
      </c>
      <c r="D518" s="76" t="s">
        <v>4923</v>
      </c>
      <c r="E518" s="76" t="s">
        <v>5486</v>
      </c>
      <c r="F518" s="76" t="s">
        <v>4963</v>
      </c>
      <c r="G518" s="76"/>
      <c r="H518" s="117">
        <v>21352.799999999999</v>
      </c>
      <c r="I518" s="76"/>
    </row>
    <row r="519" spans="1:9">
      <c r="A519" s="772"/>
      <c r="B519" s="772"/>
      <c r="C519" s="76" t="s">
        <v>5487</v>
      </c>
      <c r="D519" s="76" t="s">
        <v>4919</v>
      </c>
      <c r="E519" s="76" t="s">
        <v>5040</v>
      </c>
      <c r="F519" s="76" t="s">
        <v>5488</v>
      </c>
      <c r="G519" s="76"/>
      <c r="H519" s="117">
        <v>21199.33</v>
      </c>
      <c r="I519" s="76"/>
    </row>
    <row r="520" spans="1:9">
      <c r="A520" s="772"/>
      <c r="B520" s="772"/>
      <c r="C520" s="76" t="s">
        <v>5489</v>
      </c>
      <c r="D520" s="76" t="s">
        <v>4923</v>
      </c>
      <c r="E520" s="76" t="s">
        <v>5490</v>
      </c>
      <c r="F520" s="76" t="s">
        <v>4963</v>
      </c>
      <c r="G520" s="76"/>
      <c r="H520" s="117">
        <v>20987.18</v>
      </c>
      <c r="I520" s="76"/>
    </row>
    <row r="521" spans="1:9">
      <c r="A521" s="772"/>
      <c r="B521" s="772"/>
      <c r="C521" s="76" t="s">
        <v>5491</v>
      </c>
      <c r="D521" s="76" t="s">
        <v>4919</v>
      </c>
      <c r="E521" s="76" t="s">
        <v>4970</v>
      </c>
      <c r="F521" s="76" t="s">
        <v>5356</v>
      </c>
      <c r="G521" s="76"/>
      <c r="H521" s="117">
        <v>20489.599999999999</v>
      </c>
      <c r="I521" s="76"/>
    </row>
    <row r="522" spans="1:9">
      <c r="A522" s="772"/>
      <c r="B522" s="772"/>
      <c r="C522" s="76" t="s">
        <v>5492</v>
      </c>
      <c r="D522" s="76" t="s">
        <v>4919</v>
      </c>
      <c r="E522" s="76" t="s">
        <v>4970</v>
      </c>
      <c r="F522" s="76" t="s">
        <v>5493</v>
      </c>
      <c r="G522" s="76"/>
      <c r="H522" s="117">
        <v>20123.04</v>
      </c>
      <c r="I522" s="76"/>
    </row>
    <row r="523" spans="1:9">
      <c r="A523" s="772"/>
      <c r="B523" s="772"/>
      <c r="C523" s="76" t="s">
        <v>5494</v>
      </c>
      <c r="D523" s="76" t="s">
        <v>4923</v>
      </c>
      <c r="E523" s="76" t="s">
        <v>5040</v>
      </c>
      <c r="F523" s="76" t="s">
        <v>4949</v>
      </c>
      <c r="G523" s="76"/>
      <c r="H523" s="117">
        <v>20037.78</v>
      </c>
      <c r="I523" s="76"/>
    </row>
    <row r="524" spans="1:9">
      <c r="A524" s="772"/>
      <c r="B524" s="772"/>
      <c r="C524" s="76" t="s">
        <v>5495</v>
      </c>
      <c r="D524" s="76" t="s">
        <v>4919</v>
      </c>
      <c r="E524" s="76" t="s">
        <v>5040</v>
      </c>
      <c r="F524" s="76" t="s">
        <v>5496</v>
      </c>
      <c r="G524" s="76"/>
      <c r="H524" s="117">
        <v>19824.59</v>
      </c>
      <c r="I524" s="76"/>
    </row>
    <row r="525" spans="1:9">
      <c r="A525" s="772"/>
      <c r="B525" s="772"/>
      <c r="C525" s="76" t="s">
        <v>5497</v>
      </c>
      <c r="D525" s="76" t="s">
        <v>4919</v>
      </c>
      <c r="E525" s="76" t="s">
        <v>5040</v>
      </c>
      <c r="F525" s="76" t="s">
        <v>5314</v>
      </c>
      <c r="G525" s="76"/>
      <c r="H525" s="117">
        <v>19573.43</v>
      </c>
      <c r="I525" s="76"/>
    </row>
    <row r="526" spans="1:9">
      <c r="A526" s="772"/>
      <c r="B526" s="772"/>
      <c r="C526" s="76" t="s">
        <v>5498</v>
      </c>
      <c r="D526" s="76" t="s">
        <v>4923</v>
      </c>
      <c r="E526" s="76" t="s">
        <v>5499</v>
      </c>
      <c r="F526" s="76" t="s">
        <v>4949</v>
      </c>
      <c r="G526" s="76"/>
      <c r="H526" s="117">
        <v>19061.8</v>
      </c>
      <c r="I526" s="76"/>
    </row>
    <row r="527" spans="1:9">
      <c r="A527" s="772"/>
      <c r="B527" s="772"/>
      <c r="C527" s="76" t="s">
        <v>5500</v>
      </c>
      <c r="D527" s="76" t="s">
        <v>4919</v>
      </c>
      <c r="E527" s="76" t="s">
        <v>5040</v>
      </c>
      <c r="F527" s="76" t="s">
        <v>5501</v>
      </c>
      <c r="G527" s="76"/>
      <c r="H527" s="117">
        <v>19000</v>
      </c>
      <c r="I527" s="76"/>
    </row>
    <row r="528" spans="1:9">
      <c r="A528" s="772"/>
      <c r="B528" s="772"/>
      <c r="C528" s="76" t="s">
        <v>5502</v>
      </c>
      <c r="D528" s="76" t="s">
        <v>4923</v>
      </c>
      <c r="E528" s="76" t="s">
        <v>5503</v>
      </c>
      <c r="F528" s="76" t="s">
        <v>4949</v>
      </c>
      <c r="G528" s="76"/>
      <c r="H528" s="117">
        <v>18938.03</v>
      </c>
      <c r="I528" s="76"/>
    </row>
    <row r="529" spans="1:9">
      <c r="A529" s="772"/>
      <c r="B529" s="772"/>
      <c r="C529" s="76" t="s">
        <v>5504</v>
      </c>
      <c r="D529" s="76" t="s">
        <v>4919</v>
      </c>
      <c r="E529" s="76" t="s">
        <v>5040</v>
      </c>
      <c r="F529" s="76" t="s">
        <v>5505</v>
      </c>
      <c r="G529" s="76"/>
      <c r="H529" s="117">
        <v>18808</v>
      </c>
      <c r="I529" s="76"/>
    </row>
    <row r="530" spans="1:9">
      <c r="A530" s="772"/>
      <c r="B530" s="772"/>
      <c r="C530" s="76" t="s">
        <v>5506</v>
      </c>
      <c r="D530" s="76" t="s">
        <v>4923</v>
      </c>
      <c r="E530" s="76" t="s">
        <v>5507</v>
      </c>
      <c r="F530" s="76" t="s">
        <v>4949</v>
      </c>
      <c r="G530" s="76"/>
      <c r="H530" s="117">
        <v>18772</v>
      </c>
      <c r="I530" s="76"/>
    </row>
    <row r="531" spans="1:9">
      <c r="A531" s="772"/>
      <c r="B531" s="772"/>
      <c r="C531" s="76" t="s">
        <v>5508</v>
      </c>
      <c r="D531" s="76" t="s">
        <v>4923</v>
      </c>
      <c r="E531" s="76" t="s">
        <v>5509</v>
      </c>
      <c r="F531" s="76" t="s">
        <v>5114</v>
      </c>
      <c r="G531" s="76"/>
      <c r="H531" s="117">
        <v>18486.980000000003</v>
      </c>
      <c r="I531" s="76"/>
    </row>
    <row r="532" spans="1:9">
      <c r="A532" s="772"/>
      <c r="B532" s="772"/>
      <c r="C532" s="76" t="s">
        <v>5510</v>
      </c>
      <c r="D532" s="76" t="s">
        <v>4923</v>
      </c>
      <c r="E532" s="76" t="s">
        <v>5509</v>
      </c>
      <c r="F532" s="76" t="s">
        <v>5131</v>
      </c>
      <c r="G532" s="76"/>
      <c r="H532" s="117">
        <v>17980.310000000001</v>
      </c>
      <c r="I532" s="76"/>
    </row>
    <row r="533" spans="1:9">
      <c r="A533" s="772"/>
      <c r="B533" s="772"/>
      <c r="C533" s="76" t="s">
        <v>5511</v>
      </c>
      <c r="D533" s="76" t="s">
        <v>4919</v>
      </c>
      <c r="E533" s="76" t="s">
        <v>4970</v>
      </c>
      <c r="F533" s="76" t="s">
        <v>5417</v>
      </c>
      <c r="G533" s="76"/>
      <c r="H533" s="117">
        <v>17841</v>
      </c>
      <c r="I533" s="76"/>
    </row>
    <row r="534" spans="1:9">
      <c r="A534" s="772"/>
      <c r="B534" s="772"/>
      <c r="C534" s="76" t="s">
        <v>5512</v>
      </c>
      <c r="D534" s="76" t="s">
        <v>4923</v>
      </c>
      <c r="E534" s="76" t="s">
        <v>5513</v>
      </c>
      <c r="F534" s="76" t="s">
        <v>4949</v>
      </c>
      <c r="G534" s="76"/>
      <c r="H534" s="117">
        <v>17609.109999999997</v>
      </c>
      <c r="I534" s="76"/>
    </row>
    <row r="535" spans="1:9">
      <c r="A535" s="772"/>
      <c r="B535" s="772"/>
      <c r="C535" s="76" t="s">
        <v>5514</v>
      </c>
      <c r="D535" s="76" t="s">
        <v>4919</v>
      </c>
      <c r="E535" s="76" t="s">
        <v>5040</v>
      </c>
      <c r="F535" s="76" t="s">
        <v>5314</v>
      </c>
      <c r="G535" s="76"/>
      <c r="H535" s="117">
        <v>17600.87</v>
      </c>
      <c r="I535" s="76"/>
    </row>
    <row r="536" spans="1:9">
      <c r="A536" s="772"/>
      <c r="B536" s="772"/>
      <c r="C536" s="76" t="s">
        <v>5515</v>
      </c>
      <c r="D536" s="76" t="s">
        <v>4919</v>
      </c>
      <c r="E536" s="76" t="s">
        <v>5040</v>
      </c>
      <c r="F536" s="76" t="s">
        <v>5516</v>
      </c>
      <c r="G536" s="76"/>
      <c r="H536" s="117">
        <v>17532.78</v>
      </c>
      <c r="I536" s="76"/>
    </row>
    <row r="537" spans="1:9">
      <c r="A537" s="772"/>
      <c r="B537" s="772"/>
      <c r="C537" s="76" t="s">
        <v>5517</v>
      </c>
      <c r="D537" s="76" t="s">
        <v>4923</v>
      </c>
      <c r="E537" s="76" t="s">
        <v>5518</v>
      </c>
      <c r="F537" s="76" t="s">
        <v>4949</v>
      </c>
      <c r="G537" s="76"/>
      <c r="H537" s="117">
        <v>17399.41</v>
      </c>
      <c r="I537" s="76"/>
    </row>
    <row r="538" spans="1:9">
      <c r="A538" s="772"/>
      <c r="B538" s="772"/>
      <c r="C538" s="76" t="s">
        <v>5519</v>
      </c>
      <c r="D538" s="76" t="s">
        <v>4919</v>
      </c>
      <c r="E538" s="76" t="s">
        <v>4970</v>
      </c>
      <c r="F538" s="76" t="s">
        <v>5066</v>
      </c>
      <c r="G538" s="76"/>
      <c r="H538" s="117">
        <v>16756.82</v>
      </c>
      <c r="I538" s="76"/>
    </row>
    <row r="539" spans="1:9">
      <c r="A539" s="772"/>
      <c r="B539" s="772"/>
      <c r="C539" s="76" t="s">
        <v>5520</v>
      </c>
      <c r="D539" s="76" t="s">
        <v>4919</v>
      </c>
      <c r="E539" s="76" t="s">
        <v>4970</v>
      </c>
      <c r="F539" s="76" t="s">
        <v>5068</v>
      </c>
      <c r="G539" s="76"/>
      <c r="H539" s="117">
        <v>16546</v>
      </c>
      <c r="I539" s="76"/>
    </row>
    <row r="540" spans="1:9">
      <c r="A540" s="772"/>
      <c r="B540" s="772"/>
      <c r="C540" s="76" t="s">
        <v>5521</v>
      </c>
      <c r="D540" s="76" t="s">
        <v>4923</v>
      </c>
      <c r="E540" s="76" t="s">
        <v>5522</v>
      </c>
      <c r="F540" s="76" t="s">
        <v>4949</v>
      </c>
      <c r="G540" s="76"/>
      <c r="H540" s="117">
        <v>16530.400000000001</v>
      </c>
      <c r="I540" s="76"/>
    </row>
    <row r="541" spans="1:9">
      <c r="A541" s="772"/>
      <c r="B541" s="772"/>
      <c r="C541" s="76" t="s">
        <v>5523</v>
      </c>
      <c r="D541" s="76" t="s">
        <v>4919</v>
      </c>
      <c r="E541" s="76" t="s">
        <v>4970</v>
      </c>
      <c r="F541" s="76" t="s">
        <v>4949</v>
      </c>
      <c r="G541" s="76"/>
      <c r="H541" s="117">
        <v>16351.23</v>
      </c>
      <c r="I541" s="76"/>
    </row>
    <row r="542" spans="1:9">
      <c r="A542" s="772"/>
      <c r="B542" s="772"/>
      <c r="C542" s="76" t="s">
        <v>5524</v>
      </c>
      <c r="D542" s="76" t="s">
        <v>4919</v>
      </c>
      <c r="E542" s="76" t="s">
        <v>4970</v>
      </c>
      <c r="F542" s="76" t="s">
        <v>5419</v>
      </c>
      <c r="G542" s="76"/>
      <c r="H542" s="117">
        <v>16269</v>
      </c>
      <c r="I542" s="76"/>
    </row>
    <row r="543" spans="1:9">
      <c r="A543" s="772"/>
      <c r="B543" s="772"/>
      <c r="C543" s="76" t="s">
        <v>5525</v>
      </c>
      <c r="D543" s="76" t="s">
        <v>4919</v>
      </c>
      <c r="E543" s="76" t="s">
        <v>4970</v>
      </c>
      <c r="F543" s="76" t="s">
        <v>5526</v>
      </c>
      <c r="G543" s="76"/>
      <c r="H543" s="117">
        <v>16249.74</v>
      </c>
      <c r="I543" s="76"/>
    </row>
    <row r="544" spans="1:9">
      <c r="A544" s="772"/>
      <c r="B544" s="772"/>
      <c r="C544" s="76" t="s">
        <v>5527</v>
      </c>
      <c r="D544" s="76" t="s">
        <v>4919</v>
      </c>
      <c r="E544" s="76" t="s">
        <v>5103</v>
      </c>
      <c r="F544" s="76" t="s">
        <v>5424</v>
      </c>
      <c r="G544" s="76"/>
      <c r="H544" s="117">
        <v>15996.91</v>
      </c>
      <c r="I544" s="76"/>
    </row>
    <row r="545" spans="1:9">
      <c r="A545" s="772"/>
      <c r="B545" s="772"/>
      <c r="C545" s="76" t="s">
        <v>5528</v>
      </c>
      <c r="D545" s="76" t="s">
        <v>4923</v>
      </c>
      <c r="E545" s="76" t="s">
        <v>5529</v>
      </c>
      <c r="F545" s="76" t="s">
        <v>4949</v>
      </c>
      <c r="G545" s="76"/>
      <c r="H545" s="117">
        <v>15812.140000000001</v>
      </c>
      <c r="I545" s="76"/>
    </row>
    <row r="546" spans="1:9">
      <c r="A546" s="772"/>
      <c r="B546" s="772"/>
      <c r="C546" s="76" t="s">
        <v>5530</v>
      </c>
      <c r="D546" s="76" t="s">
        <v>4919</v>
      </c>
      <c r="E546" s="76" t="s">
        <v>5040</v>
      </c>
      <c r="F546" s="76" t="s">
        <v>5314</v>
      </c>
      <c r="G546" s="76"/>
      <c r="H546" s="117">
        <v>15610</v>
      </c>
      <c r="I546" s="76"/>
    </row>
    <row r="547" spans="1:9">
      <c r="A547" s="772"/>
      <c r="B547" s="772"/>
      <c r="C547" s="76" t="s">
        <v>5531</v>
      </c>
      <c r="D547" s="76" t="s">
        <v>4919</v>
      </c>
      <c r="E547" s="76" t="s">
        <v>5040</v>
      </c>
      <c r="F547" s="76" t="s">
        <v>5024</v>
      </c>
      <c r="G547" s="76"/>
      <c r="H547" s="117">
        <v>15431.25</v>
      </c>
      <c r="I547" s="76"/>
    </row>
    <row r="548" spans="1:9">
      <c r="A548" s="772"/>
      <c r="B548" s="772"/>
      <c r="C548" s="76" t="s">
        <v>5532</v>
      </c>
      <c r="D548" s="76" t="s">
        <v>4919</v>
      </c>
      <c r="E548" s="76" t="s">
        <v>4970</v>
      </c>
      <c r="F548" s="76" t="s">
        <v>5424</v>
      </c>
      <c r="G548" s="76"/>
      <c r="H548" s="117">
        <v>15429.82</v>
      </c>
      <c r="I548" s="76"/>
    </row>
    <row r="549" spans="1:9">
      <c r="A549" s="772"/>
      <c r="B549" s="772"/>
      <c r="C549" s="76" t="s">
        <v>5533</v>
      </c>
      <c r="D549" s="76" t="s">
        <v>4923</v>
      </c>
      <c r="E549" s="76" t="s">
        <v>5534</v>
      </c>
      <c r="F549" s="76" t="s">
        <v>4949</v>
      </c>
      <c r="G549" s="76"/>
      <c r="H549" s="117">
        <v>15160.77</v>
      </c>
      <c r="I549" s="76"/>
    </row>
    <row r="550" spans="1:9">
      <c r="A550" s="772"/>
      <c r="B550" s="772"/>
      <c r="C550" s="76" t="s">
        <v>5174</v>
      </c>
      <c r="D550" s="76" t="s">
        <v>4919</v>
      </c>
      <c r="E550" s="76" t="s">
        <v>5040</v>
      </c>
      <c r="F550" s="76" t="s">
        <v>5535</v>
      </c>
      <c r="G550" s="76"/>
      <c r="H550" s="117">
        <v>15122</v>
      </c>
      <c r="I550" s="76"/>
    </row>
    <row r="551" spans="1:9">
      <c r="A551" s="772"/>
      <c r="B551" s="772"/>
      <c r="C551" s="76" t="s">
        <v>5536</v>
      </c>
      <c r="D551" s="76" t="s">
        <v>4923</v>
      </c>
      <c r="E551" s="76" t="s">
        <v>4970</v>
      </c>
      <c r="F551" s="76" t="s">
        <v>4925</v>
      </c>
      <c r="G551" s="76"/>
      <c r="H551" s="117">
        <v>15000</v>
      </c>
      <c r="I551" s="76"/>
    </row>
    <row r="552" spans="1:9">
      <c r="A552" s="772"/>
      <c r="B552" s="772"/>
      <c r="C552" s="76" t="s">
        <v>5537</v>
      </c>
      <c r="D552" s="76" t="s">
        <v>4923</v>
      </c>
      <c r="E552" s="76" t="s">
        <v>5538</v>
      </c>
      <c r="F552" s="76" t="s">
        <v>4939</v>
      </c>
      <c r="G552" s="76"/>
      <c r="H552" s="117">
        <v>14533.26</v>
      </c>
      <c r="I552" s="76"/>
    </row>
    <row r="553" spans="1:9">
      <c r="A553" s="772"/>
      <c r="B553" s="772"/>
      <c r="C553" s="76" t="s">
        <v>5539</v>
      </c>
      <c r="D553" s="76" t="s">
        <v>4923</v>
      </c>
      <c r="E553" s="76" t="s">
        <v>5040</v>
      </c>
      <c r="F553" s="76" t="s">
        <v>4925</v>
      </c>
      <c r="G553" s="76"/>
      <c r="H553" s="117">
        <v>14500</v>
      </c>
      <c r="I553" s="76"/>
    </row>
    <row r="554" spans="1:9">
      <c r="A554" s="772"/>
      <c r="B554" s="772"/>
      <c r="C554" s="76" t="s">
        <v>5540</v>
      </c>
      <c r="D554" s="76" t="s">
        <v>4923</v>
      </c>
      <c r="E554" s="76" t="s">
        <v>5541</v>
      </c>
      <c r="F554" s="76" t="s">
        <v>4949</v>
      </c>
      <c r="G554" s="76"/>
      <c r="H554" s="117">
        <v>14358</v>
      </c>
      <c r="I554" s="76"/>
    </row>
    <row r="555" spans="1:9">
      <c r="A555" s="772"/>
      <c r="B555" s="772"/>
      <c r="C555" s="76" t="s">
        <v>5542</v>
      </c>
      <c r="D555" s="76" t="s">
        <v>4919</v>
      </c>
      <c r="E555" s="76" t="s">
        <v>4970</v>
      </c>
      <c r="F555" s="76" t="s">
        <v>5426</v>
      </c>
      <c r="G555" s="76"/>
      <c r="H555" s="117">
        <v>14355</v>
      </c>
      <c r="I555" s="76"/>
    </row>
    <row r="556" spans="1:9">
      <c r="A556" s="772"/>
      <c r="B556" s="772"/>
      <c r="C556" s="76" t="s">
        <v>5543</v>
      </c>
      <c r="D556" s="76" t="s">
        <v>4919</v>
      </c>
      <c r="E556" s="76" t="s">
        <v>4970</v>
      </c>
      <c r="F556" s="76" t="s">
        <v>5544</v>
      </c>
      <c r="G556" s="76"/>
      <c r="H556" s="117">
        <v>14163.92</v>
      </c>
      <c r="I556" s="76"/>
    </row>
    <row r="557" spans="1:9">
      <c r="A557" s="772"/>
      <c r="B557" s="772"/>
      <c r="C557" s="76" t="s">
        <v>5545</v>
      </c>
      <c r="D557" s="76" t="s">
        <v>4919</v>
      </c>
      <c r="E557" s="76" t="s">
        <v>5103</v>
      </c>
      <c r="F557" s="76" t="s">
        <v>4978</v>
      </c>
      <c r="G557" s="76"/>
      <c r="H557" s="117">
        <v>13870</v>
      </c>
      <c r="I557" s="76"/>
    </row>
    <row r="558" spans="1:9">
      <c r="A558" s="772"/>
      <c r="B558" s="772"/>
      <c r="C558" s="76" t="s">
        <v>5546</v>
      </c>
      <c r="D558" s="76" t="s">
        <v>4923</v>
      </c>
      <c r="E558" s="76" t="s">
        <v>5040</v>
      </c>
      <c r="F558" s="76" t="s">
        <v>4963</v>
      </c>
      <c r="G558" s="76"/>
      <c r="H558" s="117">
        <v>13832</v>
      </c>
      <c r="I558" s="76"/>
    </row>
    <row r="559" spans="1:9">
      <c r="A559" s="772"/>
      <c r="B559" s="772"/>
      <c r="C559" s="76" t="s">
        <v>5547</v>
      </c>
      <c r="D559" s="76" t="s">
        <v>4923</v>
      </c>
      <c r="E559" s="76" t="s">
        <v>5548</v>
      </c>
      <c r="F559" s="76" t="s">
        <v>4949</v>
      </c>
      <c r="G559" s="76"/>
      <c r="H559" s="117">
        <v>13476.76</v>
      </c>
      <c r="I559" s="76"/>
    </row>
    <row r="560" spans="1:9">
      <c r="A560" s="772"/>
      <c r="B560" s="772"/>
      <c r="C560" s="76" t="s">
        <v>5549</v>
      </c>
      <c r="D560" s="76" t="s">
        <v>4919</v>
      </c>
      <c r="E560" s="76" t="s">
        <v>5103</v>
      </c>
      <c r="F560" s="76" t="s">
        <v>5550</v>
      </c>
      <c r="G560" s="76"/>
      <c r="H560" s="117">
        <v>13189</v>
      </c>
      <c r="I560" s="76"/>
    </row>
    <row r="561" spans="1:9">
      <c r="A561" s="772"/>
      <c r="B561" s="772"/>
      <c r="C561" s="76" t="s">
        <v>5551</v>
      </c>
      <c r="D561" s="76" t="s">
        <v>4919</v>
      </c>
      <c r="E561" s="76" t="s">
        <v>5103</v>
      </c>
      <c r="F561" s="76" t="s">
        <v>5552</v>
      </c>
      <c r="G561" s="76"/>
      <c r="H561" s="117">
        <v>12617.11</v>
      </c>
      <c r="I561" s="76"/>
    </row>
    <row r="562" spans="1:9">
      <c r="A562" s="772"/>
      <c r="B562" s="772"/>
      <c r="C562" s="76" t="s">
        <v>5553</v>
      </c>
      <c r="D562" s="76" t="s">
        <v>4923</v>
      </c>
      <c r="E562" s="76" t="s">
        <v>5554</v>
      </c>
      <c r="F562" s="76" t="s">
        <v>4963</v>
      </c>
      <c r="G562" s="76"/>
      <c r="H562" s="117">
        <v>12611.08</v>
      </c>
      <c r="I562" s="76"/>
    </row>
    <row r="563" spans="1:9">
      <c r="A563" s="772"/>
      <c r="B563" s="772"/>
      <c r="C563" s="76" t="s">
        <v>5555</v>
      </c>
      <c r="D563" s="76" t="s">
        <v>4923</v>
      </c>
      <c r="E563" s="76" t="s">
        <v>5556</v>
      </c>
      <c r="F563" s="76" t="s">
        <v>4949</v>
      </c>
      <c r="G563" s="76"/>
      <c r="H563" s="117">
        <v>12402.44</v>
      </c>
      <c r="I563" s="76"/>
    </row>
    <row r="564" spans="1:9">
      <c r="A564" s="772"/>
      <c r="B564" s="772"/>
      <c r="C564" s="76" t="s">
        <v>5557</v>
      </c>
      <c r="D564" s="76" t="s">
        <v>4923</v>
      </c>
      <c r="E564" s="76" t="s">
        <v>5558</v>
      </c>
      <c r="F564" s="76" t="s">
        <v>4965</v>
      </c>
      <c r="G564" s="76"/>
      <c r="H564" s="117">
        <v>12315.93</v>
      </c>
      <c r="I564" s="76"/>
    </row>
    <row r="565" spans="1:9">
      <c r="A565" s="772"/>
      <c r="B565" s="772"/>
      <c r="C565" s="76" t="s">
        <v>5559</v>
      </c>
      <c r="D565" s="76" t="s">
        <v>4923</v>
      </c>
      <c r="E565" s="76" t="s">
        <v>5040</v>
      </c>
      <c r="F565" s="76" t="s">
        <v>4963</v>
      </c>
      <c r="G565" s="76"/>
      <c r="H565" s="117">
        <v>11911.199999999999</v>
      </c>
      <c r="I565" s="76"/>
    </row>
    <row r="566" spans="1:9">
      <c r="A566" s="772"/>
      <c r="B566" s="772"/>
      <c r="C566" s="76" t="s">
        <v>5560</v>
      </c>
      <c r="D566" s="76" t="s">
        <v>4923</v>
      </c>
      <c r="E566" s="76" t="s">
        <v>5561</v>
      </c>
      <c r="F566" s="76" t="s">
        <v>4949</v>
      </c>
      <c r="G566" s="76"/>
      <c r="H566" s="117">
        <v>11692.220000000001</v>
      </c>
      <c r="I566" s="76"/>
    </row>
    <row r="567" spans="1:9">
      <c r="A567" s="772"/>
      <c r="B567" s="772"/>
      <c r="C567" s="76" t="s">
        <v>5562</v>
      </c>
      <c r="D567" s="76" t="s">
        <v>4923</v>
      </c>
      <c r="E567" s="76" t="s">
        <v>5563</v>
      </c>
      <c r="F567" s="76" t="s">
        <v>4925</v>
      </c>
      <c r="G567" s="76"/>
      <c r="H567" s="117">
        <v>11600</v>
      </c>
      <c r="I567" s="76"/>
    </row>
    <row r="568" spans="1:9">
      <c r="A568" s="772"/>
      <c r="B568" s="772"/>
      <c r="C568" s="76" t="s">
        <v>5564</v>
      </c>
      <c r="D568" s="76" t="s">
        <v>4923</v>
      </c>
      <c r="E568" s="76" t="s">
        <v>5565</v>
      </c>
      <c r="F568" s="76" t="s">
        <v>4949</v>
      </c>
      <c r="G568" s="76"/>
      <c r="H568" s="117">
        <v>11540.98</v>
      </c>
      <c r="I568" s="76"/>
    </row>
    <row r="569" spans="1:9">
      <c r="A569" s="772"/>
      <c r="B569" s="772"/>
      <c r="C569" s="76" t="s">
        <v>5566</v>
      </c>
      <c r="D569" s="76" t="s">
        <v>4919</v>
      </c>
      <c r="E569" s="76" t="s">
        <v>4970</v>
      </c>
      <c r="F569" s="76" t="s">
        <v>5567</v>
      </c>
      <c r="G569" s="76"/>
      <c r="H569" s="117">
        <v>11400</v>
      </c>
      <c r="I569" s="76"/>
    </row>
    <row r="570" spans="1:9">
      <c r="A570" s="772"/>
      <c r="B570" s="772"/>
      <c r="C570" s="76" t="s">
        <v>5568</v>
      </c>
      <c r="D570" s="76" t="s">
        <v>4923</v>
      </c>
      <c r="E570" s="76" t="s">
        <v>5569</v>
      </c>
      <c r="F570" s="76" t="s">
        <v>4949</v>
      </c>
      <c r="G570" s="76"/>
      <c r="H570" s="117">
        <v>10868</v>
      </c>
      <c r="I570" s="76"/>
    </row>
    <row r="571" spans="1:9">
      <c r="A571" s="772"/>
      <c r="B571" s="772"/>
      <c r="C571" s="76" t="s">
        <v>5570</v>
      </c>
      <c r="D571" s="76" t="s">
        <v>4923</v>
      </c>
      <c r="E571" s="76" t="s">
        <v>5571</v>
      </c>
      <c r="F571" s="76" t="s">
        <v>4963</v>
      </c>
      <c r="G571" s="76"/>
      <c r="H571" s="117">
        <v>10806.35</v>
      </c>
      <c r="I571" s="76"/>
    </row>
    <row r="572" spans="1:9">
      <c r="A572" s="772"/>
      <c r="B572" s="772"/>
      <c r="C572" s="76" t="s">
        <v>5572</v>
      </c>
      <c r="D572" s="76" t="s">
        <v>4919</v>
      </c>
      <c r="E572" s="76" t="s">
        <v>4970</v>
      </c>
      <c r="F572" s="76" t="s">
        <v>5573</v>
      </c>
      <c r="G572" s="76"/>
      <c r="H572" s="117">
        <v>10707.7</v>
      </c>
      <c r="I572" s="76"/>
    </row>
    <row r="573" spans="1:9">
      <c r="A573" s="772"/>
      <c r="B573" s="772"/>
      <c r="C573" s="76" t="s">
        <v>5574</v>
      </c>
      <c r="D573" s="76" t="s">
        <v>4923</v>
      </c>
      <c r="E573" s="76" t="s">
        <v>2590</v>
      </c>
      <c r="F573" s="76" t="s">
        <v>4949</v>
      </c>
      <c r="G573" s="76"/>
      <c r="H573" s="117">
        <v>10643.34</v>
      </c>
      <c r="I573" s="76"/>
    </row>
    <row r="574" spans="1:9">
      <c r="A574" s="772"/>
      <c r="B574" s="772"/>
      <c r="C574" s="76" t="s">
        <v>5575</v>
      </c>
      <c r="D574" s="76" t="s">
        <v>4923</v>
      </c>
      <c r="E574" s="76" t="s">
        <v>4970</v>
      </c>
      <c r="F574" s="76" t="s">
        <v>4925</v>
      </c>
      <c r="G574" s="76"/>
      <c r="H574" s="117">
        <v>10510</v>
      </c>
      <c r="I574" s="76"/>
    </row>
    <row r="575" spans="1:9">
      <c r="A575" s="772"/>
      <c r="B575" s="772"/>
      <c r="C575" s="76" t="s">
        <v>5576</v>
      </c>
      <c r="D575" s="76" t="s">
        <v>4919</v>
      </c>
      <c r="E575" s="76" t="s">
        <v>5135</v>
      </c>
      <c r="F575" s="76" t="s">
        <v>5047</v>
      </c>
      <c r="G575" s="76"/>
      <c r="H575" s="117">
        <v>10444.799999999999</v>
      </c>
      <c r="I575" s="76"/>
    </row>
    <row r="576" spans="1:9">
      <c r="A576" s="772"/>
      <c r="B576" s="772"/>
      <c r="C576" s="76" t="s">
        <v>5577</v>
      </c>
      <c r="D576" s="76" t="s">
        <v>4919</v>
      </c>
      <c r="E576" s="76" t="s">
        <v>5103</v>
      </c>
      <c r="F576" s="76" t="s">
        <v>5578</v>
      </c>
      <c r="G576" s="76"/>
      <c r="H576" s="117">
        <v>10426.16</v>
      </c>
      <c r="I576" s="76"/>
    </row>
    <row r="577" spans="1:9">
      <c r="A577" s="772"/>
      <c r="B577" s="772"/>
      <c r="C577" s="76" t="s">
        <v>5579</v>
      </c>
      <c r="D577" s="76" t="s">
        <v>4919</v>
      </c>
      <c r="E577" s="76" t="s">
        <v>5040</v>
      </c>
      <c r="F577" s="76" t="s">
        <v>5054</v>
      </c>
      <c r="G577" s="76"/>
      <c r="H577" s="117">
        <v>10286.11</v>
      </c>
      <c r="I577" s="76"/>
    </row>
    <row r="578" spans="1:9">
      <c r="A578" s="772"/>
      <c r="B578" s="772"/>
      <c r="C578" s="76" t="s">
        <v>5580</v>
      </c>
      <c r="D578" s="76" t="s">
        <v>4919</v>
      </c>
      <c r="E578" s="76" t="s">
        <v>4970</v>
      </c>
      <c r="F578" s="76" t="s">
        <v>5581</v>
      </c>
      <c r="G578" s="76"/>
      <c r="H578" s="117">
        <v>10285.36</v>
      </c>
      <c r="I578" s="76"/>
    </row>
    <row r="579" spans="1:9">
      <c r="A579" s="772"/>
      <c r="B579" s="772"/>
      <c r="C579" s="76" t="s">
        <v>5582</v>
      </c>
      <c r="D579" s="76" t="s">
        <v>4919</v>
      </c>
      <c r="E579" s="76" t="s">
        <v>4970</v>
      </c>
      <c r="F579" s="76" t="s">
        <v>5583</v>
      </c>
      <c r="G579" s="76"/>
      <c r="H579" s="117">
        <v>10224.19</v>
      </c>
      <c r="I579" s="76"/>
    </row>
    <row r="580" spans="1:9">
      <c r="A580" s="772"/>
      <c r="B580" s="772"/>
      <c r="C580" s="76" t="s">
        <v>5584</v>
      </c>
      <c r="D580" s="76" t="s">
        <v>4923</v>
      </c>
      <c r="E580" s="76" t="s">
        <v>4970</v>
      </c>
      <c r="F580" s="76" t="s">
        <v>4949</v>
      </c>
      <c r="G580" s="76"/>
      <c r="H580" s="117">
        <v>10220.459999999999</v>
      </c>
      <c r="I580" s="76"/>
    </row>
    <row r="581" spans="1:9">
      <c r="A581" s="772"/>
      <c r="B581" s="772"/>
      <c r="C581" s="76" t="s">
        <v>5585</v>
      </c>
      <c r="D581" s="76" t="s">
        <v>4919</v>
      </c>
      <c r="E581" s="76" t="s">
        <v>5040</v>
      </c>
      <c r="F581" s="76" t="s">
        <v>5586</v>
      </c>
      <c r="G581" s="76"/>
      <c r="H581" s="117">
        <v>10185</v>
      </c>
      <c r="I581" s="76"/>
    </row>
    <row r="582" spans="1:9">
      <c r="A582" s="772"/>
      <c r="B582" s="772"/>
      <c r="C582" s="76" t="s">
        <v>5587</v>
      </c>
      <c r="D582" s="76" t="s">
        <v>4919</v>
      </c>
      <c r="E582" s="76" t="s">
        <v>5040</v>
      </c>
      <c r="F582" s="76" t="s">
        <v>5588</v>
      </c>
      <c r="G582" s="76"/>
      <c r="H582" s="117">
        <v>10093.209999999999</v>
      </c>
      <c r="I582" s="76"/>
    </row>
    <row r="583" spans="1:9">
      <c r="A583" s="772"/>
      <c r="B583" s="772"/>
      <c r="C583" s="76" t="s">
        <v>5589</v>
      </c>
      <c r="D583" s="76" t="s">
        <v>4919</v>
      </c>
      <c r="E583" s="76" t="s">
        <v>5135</v>
      </c>
      <c r="F583" s="76" t="s">
        <v>5590</v>
      </c>
      <c r="G583" s="76"/>
      <c r="H583" s="117">
        <v>10080</v>
      </c>
      <c r="I583" s="76"/>
    </row>
    <row r="584" spans="1:9">
      <c r="A584" s="772"/>
      <c r="B584" s="772"/>
      <c r="C584" s="76" t="s">
        <v>5591</v>
      </c>
      <c r="D584" s="76" t="s">
        <v>4923</v>
      </c>
      <c r="E584" s="76" t="s">
        <v>5592</v>
      </c>
      <c r="F584" s="76" t="s">
        <v>4963</v>
      </c>
      <c r="G584" s="76"/>
      <c r="H584" s="117">
        <v>9944.3799999999992</v>
      </c>
      <c r="I584" s="76"/>
    </row>
    <row r="585" spans="1:9">
      <c r="A585" s="772"/>
      <c r="B585" s="772"/>
      <c r="C585" s="76" t="s">
        <v>5593</v>
      </c>
      <c r="D585" s="76" t="s">
        <v>4923</v>
      </c>
      <c r="E585" s="76" t="s">
        <v>5040</v>
      </c>
      <c r="F585" s="76" t="s">
        <v>4925</v>
      </c>
      <c r="G585" s="76"/>
      <c r="H585" s="117">
        <v>9822.32</v>
      </c>
      <c r="I585" s="76"/>
    </row>
    <row r="586" spans="1:9">
      <c r="A586" s="772"/>
      <c r="B586" s="772"/>
      <c r="C586" s="76" t="s">
        <v>5594</v>
      </c>
      <c r="D586" s="76" t="s">
        <v>4923</v>
      </c>
      <c r="E586" s="76" t="s">
        <v>5595</v>
      </c>
      <c r="F586" s="76" t="s">
        <v>4925</v>
      </c>
      <c r="G586" s="76"/>
      <c r="H586" s="117">
        <v>9682.41</v>
      </c>
      <c r="I586" s="76"/>
    </row>
    <row r="587" spans="1:9">
      <c r="A587" s="772"/>
      <c r="B587" s="772"/>
      <c r="C587" s="76" t="s">
        <v>5596</v>
      </c>
      <c r="D587" s="76" t="s">
        <v>4923</v>
      </c>
      <c r="E587" s="76" t="s">
        <v>5597</v>
      </c>
      <c r="F587" s="76" t="s">
        <v>4949</v>
      </c>
      <c r="G587" s="76"/>
      <c r="H587" s="117">
        <v>9676.5400000000009</v>
      </c>
      <c r="I587" s="76"/>
    </row>
    <row r="588" spans="1:9">
      <c r="A588" s="772"/>
      <c r="B588" s="772"/>
      <c r="C588" s="76" t="s">
        <v>5598</v>
      </c>
      <c r="D588" s="76" t="s">
        <v>4923</v>
      </c>
      <c r="E588" s="76" t="s">
        <v>5599</v>
      </c>
      <c r="F588" s="76" t="s">
        <v>4925</v>
      </c>
      <c r="G588" s="76"/>
      <c r="H588" s="117">
        <v>9676.23</v>
      </c>
      <c r="I588" s="76"/>
    </row>
    <row r="589" spans="1:9">
      <c r="A589" s="772"/>
      <c r="B589" s="772"/>
      <c r="C589" s="76" t="s">
        <v>5600</v>
      </c>
      <c r="D589" s="76" t="s">
        <v>4923</v>
      </c>
      <c r="E589" s="76" t="s">
        <v>4970</v>
      </c>
      <c r="F589" s="76" t="s">
        <v>4963</v>
      </c>
      <c r="G589" s="76"/>
      <c r="H589" s="117">
        <v>9600</v>
      </c>
      <c r="I589" s="76"/>
    </row>
    <row r="590" spans="1:9">
      <c r="A590" s="772"/>
      <c r="B590" s="772"/>
      <c r="C590" s="76" t="s">
        <v>5601</v>
      </c>
      <c r="D590" s="76" t="s">
        <v>4923</v>
      </c>
      <c r="E590" s="76" t="s">
        <v>5602</v>
      </c>
      <c r="F590" s="76" t="s">
        <v>4965</v>
      </c>
      <c r="G590" s="76"/>
      <c r="H590" s="117">
        <v>9455.02</v>
      </c>
      <c r="I590" s="76"/>
    </row>
    <row r="591" spans="1:9">
      <c r="A591" s="772"/>
      <c r="B591" s="772"/>
      <c r="C591" s="76" t="s">
        <v>5603</v>
      </c>
      <c r="D591" s="76" t="s">
        <v>4923</v>
      </c>
      <c r="E591" s="76" t="s">
        <v>5012</v>
      </c>
      <c r="F591" s="76" t="s">
        <v>4925</v>
      </c>
      <c r="G591" s="76"/>
      <c r="H591" s="117">
        <v>9212.68</v>
      </c>
      <c r="I591" s="76"/>
    </row>
    <row r="592" spans="1:9">
      <c r="A592" s="772"/>
      <c r="B592" s="772"/>
      <c r="C592" s="76" t="s">
        <v>5604</v>
      </c>
      <c r="D592" s="76" t="s">
        <v>4919</v>
      </c>
      <c r="E592" s="76" t="s">
        <v>5040</v>
      </c>
      <c r="F592" s="76" t="s">
        <v>5088</v>
      </c>
      <c r="G592" s="76"/>
      <c r="H592" s="117">
        <v>9192.84</v>
      </c>
      <c r="I592" s="76"/>
    </row>
    <row r="593" spans="1:9">
      <c r="A593" s="772"/>
      <c r="B593" s="772"/>
      <c r="C593" s="76" t="s">
        <v>5605</v>
      </c>
      <c r="D593" s="76" t="s">
        <v>4919</v>
      </c>
      <c r="E593" s="76" t="s">
        <v>5606</v>
      </c>
      <c r="F593" s="76" t="s">
        <v>5607</v>
      </c>
      <c r="G593" s="76"/>
      <c r="H593" s="117">
        <v>9063</v>
      </c>
      <c r="I593" s="76"/>
    </row>
    <row r="594" spans="1:9">
      <c r="A594" s="772"/>
      <c r="B594" s="772"/>
      <c r="C594" s="76" t="s">
        <v>5608</v>
      </c>
      <c r="D594" s="76" t="s">
        <v>4919</v>
      </c>
      <c r="E594" s="76" t="s">
        <v>5135</v>
      </c>
      <c r="F594" s="76" t="s">
        <v>5609</v>
      </c>
      <c r="G594" s="76"/>
      <c r="H594" s="117">
        <v>9000</v>
      </c>
      <c r="I594" s="76"/>
    </row>
    <row r="595" spans="1:9">
      <c r="A595" s="772"/>
      <c r="B595" s="772"/>
      <c r="C595" s="76" t="s">
        <v>5610</v>
      </c>
      <c r="D595" s="76" t="s">
        <v>4923</v>
      </c>
      <c r="E595" s="76" t="s">
        <v>5611</v>
      </c>
      <c r="F595" s="76" t="s">
        <v>4949</v>
      </c>
      <c r="G595" s="76"/>
      <c r="H595" s="117">
        <v>8885</v>
      </c>
      <c r="I595" s="76"/>
    </row>
    <row r="596" spans="1:9">
      <c r="A596" s="772"/>
      <c r="B596" s="772"/>
      <c r="C596" s="76" t="s">
        <v>5612</v>
      </c>
      <c r="D596" s="76" t="s">
        <v>4919</v>
      </c>
      <c r="E596" s="76" t="s">
        <v>5103</v>
      </c>
      <c r="F596" s="76" t="s">
        <v>5613</v>
      </c>
      <c r="G596" s="76"/>
      <c r="H596" s="117">
        <v>8852.48</v>
      </c>
      <c r="I596" s="76"/>
    </row>
    <row r="597" spans="1:9">
      <c r="A597" s="772"/>
      <c r="B597" s="772"/>
      <c r="C597" s="76" t="s">
        <v>5614</v>
      </c>
      <c r="D597" s="76" t="s">
        <v>4923</v>
      </c>
      <c r="E597" s="76" t="s">
        <v>5615</v>
      </c>
      <c r="F597" s="76" t="s">
        <v>4949</v>
      </c>
      <c r="G597" s="76"/>
      <c r="H597" s="117">
        <v>8713.17</v>
      </c>
      <c r="I597" s="76"/>
    </row>
    <row r="598" spans="1:9">
      <c r="A598" s="772"/>
      <c r="B598" s="772"/>
      <c r="C598" s="76" t="s">
        <v>5616</v>
      </c>
      <c r="D598" s="76" t="s">
        <v>4923</v>
      </c>
      <c r="E598" s="76" t="s">
        <v>5617</v>
      </c>
      <c r="F598" s="76" t="s">
        <v>4949</v>
      </c>
      <c r="G598" s="76"/>
      <c r="H598" s="117">
        <v>8658.92</v>
      </c>
      <c r="I598" s="76"/>
    </row>
    <row r="599" spans="1:9">
      <c r="A599" s="772"/>
      <c r="B599" s="772"/>
      <c r="C599" s="76" t="s">
        <v>5618</v>
      </c>
      <c r="D599" s="76" t="s">
        <v>4919</v>
      </c>
      <c r="E599" s="76" t="s">
        <v>5619</v>
      </c>
      <c r="F599" s="76" t="s">
        <v>4978</v>
      </c>
      <c r="G599" s="76"/>
      <c r="H599" s="117">
        <v>8361.9</v>
      </c>
      <c r="I599" s="76"/>
    </row>
    <row r="600" spans="1:9">
      <c r="A600" s="772"/>
      <c r="B600" s="772"/>
      <c r="C600" s="76" t="s">
        <v>5620</v>
      </c>
      <c r="D600" s="76" t="s">
        <v>4923</v>
      </c>
      <c r="E600" s="76" t="s">
        <v>5135</v>
      </c>
      <c r="F600" s="76" t="s">
        <v>4949</v>
      </c>
      <c r="G600" s="76"/>
      <c r="H600" s="117">
        <v>8200.99</v>
      </c>
      <c r="I600" s="76"/>
    </row>
    <row r="601" spans="1:9">
      <c r="A601" s="772"/>
      <c r="B601" s="772"/>
      <c r="C601" s="76" t="s">
        <v>5621</v>
      </c>
      <c r="D601" s="76" t="s">
        <v>4923</v>
      </c>
      <c r="E601" s="76" t="s">
        <v>5040</v>
      </c>
      <c r="F601" s="76" t="s">
        <v>4983</v>
      </c>
      <c r="G601" s="76"/>
      <c r="H601" s="117">
        <v>7943.52</v>
      </c>
      <c r="I601" s="76"/>
    </row>
    <row r="602" spans="1:9">
      <c r="A602" s="772"/>
      <c r="B602" s="772"/>
      <c r="C602" s="76" t="s">
        <v>5622</v>
      </c>
      <c r="D602" s="76" t="s">
        <v>4923</v>
      </c>
      <c r="E602" s="76" t="s">
        <v>5623</v>
      </c>
      <c r="F602" s="76" t="s">
        <v>4925</v>
      </c>
      <c r="G602" s="76"/>
      <c r="H602" s="117">
        <v>7929.73</v>
      </c>
      <c r="I602" s="76"/>
    </row>
    <row r="603" spans="1:9">
      <c r="A603" s="772"/>
      <c r="B603" s="772"/>
      <c r="C603" s="76" t="s">
        <v>5624</v>
      </c>
      <c r="D603" s="76" t="s">
        <v>4919</v>
      </c>
      <c r="E603" s="76" t="s">
        <v>5040</v>
      </c>
      <c r="F603" s="76" t="s">
        <v>5175</v>
      </c>
      <c r="G603" s="76"/>
      <c r="H603" s="117">
        <v>7802</v>
      </c>
      <c r="I603" s="76"/>
    </row>
    <row r="604" spans="1:9">
      <c r="A604" s="772"/>
      <c r="B604" s="772"/>
      <c r="C604" s="76" t="s">
        <v>5625</v>
      </c>
      <c r="D604" s="76" t="s">
        <v>4923</v>
      </c>
      <c r="E604" s="76" t="s">
        <v>5626</v>
      </c>
      <c r="F604" s="76" t="s">
        <v>5198</v>
      </c>
      <c r="G604" s="76"/>
      <c r="H604" s="117">
        <v>7725.6</v>
      </c>
      <c r="I604" s="76"/>
    </row>
    <row r="605" spans="1:9">
      <c r="A605" s="772"/>
      <c r="B605" s="772"/>
      <c r="C605" s="76" t="s">
        <v>5627</v>
      </c>
      <c r="D605" s="76" t="s">
        <v>4923</v>
      </c>
      <c r="E605" s="76" t="s">
        <v>5040</v>
      </c>
      <c r="F605" s="76" t="s">
        <v>4939</v>
      </c>
      <c r="G605" s="76"/>
      <c r="H605" s="117">
        <v>7479.22</v>
      </c>
      <c r="I605" s="76"/>
    </row>
    <row r="606" spans="1:9">
      <c r="A606" s="772"/>
      <c r="B606" s="772"/>
      <c r="C606" s="76" t="s">
        <v>5628</v>
      </c>
      <c r="D606" s="76" t="s">
        <v>4923</v>
      </c>
      <c r="E606" s="76" t="s">
        <v>5629</v>
      </c>
      <c r="F606" s="76" t="s">
        <v>4925</v>
      </c>
      <c r="G606" s="76"/>
      <c r="H606" s="117">
        <v>7318.46</v>
      </c>
      <c r="I606" s="76"/>
    </row>
    <row r="607" spans="1:9">
      <c r="A607" s="772"/>
      <c r="B607" s="772"/>
      <c r="C607" s="76" t="s">
        <v>5630</v>
      </c>
      <c r="D607" s="76" t="s">
        <v>4919</v>
      </c>
      <c r="E607" s="76" t="s">
        <v>5040</v>
      </c>
      <c r="F607" s="76" t="s">
        <v>5631</v>
      </c>
      <c r="G607" s="76"/>
      <c r="H607" s="117">
        <v>7275</v>
      </c>
      <c r="I607" s="76"/>
    </row>
    <row r="608" spans="1:9">
      <c r="A608" s="772"/>
      <c r="B608" s="772"/>
      <c r="C608" s="76" t="s">
        <v>5632</v>
      </c>
      <c r="D608" s="76" t="s">
        <v>4923</v>
      </c>
      <c r="E608" s="76" t="s">
        <v>5633</v>
      </c>
      <c r="F608" s="76" t="s">
        <v>4949</v>
      </c>
      <c r="G608" s="76"/>
      <c r="H608" s="117">
        <v>6991.46</v>
      </c>
      <c r="I608" s="76"/>
    </row>
    <row r="609" spans="1:9">
      <c r="A609" s="772"/>
      <c r="B609" s="772"/>
      <c r="C609" s="76" t="s">
        <v>5634</v>
      </c>
      <c r="D609" s="76" t="s">
        <v>4919</v>
      </c>
      <c r="E609" s="76" t="s">
        <v>5040</v>
      </c>
      <c r="F609" s="76" t="s">
        <v>5635</v>
      </c>
      <c r="G609" s="76"/>
      <c r="H609" s="117">
        <v>6979.04</v>
      </c>
      <c r="I609" s="76"/>
    </row>
    <row r="610" spans="1:9">
      <c r="A610" s="772"/>
      <c r="B610" s="772"/>
      <c r="C610" s="76" t="s">
        <v>5636</v>
      </c>
      <c r="D610" s="76" t="s">
        <v>4923</v>
      </c>
      <c r="E610" s="76" t="s">
        <v>5135</v>
      </c>
      <c r="F610" s="76" t="s">
        <v>4949</v>
      </c>
      <c r="G610" s="76"/>
      <c r="H610" s="117">
        <v>6821.31</v>
      </c>
      <c r="I610" s="76"/>
    </row>
    <row r="611" spans="1:9">
      <c r="A611" s="772"/>
      <c r="B611" s="772"/>
      <c r="C611" s="76" t="s">
        <v>5637</v>
      </c>
      <c r="D611" s="76" t="s">
        <v>4923</v>
      </c>
      <c r="E611" s="76" t="s">
        <v>5638</v>
      </c>
      <c r="F611" s="76" t="s">
        <v>4949</v>
      </c>
      <c r="G611" s="76"/>
      <c r="H611" s="117">
        <v>6715.8</v>
      </c>
      <c r="I611" s="76"/>
    </row>
    <row r="612" spans="1:9">
      <c r="A612" s="772"/>
      <c r="B612" s="772"/>
      <c r="C612" s="76" t="s">
        <v>5639</v>
      </c>
      <c r="D612" s="76" t="s">
        <v>4919</v>
      </c>
      <c r="E612" s="76" t="s">
        <v>5135</v>
      </c>
      <c r="F612" s="76" t="s">
        <v>5640</v>
      </c>
      <c r="G612" s="76"/>
      <c r="H612" s="117">
        <v>6658.99</v>
      </c>
      <c r="I612" s="76"/>
    </row>
    <row r="613" spans="1:9">
      <c r="A613" s="772"/>
      <c r="B613" s="772"/>
      <c r="C613" s="76" t="s">
        <v>5641</v>
      </c>
      <c r="D613" s="76" t="s">
        <v>4923</v>
      </c>
      <c r="E613" s="76" t="s">
        <v>5103</v>
      </c>
      <c r="F613" s="76" t="s">
        <v>4949</v>
      </c>
      <c r="G613" s="76"/>
      <c r="H613" s="117">
        <v>6402.24</v>
      </c>
      <c r="I613" s="76"/>
    </row>
    <row r="614" spans="1:9">
      <c r="A614" s="772"/>
      <c r="B614" s="772"/>
      <c r="C614" s="76" t="s">
        <v>5642</v>
      </c>
      <c r="D614" s="76" t="s">
        <v>4919</v>
      </c>
      <c r="E614" s="76" t="s">
        <v>5103</v>
      </c>
      <c r="F614" s="76" t="s">
        <v>5477</v>
      </c>
      <c r="G614" s="76"/>
      <c r="H614" s="117">
        <v>6360</v>
      </c>
      <c r="I614" s="76"/>
    </row>
    <row r="615" spans="1:9">
      <c r="A615" s="772"/>
      <c r="B615" s="772"/>
      <c r="C615" s="76" t="s">
        <v>5643</v>
      </c>
      <c r="D615" s="76" t="s">
        <v>4923</v>
      </c>
      <c r="E615" s="76" t="s">
        <v>5644</v>
      </c>
      <c r="F615" s="76" t="s">
        <v>4925</v>
      </c>
      <c r="G615" s="76"/>
      <c r="H615" s="117">
        <v>6329.29</v>
      </c>
      <c r="I615" s="76"/>
    </row>
    <row r="616" spans="1:9">
      <c r="A616" s="772"/>
      <c r="B616" s="772"/>
      <c r="C616" s="76" t="s">
        <v>5645</v>
      </c>
      <c r="D616" s="76" t="s">
        <v>4923</v>
      </c>
      <c r="E616" s="76" t="s">
        <v>5103</v>
      </c>
      <c r="F616" s="76" t="s">
        <v>4925</v>
      </c>
      <c r="G616" s="76"/>
      <c r="H616" s="117">
        <v>6157.08</v>
      </c>
      <c r="I616" s="76"/>
    </row>
    <row r="617" spans="1:9">
      <c r="A617" s="772"/>
      <c r="B617" s="772"/>
      <c r="C617" s="76" t="s">
        <v>5646</v>
      </c>
      <c r="D617" s="76" t="s">
        <v>4923</v>
      </c>
      <c r="E617" s="76" t="s">
        <v>5647</v>
      </c>
      <c r="F617" s="76" t="s">
        <v>4983</v>
      </c>
      <c r="G617" s="76"/>
      <c r="H617" s="117">
        <v>5708.67</v>
      </c>
      <c r="I617" s="76"/>
    </row>
    <row r="618" spans="1:9">
      <c r="A618" s="772"/>
      <c r="B618" s="772"/>
      <c r="C618" s="76" t="s">
        <v>5648</v>
      </c>
      <c r="D618" s="76" t="s">
        <v>4919</v>
      </c>
      <c r="E618" s="76" t="s">
        <v>5095</v>
      </c>
      <c r="F618" s="76" t="s">
        <v>4978</v>
      </c>
      <c r="G618" s="76"/>
      <c r="H618" s="117">
        <v>5529.82</v>
      </c>
      <c r="I618" s="76"/>
    </row>
    <row r="619" spans="1:9">
      <c r="A619" s="772"/>
      <c r="B619" s="772"/>
      <c r="C619" s="76" t="s">
        <v>5649</v>
      </c>
      <c r="D619" s="76" t="s">
        <v>4919</v>
      </c>
      <c r="E619" s="76" t="s">
        <v>5103</v>
      </c>
      <c r="F619" s="76" t="s">
        <v>5314</v>
      </c>
      <c r="G619" s="76"/>
      <c r="H619" s="117">
        <v>5451</v>
      </c>
      <c r="I619" s="76"/>
    </row>
    <row r="620" spans="1:9">
      <c r="A620" s="772"/>
      <c r="B620" s="772"/>
      <c r="C620" s="76" t="s">
        <v>5650</v>
      </c>
      <c r="D620" s="76" t="s">
        <v>4919</v>
      </c>
      <c r="E620" s="76" t="s">
        <v>5103</v>
      </c>
      <c r="F620" s="76" t="s">
        <v>5066</v>
      </c>
      <c r="G620" s="76"/>
      <c r="H620" s="117">
        <v>5278.2199999999993</v>
      </c>
      <c r="I620" s="76"/>
    </row>
    <row r="621" spans="1:9">
      <c r="A621" s="772"/>
      <c r="B621" s="772"/>
      <c r="C621" s="76" t="s">
        <v>5651</v>
      </c>
      <c r="D621" s="76" t="s">
        <v>4919</v>
      </c>
      <c r="E621" s="76" t="s">
        <v>5040</v>
      </c>
      <c r="F621" s="76" t="s">
        <v>5652</v>
      </c>
      <c r="G621" s="76"/>
      <c r="H621" s="117">
        <v>5049</v>
      </c>
      <c r="I621" s="76"/>
    </row>
    <row r="622" spans="1:9">
      <c r="A622" s="772"/>
      <c r="B622" s="772"/>
      <c r="C622" s="76" t="s">
        <v>5653</v>
      </c>
      <c r="D622" s="76" t="s">
        <v>4919</v>
      </c>
      <c r="E622" s="76" t="s">
        <v>5040</v>
      </c>
      <c r="F622" s="76" t="s">
        <v>5175</v>
      </c>
      <c r="G622" s="76"/>
      <c r="H622" s="117">
        <v>5000</v>
      </c>
      <c r="I622" s="76"/>
    </row>
    <row r="623" spans="1:9">
      <c r="A623" s="772"/>
      <c r="B623" s="772"/>
      <c r="C623" s="76" t="s">
        <v>5654</v>
      </c>
      <c r="D623" s="76" t="s">
        <v>4919</v>
      </c>
      <c r="E623" s="76" t="s">
        <v>5135</v>
      </c>
      <c r="F623" s="76" t="s">
        <v>5655</v>
      </c>
      <c r="G623" s="76"/>
      <c r="H623" s="117">
        <v>4978.75</v>
      </c>
      <c r="I623" s="76"/>
    </row>
    <row r="624" spans="1:9">
      <c r="A624" s="772"/>
      <c r="B624" s="772"/>
      <c r="C624" s="76" t="s">
        <v>5656</v>
      </c>
      <c r="D624" s="76" t="s">
        <v>4919</v>
      </c>
      <c r="E624" s="76" t="s">
        <v>5103</v>
      </c>
      <c r="F624" s="76" t="s">
        <v>5657</v>
      </c>
      <c r="G624" s="76"/>
      <c r="H624" s="117">
        <v>4612.92</v>
      </c>
      <c r="I624" s="76"/>
    </row>
    <row r="625" spans="1:9">
      <c r="A625" s="772"/>
      <c r="B625" s="772"/>
      <c r="C625" s="76" t="s">
        <v>5658</v>
      </c>
      <c r="D625" s="76" t="s">
        <v>4919</v>
      </c>
      <c r="E625" s="76" t="s">
        <v>5135</v>
      </c>
      <c r="F625" s="76" t="s">
        <v>5047</v>
      </c>
      <c r="G625" s="76"/>
      <c r="H625" s="117">
        <v>4550</v>
      </c>
      <c r="I625" s="76"/>
    </row>
    <row r="626" spans="1:9">
      <c r="A626" s="772"/>
      <c r="B626" s="772"/>
      <c r="C626" s="76" t="s">
        <v>5659</v>
      </c>
      <c r="D626" s="76" t="s">
        <v>4919</v>
      </c>
      <c r="E626" s="76" t="s">
        <v>5103</v>
      </c>
      <c r="F626" s="76" t="s">
        <v>5477</v>
      </c>
      <c r="G626" s="76"/>
      <c r="H626" s="117">
        <v>4517.16</v>
      </c>
      <c r="I626" s="76"/>
    </row>
    <row r="627" spans="1:9">
      <c r="A627" s="772"/>
      <c r="B627" s="772"/>
      <c r="C627" s="76" t="s">
        <v>5660</v>
      </c>
      <c r="D627" s="76" t="s">
        <v>4923</v>
      </c>
      <c r="E627" s="76" t="s">
        <v>5661</v>
      </c>
      <c r="F627" s="76" t="s">
        <v>4949</v>
      </c>
      <c r="G627" s="76"/>
      <c r="H627" s="117">
        <v>4138.53</v>
      </c>
      <c r="I627" s="76"/>
    </row>
    <row r="628" spans="1:9">
      <c r="A628" s="772"/>
      <c r="B628" s="772"/>
      <c r="C628" s="76" t="s">
        <v>5662</v>
      </c>
      <c r="D628" s="76" t="s">
        <v>4919</v>
      </c>
      <c r="E628" s="76" t="s">
        <v>5103</v>
      </c>
      <c r="F628" s="76" t="s">
        <v>5663</v>
      </c>
      <c r="G628" s="76"/>
      <c r="H628" s="117">
        <v>4096</v>
      </c>
      <c r="I628" s="76"/>
    </row>
    <row r="629" spans="1:9">
      <c r="A629" s="772"/>
      <c r="B629" s="772"/>
      <c r="C629" s="76" t="s">
        <v>5664</v>
      </c>
      <c r="D629" s="76" t="s">
        <v>4923</v>
      </c>
      <c r="E629" s="76" t="s">
        <v>5665</v>
      </c>
      <c r="F629" s="76" t="s">
        <v>4949</v>
      </c>
      <c r="G629" s="76"/>
      <c r="H629" s="117">
        <v>4084.33</v>
      </c>
      <c r="I629" s="76"/>
    </row>
    <row r="630" spans="1:9">
      <c r="A630" s="772"/>
      <c r="B630" s="772"/>
      <c r="C630" s="76" t="s">
        <v>5666</v>
      </c>
      <c r="D630" s="76" t="s">
        <v>4923</v>
      </c>
      <c r="E630" s="76" t="s">
        <v>5040</v>
      </c>
      <c r="F630" s="76" t="s">
        <v>4949</v>
      </c>
      <c r="G630" s="76"/>
      <c r="H630" s="117">
        <v>4011.28</v>
      </c>
      <c r="I630" s="76"/>
    </row>
    <row r="631" spans="1:9">
      <c r="A631" s="772"/>
      <c r="B631" s="772"/>
      <c r="C631" s="76" t="s">
        <v>5667</v>
      </c>
      <c r="D631" s="76" t="s">
        <v>4923</v>
      </c>
      <c r="E631" s="76" t="s">
        <v>5103</v>
      </c>
      <c r="F631" s="76" t="s">
        <v>4925</v>
      </c>
      <c r="G631" s="76"/>
      <c r="H631" s="117">
        <v>3919.42</v>
      </c>
      <c r="I631" s="76"/>
    </row>
    <row r="632" spans="1:9">
      <c r="A632" s="772"/>
      <c r="B632" s="772"/>
      <c r="C632" s="76" t="s">
        <v>5668</v>
      </c>
      <c r="D632" s="76" t="s">
        <v>4923</v>
      </c>
      <c r="E632" s="76" t="s">
        <v>5669</v>
      </c>
      <c r="F632" s="76" t="s">
        <v>4983</v>
      </c>
      <c r="G632" s="76"/>
      <c r="H632" s="117">
        <v>3799.54</v>
      </c>
      <c r="I632" s="76"/>
    </row>
    <row r="633" spans="1:9">
      <c r="A633" s="772"/>
      <c r="B633" s="772"/>
      <c r="C633" s="76" t="s">
        <v>5670</v>
      </c>
      <c r="D633" s="76" t="s">
        <v>4919</v>
      </c>
      <c r="E633" s="76" t="s">
        <v>5103</v>
      </c>
      <c r="F633" s="76" t="s">
        <v>5671</v>
      </c>
      <c r="G633" s="76"/>
      <c r="H633" s="117">
        <v>3784.57</v>
      </c>
      <c r="I633" s="76"/>
    </row>
    <row r="634" spans="1:9">
      <c r="A634" s="772"/>
      <c r="B634" s="772"/>
      <c r="C634" s="76" t="s">
        <v>5672</v>
      </c>
      <c r="D634" s="76" t="s">
        <v>4919</v>
      </c>
      <c r="E634" s="76" t="s">
        <v>5103</v>
      </c>
      <c r="F634" s="76" t="s">
        <v>5175</v>
      </c>
      <c r="G634" s="76"/>
      <c r="H634" s="117">
        <v>3765</v>
      </c>
      <c r="I634" s="76"/>
    </row>
    <row r="635" spans="1:9">
      <c r="A635" s="772"/>
      <c r="B635" s="772"/>
      <c r="C635" s="76" t="s">
        <v>5673</v>
      </c>
      <c r="D635" s="76" t="s">
        <v>4919</v>
      </c>
      <c r="E635" s="76" t="s">
        <v>5103</v>
      </c>
      <c r="F635" s="76" t="s">
        <v>4921</v>
      </c>
      <c r="G635" s="76"/>
      <c r="H635" s="117">
        <v>3340</v>
      </c>
      <c r="I635" s="76"/>
    </row>
    <row r="636" spans="1:9">
      <c r="A636" s="772"/>
      <c r="B636" s="772"/>
      <c r="C636" s="76" t="s">
        <v>5674</v>
      </c>
      <c r="D636" s="76" t="s">
        <v>4923</v>
      </c>
      <c r="E636" s="76" t="s">
        <v>5675</v>
      </c>
      <c r="F636" s="76" t="s">
        <v>4925</v>
      </c>
      <c r="G636" s="76"/>
      <c r="H636" s="117">
        <v>3134.04</v>
      </c>
      <c r="I636" s="76"/>
    </row>
    <row r="637" spans="1:9">
      <c r="A637" s="772"/>
      <c r="B637" s="772"/>
      <c r="C637" s="76" t="s">
        <v>5676</v>
      </c>
      <c r="D637" s="76" t="s">
        <v>4923</v>
      </c>
      <c r="E637" s="76" t="s">
        <v>5677</v>
      </c>
      <c r="F637" s="76" t="s">
        <v>4949</v>
      </c>
      <c r="G637" s="76"/>
      <c r="H637" s="117">
        <v>3119.74</v>
      </c>
      <c r="I637" s="76"/>
    </row>
    <row r="638" spans="1:9">
      <c r="A638" s="772"/>
      <c r="B638" s="772"/>
      <c r="C638" s="76" t="s">
        <v>5678</v>
      </c>
      <c r="D638" s="76" t="s">
        <v>4923</v>
      </c>
      <c r="E638" s="76" t="s">
        <v>5040</v>
      </c>
      <c r="F638" s="76" t="s">
        <v>4939</v>
      </c>
      <c r="G638" s="76"/>
      <c r="H638" s="117">
        <v>3099.6</v>
      </c>
      <c r="I638" s="76"/>
    </row>
    <row r="639" spans="1:9">
      <c r="A639" s="772"/>
      <c r="B639" s="772"/>
      <c r="C639" s="76" t="s">
        <v>5679</v>
      </c>
      <c r="D639" s="76" t="s">
        <v>4923</v>
      </c>
      <c r="E639" s="76" t="s">
        <v>5040</v>
      </c>
      <c r="F639" s="76" t="s">
        <v>4939</v>
      </c>
      <c r="G639" s="76"/>
      <c r="H639" s="117">
        <v>3050</v>
      </c>
      <c r="I639" s="76"/>
    </row>
    <row r="640" spans="1:9">
      <c r="A640" s="772"/>
      <c r="B640" s="772"/>
      <c r="C640" s="76" t="s">
        <v>5680</v>
      </c>
      <c r="D640" s="76" t="s">
        <v>4923</v>
      </c>
      <c r="E640" s="76" t="s">
        <v>5681</v>
      </c>
      <c r="F640" s="76" t="s">
        <v>4939</v>
      </c>
      <c r="G640" s="76"/>
      <c r="H640" s="117">
        <v>3044.78</v>
      </c>
      <c r="I640" s="76"/>
    </row>
    <row r="641" spans="1:9">
      <c r="A641" s="772"/>
      <c r="B641" s="772"/>
      <c r="C641" s="76" t="s">
        <v>5682</v>
      </c>
      <c r="D641" s="76" t="s">
        <v>4919</v>
      </c>
      <c r="E641" s="76" t="s">
        <v>5040</v>
      </c>
      <c r="F641" s="76" t="s">
        <v>5181</v>
      </c>
      <c r="G641" s="76"/>
      <c r="H641" s="117">
        <v>2900.41</v>
      </c>
      <c r="I641" s="76"/>
    </row>
    <row r="642" spans="1:9">
      <c r="A642" s="772"/>
      <c r="B642" s="772"/>
      <c r="C642" s="76" t="s">
        <v>5683</v>
      </c>
      <c r="D642" s="76" t="s">
        <v>4919</v>
      </c>
      <c r="E642" s="76" t="s">
        <v>5040</v>
      </c>
      <c r="F642" s="76" t="s">
        <v>4955</v>
      </c>
      <c r="G642" s="76"/>
      <c r="H642" s="117">
        <v>2684.5</v>
      </c>
      <c r="I642" s="76"/>
    </row>
    <row r="643" spans="1:9">
      <c r="A643" s="772"/>
      <c r="B643" s="772"/>
      <c r="C643" s="76" t="s">
        <v>5684</v>
      </c>
      <c r="D643" s="76" t="s">
        <v>4919</v>
      </c>
      <c r="E643" s="76" t="s">
        <v>5040</v>
      </c>
      <c r="F643" s="76" t="s">
        <v>5024</v>
      </c>
      <c r="G643" s="76"/>
      <c r="H643" s="117">
        <v>2684.5</v>
      </c>
      <c r="I643" s="76"/>
    </row>
    <row r="644" spans="1:9">
      <c r="A644" s="772"/>
      <c r="B644" s="772"/>
      <c r="C644" s="76" t="s">
        <v>5685</v>
      </c>
      <c r="D644" s="76" t="s">
        <v>4923</v>
      </c>
      <c r="E644" s="76" t="s">
        <v>5040</v>
      </c>
      <c r="F644" s="76" t="s">
        <v>4949</v>
      </c>
      <c r="G644" s="76"/>
      <c r="H644" s="117">
        <v>2613.2600000000002</v>
      </c>
      <c r="I644" s="76"/>
    </row>
    <row r="645" spans="1:9">
      <c r="A645" s="772"/>
      <c r="B645" s="772"/>
      <c r="C645" s="76" t="s">
        <v>5686</v>
      </c>
      <c r="D645" s="76" t="s">
        <v>4923</v>
      </c>
      <c r="E645" s="76" t="s">
        <v>5040</v>
      </c>
      <c r="F645" s="76" t="s">
        <v>4949</v>
      </c>
      <c r="G645" s="76"/>
      <c r="H645" s="117">
        <v>2404.75</v>
      </c>
      <c r="I645" s="76"/>
    </row>
    <row r="646" spans="1:9">
      <c r="A646" s="772"/>
      <c r="B646" s="772"/>
      <c r="C646" s="76" t="s">
        <v>5687</v>
      </c>
      <c r="D646" s="76" t="s">
        <v>4923</v>
      </c>
      <c r="E646" s="76" t="s">
        <v>5688</v>
      </c>
      <c r="F646" s="76" t="s">
        <v>4963</v>
      </c>
      <c r="G646" s="76"/>
      <c r="H646" s="117">
        <v>2366.23</v>
      </c>
      <c r="I646" s="76"/>
    </row>
    <row r="647" spans="1:9">
      <c r="A647" s="772"/>
      <c r="B647" s="772"/>
      <c r="C647" s="76" t="s">
        <v>5689</v>
      </c>
      <c r="D647" s="76" t="s">
        <v>4919</v>
      </c>
      <c r="E647" s="76" t="s">
        <v>5040</v>
      </c>
      <c r="F647" s="76" t="s">
        <v>5690</v>
      </c>
      <c r="G647" s="76"/>
      <c r="H647" s="117">
        <v>2157.1</v>
      </c>
      <c r="I647" s="76"/>
    </row>
    <row r="648" spans="1:9">
      <c r="A648" s="772"/>
      <c r="B648" s="772"/>
      <c r="C648" s="76" t="s">
        <v>5691</v>
      </c>
      <c r="D648" s="76" t="s">
        <v>4919</v>
      </c>
      <c r="E648" s="76" t="s">
        <v>5040</v>
      </c>
      <c r="F648" s="76" t="s">
        <v>5692</v>
      </c>
      <c r="G648" s="76"/>
      <c r="H648" s="117">
        <v>2071.4899999999998</v>
      </c>
      <c r="I648" s="76"/>
    </row>
    <row r="649" spans="1:9">
      <c r="A649" s="772"/>
      <c r="B649" s="772"/>
      <c r="C649" s="76" t="s">
        <v>5693</v>
      </c>
      <c r="D649" s="76" t="s">
        <v>4919</v>
      </c>
      <c r="E649" s="76" t="s">
        <v>5040</v>
      </c>
      <c r="F649" s="76" t="s">
        <v>5175</v>
      </c>
      <c r="G649" s="76"/>
      <c r="H649" s="117">
        <v>2000</v>
      </c>
      <c r="I649" s="76"/>
    </row>
    <row r="650" spans="1:9">
      <c r="A650" s="772"/>
      <c r="B650" s="772"/>
      <c r="C650" s="76" t="s">
        <v>5694</v>
      </c>
      <c r="D650" s="76" t="s">
        <v>4923</v>
      </c>
      <c r="E650" s="76" t="s">
        <v>5040</v>
      </c>
      <c r="F650" s="76" t="s">
        <v>4949</v>
      </c>
      <c r="G650" s="76"/>
      <c r="H650" s="117">
        <v>1865.12</v>
      </c>
      <c r="I650" s="76"/>
    </row>
    <row r="651" spans="1:9">
      <c r="A651" s="772"/>
      <c r="B651" s="772"/>
      <c r="C651" s="76" t="s">
        <v>5695</v>
      </c>
      <c r="D651" s="76" t="s">
        <v>4923</v>
      </c>
      <c r="E651" s="76" t="s">
        <v>5696</v>
      </c>
      <c r="F651" s="76" t="s">
        <v>4949</v>
      </c>
      <c r="G651" s="76"/>
      <c r="H651" s="117">
        <v>1776.09</v>
      </c>
      <c r="I651" s="76"/>
    </row>
    <row r="652" spans="1:9">
      <c r="A652" s="772"/>
      <c r="B652" s="772"/>
      <c r="C652" s="76" t="s">
        <v>5697</v>
      </c>
      <c r="D652" s="76" t="s">
        <v>4919</v>
      </c>
      <c r="E652" s="76" t="s">
        <v>5040</v>
      </c>
      <c r="F652" s="76" t="s">
        <v>5698</v>
      </c>
      <c r="G652" s="76"/>
      <c r="H652" s="117">
        <v>1652</v>
      </c>
      <c r="I652" s="76"/>
    </row>
    <row r="653" spans="1:9">
      <c r="A653" s="772"/>
      <c r="B653" s="772"/>
      <c r="C653" s="76" t="s">
        <v>5699</v>
      </c>
      <c r="D653" s="76" t="s">
        <v>4923</v>
      </c>
      <c r="E653" s="76" t="s">
        <v>5700</v>
      </c>
      <c r="F653" s="76" t="s">
        <v>4949</v>
      </c>
      <c r="G653" s="76"/>
      <c r="H653" s="117">
        <v>1532.98</v>
      </c>
      <c r="I653" s="76"/>
    </row>
    <row r="654" spans="1:9">
      <c r="A654" s="772"/>
      <c r="B654" s="772"/>
      <c r="C654" s="76" t="s">
        <v>5701</v>
      </c>
      <c r="D654" s="76" t="s">
        <v>4919</v>
      </c>
      <c r="E654" s="76" t="s">
        <v>4970</v>
      </c>
      <c r="F654" s="76" t="s">
        <v>5702</v>
      </c>
      <c r="G654" s="76"/>
      <c r="H654" s="117">
        <v>1483.68</v>
      </c>
      <c r="I654" s="76"/>
    </row>
    <row r="655" spans="1:9">
      <c r="A655" s="772"/>
      <c r="B655" s="772"/>
      <c r="C655" s="76" t="s">
        <v>5703</v>
      </c>
      <c r="D655" s="76" t="s">
        <v>4923</v>
      </c>
      <c r="E655" s="76" t="s">
        <v>5704</v>
      </c>
      <c r="F655" s="76" t="s">
        <v>4963</v>
      </c>
      <c r="G655" s="76"/>
      <c r="H655" s="117">
        <v>1232.1500000000001</v>
      </c>
      <c r="I655" s="76"/>
    </row>
    <row r="656" spans="1:9">
      <c r="A656" s="772"/>
      <c r="B656" s="772"/>
      <c r="C656" s="76" t="s">
        <v>5705</v>
      </c>
      <c r="D656" s="76" t="s">
        <v>4919</v>
      </c>
      <c r="E656" s="76" t="s">
        <v>5103</v>
      </c>
      <c r="F656" s="76" t="s">
        <v>5314</v>
      </c>
      <c r="G656" s="76"/>
      <c r="H656" s="117">
        <v>1214.6099999999999</v>
      </c>
      <c r="I656" s="76"/>
    </row>
    <row r="657" spans="1:9">
      <c r="A657" s="772"/>
      <c r="B657" s="772"/>
      <c r="C657" s="76" t="s">
        <v>5706</v>
      </c>
      <c r="D657" s="76" t="s">
        <v>4919</v>
      </c>
      <c r="E657" s="76" t="s">
        <v>5040</v>
      </c>
      <c r="F657" s="76" t="s">
        <v>5707</v>
      </c>
      <c r="G657" s="76"/>
      <c r="H657" s="117">
        <v>1200.42</v>
      </c>
      <c r="I657" s="76"/>
    </row>
    <row r="658" spans="1:9">
      <c r="A658" s="772"/>
      <c r="B658" s="772"/>
      <c r="C658" s="76" t="s">
        <v>5708</v>
      </c>
      <c r="D658" s="76" t="s">
        <v>4919</v>
      </c>
      <c r="E658" s="76" t="s">
        <v>5040</v>
      </c>
      <c r="F658" s="76" t="s">
        <v>5709</v>
      </c>
      <c r="G658" s="76"/>
      <c r="H658" s="117">
        <v>1127.82</v>
      </c>
      <c r="I658" s="76"/>
    </row>
    <row r="659" spans="1:9">
      <c r="A659" s="772"/>
      <c r="B659" s="772"/>
      <c r="C659" s="76" t="s">
        <v>5710</v>
      </c>
      <c r="D659" s="76" t="s">
        <v>4919</v>
      </c>
      <c r="E659" s="76" t="s">
        <v>5135</v>
      </c>
      <c r="F659" s="76" t="s">
        <v>5711</v>
      </c>
      <c r="G659" s="76"/>
      <c r="H659" s="117">
        <v>999.95</v>
      </c>
      <c r="I659" s="76"/>
    </row>
    <row r="660" spans="1:9">
      <c r="A660" s="772"/>
      <c r="B660" s="772"/>
      <c r="C660" s="76" t="s">
        <v>5712</v>
      </c>
      <c r="D660" s="76" t="s">
        <v>4923</v>
      </c>
      <c r="E660" s="76" t="s">
        <v>2695</v>
      </c>
      <c r="F660" s="76" t="s">
        <v>4963</v>
      </c>
      <c r="G660" s="76"/>
      <c r="H660" s="117">
        <v>936.33</v>
      </c>
      <c r="I660" s="76"/>
    </row>
    <row r="661" spans="1:9">
      <c r="A661" s="772"/>
      <c r="B661" s="772"/>
      <c r="C661" s="76" t="s">
        <v>5713</v>
      </c>
      <c r="D661" s="76" t="s">
        <v>4919</v>
      </c>
      <c r="E661" s="76" t="s">
        <v>5095</v>
      </c>
      <c r="F661" s="76" t="s">
        <v>5066</v>
      </c>
      <c r="G661" s="76"/>
      <c r="H661" s="117">
        <v>869.16</v>
      </c>
      <c r="I661" s="76"/>
    </row>
    <row r="662" spans="1:9">
      <c r="A662" s="772"/>
      <c r="B662" s="772"/>
      <c r="C662" s="76" t="s">
        <v>5714</v>
      </c>
      <c r="D662" s="76" t="s">
        <v>4919</v>
      </c>
      <c r="E662" s="76" t="s">
        <v>5103</v>
      </c>
      <c r="F662" s="76" t="s">
        <v>5175</v>
      </c>
      <c r="G662" s="76"/>
      <c r="H662" s="117">
        <v>662.82</v>
      </c>
      <c r="I662" s="76"/>
    </row>
    <row r="663" spans="1:9">
      <c r="A663" s="772"/>
      <c r="B663" s="772"/>
      <c r="C663" s="76" t="s">
        <v>5715</v>
      </c>
      <c r="D663" s="76" t="s">
        <v>4919</v>
      </c>
      <c r="E663" s="76" t="s">
        <v>5040</v>
      </c>
      <c r="F663" s="76" t="s">
        <v>5314</v>
      </c>
      <c r="G663" s="76"/>
      <c r="H663" s="117">
        <v>474.34</v>
      </c>
      <c r="I663" s="76"/>
    </row>
    <row r="664" spans="1:9">
      <c r="A664" s="772"/>
      <c r="B664" s="772"/>
      <c r="C664" s="76" t="s">
        <v>5716</v>
      </c>
      <c r="D664" s="76" t="s">
        <v>4919</v>
      </c>
      <c r="E664" s="76" t="s">
        <v>5135</v>
      </c>
      <c r="F664" s="76" t="s">
        <v>5076</v>
      </c>
      <c r="G664" s="76"/>
      <c r="H664" s="117">
        <v>396.58</v>
      </c>
      <c r="I664" s="76"/>
    </row>
    <row r="665" spans="1:9">
      <c r="A665" s="772"/>
      <c r="B665" s="772"/>
      <c r="C665" s="76" t="s">
        <v>5717</v>
      </c>
      <c r="D665" s="76" t="s">
        <v>4919</v>
      </c>
      <c r="E665" s="76" t="s">
        <v>5040</v>
      </c>
      <c r="F665" s="76" t="s">
        <v>5718</v>
      </c>
      <c r="G665" s="76"/>
      <c r="H665" s="117">
        <v>293.77</v>
      </c>
      <c r="I665" s="76"/>
    </row>
    <row r="666" spans="1:9">
      <c r="A666" s="772"/>
      <c r="B666" s="772"/>
      <c r="C666" s="76" t="s">
        <v>5719</v>
      </c>
      <c r="D666" s="76" t="s">
        <v>4919</v>
      </c>
      <c r="E666" s="76" t="s">
        <v>5135</v>
      </c>
      <c r="F666" s="76" t="s">
        <v>5314</v>
      </c>
      <c r="G666" s="76"/>
      <c r="H666" s="117">
        <v>160</v>
      </c>
      <c r="I666" s="76"/>
    </row>
    <row r="667" spans="1:9">
      <c r="A667" s="772"/>
      <c r="B667" s="772"/>
      <c r="C667" s="76" t="s">
        <v>5720</v>
      </c>
      <c r="D667" s="76" t="s">
        <v>4919</v>
      </c>
      <c r="E667" s="76" t="s">
        <v>5135</v>
      </c>
      <c r="F667" s="76" t="s">
        <v>5175</v>
      </c>
      <c r="G667" s="76"/>
      <c r="H667" s="117">
        <v>52.69</v>
      </c>
      <c r="I667" s="76"/>
    </row>
    <row r="668" spans="1:9">
      <c r="A668" s="576">
        <v>10</v>
      </c>
      <c r="B668" s="576" t="s">
        <v>666</v>
      </c>
      <c r="C668" s="74" t="s">
        <v>5721</v>
      </c>
      <c r="D668" s="74" t="s">
        <v>4690</v>
      </c>
      <c r="E668" s="74" t="s">
        <v>2695</v>
      </c>
      <c r="F668" s="74" t="s">
        <v>5722</v>
      </c>
      <c r="G668" s="74">
        <v>4</v>
      </c>
      <c r="H668" s="116">
        <v>1508933.33</v>
      </c>
      <c r="I668" s="74"/>
    </row>
    <row r="669" spans="1:9">
      <c r="A669" s="584"/>
      <c r="B669" s="584"/>
      <c r="C669" s="74" t="s">
        <v>5723</v>
      </c>
      <c r="D669" s="74" t="s">
        <v>4690</v>
      </c>
      <c r="E669" s="74" t="s">
        <v>5724</v>
      </c>
      <c r="F669" s="74" t="s">
        <v>5725</v>
      </c>
      <c r="G669" s="74">
        <v>1</v>
      </c>
      <c r="H669" s="116">
        <v>6316780.8899999997</v>
      </c>
      <c r="I669" s="74"/>
    </row>
    <row r="670" spans="1:9">
      <c r="A670" s="584"/>
      <c r="B670" s="584"/>
      <c r="C670" s="74" t="s">
        <v>5726</v>
      </c>
      <c r="D670" s="74" t="s">
        <v>4690</v>
      </c>
      <c r="E670" s="74" t="s">
        <v>5727</v>
      </c>
      <c r="F670" s="74" t="s">
        <v>5728</v>
      </c>
      <c r="G670" s="74">
        <v>8</v>
      </c>
      <c r="H670" s="116">
        <v>3834457.71</v>
      </c>
      <c r="I670" s="74"/>
    </row>
    <row r="671" spans="1:9">
      <c r="A671" s="584"/>
      <c r="B671" s="584"/>
      <c r="C671" s="74" t="s">
        <v>5729</v>
      </c>
      <c r="D671" s="74" t="s">
        <v>4690</v>
      </c>
      <c r="E671" s="74" t="s">
        <v>5730</v>
      </c>
      <c r="F671" s="74" t="s">
        <v>5731</v>
      </c>
      <c r="G671" s="74">
        <v>15</v>
      </c>
      <c r="H671" s="116">
        <v>7369533.9800000004</v>
      </c>
      <c r="I671" s="74"/>
    </row>
    <row r="672" spans="1:9">
      <c r="A672" s="584"/>
      <c r="B672" s="584"/>
      <c r="C672" s="74" t="s">
        <v>5732</v>
      </c>
      <c r="D672" s="74" t="s">
        <v>4690</v>
      </c>
      <c r="E672" s="74" t="s">
        <v>667</v>
      </c>
      <c r="F672" s="74" t="s">
        <v>5733</v>
      </c>
      <c r="G672" s="74" t="s">
        <v>619</v>
      </c>
      <c r="H672" s="116">
        <v>144802.79999999999</v>
      </c>
      <c r="I672" s="74"/>
    </row>
    <row r="673" spans="1:9">
      <c r="A673" s="584"/>
      <c r="B673" s="584"/>
      <c r="C673" s="74" t="s">
        <v>5734</v>
      </c>
      <c r="D673" s="74" t="s">
        <v>4690</v>
      </c>
      <c r="E673" s="74" t="s">
        <v>5735</v>
      </c>
      <c r="F673" s="74" t="s">
        <v>5736</v>
      </c>
      <c r="G673" s="74">
        <v>21</v>
      </c>
      <c r="H673" s="116">
        <v>296629.48</v>
      </c>
      <c r="I673" s="74"/>
    </row>
    <row r="674" spans="1:9">
      <c r="A674" s="584"/>
      <c r="B674" s="584"/>
      <c r="C674" s="74" t="s">
        <v>5737</v>
      </c>
      <c r="D674" s="74" t="s">
        <v>4690</v>
      </c>
      <c r="E674" s="74" t="s">
        <v>5738</v>
      </c>
      <c r="F674" s="74" t="s">
        <v>5739</v>
      </c>
      <c r="G674" s="74">
        <v>18</v>
      </c>
      <c r="H674" s="116">
        <v>141334.39999999999</v>
      </c>
      <c r="I674" s="74"/>
    </row>
    <row r="675" spans="1:9">
      <c r="A675" s="584"/>
      <c r="B675" s="584"/>
      <c r="C675" s="74" t="s">
        <v>4720</v>
      </c>
      <c r="D675" s="74" t="s">
        <v>4690</v>
      </c>
      <c r="E675" s="74" t="s">
        <v>4721</v>
      </c>
      <c r="F675" s="74" t="s">
        <v>5740</v>
      </c>
      <c r="G675" s="74" t="s">
        <v>619</v>
      </c>
      <c r="H675" s="116">
        <v>224645.23</v>
      </c>
      <c r="I675" s="74"/>
    </row>
    <row r="676" spans="1:9">
      <c r="A676" s="584"/>
      <c r="B676" s="584"/>
      <c r="C676" s="74" t="s">
        <v>5741</v>
      </c>
      <c r="D676" s="74" t="s">
        <v>4690</v>
      </c>
      <c r="E676" s="74" t="s">
        <v>5742</v>
      </c>
      <c r="F676" s="74" t="s">
        <v>5743</v>
      </c>
      <c r="G676" s="74">
        <v>1</v>
      </c>
      <c r="H676" s="116">
        <v>421370.97</v>
      </c>
      <c r="I676" s="74"/>
    </row>
    <row r="677" spans="1:9">
      <c r="A677" s="584"/>
      <c r="B677" s="584"/>
      <c r="C677" s="74" t="s">
        <v>5744</v>
      </c>
      <c r="D677" s="74" t="s">
        <v>4690</v>
      </c>
      <c r="E677" s="74" t="s">
        <v>5745</v>
      </c>
      <c r="F677" s="74" t="s">
        <v>5746</v>
      </c>
      <c r="G677" s="74">
        <v>3</v>
      </c>
      <c r="H677" s="116">
        <v>814044.79</v>
      </c>
      <c r="I677" s="74"/>
    </row>
    <row r="678" spans="1:9">
      <c r="A678" s="584"/>
      <c r="B678" s="584"/>
      <c r="C678" s="74" t="s">
        <v>5747</v>
      </c>
      <c r="D678" s="74" t="s">
        <v>4690</v>
      </c>
      <c r="E678" s="74" t="s">
        <v>5748</v>
      </c>
      <c r="F678" s="74" t="s">
        <v>5749</v>
      </c>
      <c r="G678" s="74">
        <v>8</v>
      </c>
      <c r="H678" s="116">
        <v>1217566.3899999999</v>
      </c>
      <c r="I678" s="74"/>
    </row>
    <row r="679" spans="1:9">
      <c r="A679" s="584"/>
      <c r="B679" s="584"/>
      <c r="C679" s="74" t="s">
        <v>5750</v>
      </c>
      <c r="D679" s="74" t="s">
        <v>4690</v>
      </c>
      <c r="E679" s="74" t="s">
        <v>2920</v>
      </c>
      <c r="F679" s="74" t="s">
        <v>5751</v>
      </c>
      <c r="G679" s="74">
        <v>1</v>
      </c>
      <c r="H679" s="116">
        <v>8338.35</v>
      </c>
      <c r="I679" s="74"/>
    </row>
    <row r="680" spans="1:9">
      <c r="A680" s="584"/>
      <c r="B680" s="584"/>
      <c r="C680" s="74" t="s">
        <v>5752</v>
      </c>
      <c r="D680" s="74" t="s">
        <v>4690</v>
      </c>
      <c r="E680" s="74" t="s">
        <v>5753</v>
      </c>
      <c r="F680" s="74" t="s">
        <v>5754</v>
      </c>
      <c r="G680" s="74">
        <v>4</v>
      </c>
      <c r="H680" s="116">
        <v>481378.12</v>
      </c>
      <c r="I680" s="74"/>
    </row>
    <row r="681" spans="1:9">
      <c r="A681" s="584"/>
      <c r="B681" s="584"/>
      <c r="C681" s="74" t="s">
        <v>5755</v>
      </c>
      <c r="D681" s="74" t="s">
        <v>4690</v>
      </c>
      <c r="E681" s="74" t="s">
        <v>5756</v>
      </c>
      <c r="F681" s="74" t="s">
        <v>5757</v>
      </c>
      <c r="G681" s="74">
        <v>6</v>
      </c>
      <c r="H681" s="116">
        <v>9537911.5099999998</v>
      </c>
      <c r="I681" s="74"/>
    </row>
    <row r="682" spans="1:9">
      <c r="A682" s="584"/>
      <c r="B682" s="584"/>
      <c r="C682" s="74" t="s">
        <v>5758</v>
      </c>
      <c r="D682" s="74" t="s">
        <v>4690</v>
      </c>
      <c r="E682" s="74" t="s">
        <v>5759</v>
      </c>
      <c r="F682" s="74" t="s">
        <v>5760</v>
      </c>
      <c r="G682" s="74">
        <v>2</v>
      </c>
      <c r="H682" s="116">
        <v>442067.54</v>
      </c>
      <c r="I682" s="74"/>
    </row>
    <row r="683" spans="1:9">
      <c r="A683" s="584"/>
      <c r="B683" s="584"/>
      <c r="C683" s="74" t="s">
        <v>5761</v>
      </c>
      <c r="D683" s="74" t="s">
        <v>4690</v>
      </c>
      <c r="E683" s="74" t="s">
        <v>5762</v>
      </c>
      <c r="F683" s="74" t="s">
        <v>5763</v>
      </c>
      <c r="G683" s="74">
        <v>2</v>
      </c>
      <c r="H683" s="116">
        <v>627988.31000000006</v>
      </c>
      <c r="I683" s="74"/>
    </row>
    <row r="684" spans="1:9">
      <c r="A684" s="584"/>
      <c r="B684" s="584"/>
      <c r="C684" s="74" t="s">
        <v>5764</v>
      </c>
      <c r="D684" s="74" t="s">
        <v>4690</v>
      </c>
      <c r="E684" s="74" t="s">
        <v>5765</v>
      </c>
      <c r="F684" s="74" t="s">
        <v>5766</v>
      </c>
      <c r="G684" s="74">
        <v>1</v>
      </c>
      <c r="H684" s="116">
        <v>698760.4</v>
      </c>
      <c r="I684" s="74"/>
    </row>
    <row r="685" spans="1:9">
      <c r="A685" s="584"/>
      <c r="B685" s="584"/>
      <c r="C685" s="74" t="s">
        <v>5767</v>
      </c>
      <c r="D685" s="74" t="s">
        <v>4690</v>
      </c>
      <c r="E685" s="74" t="s">
        <v>5768</v>
      </c>
      <c r="F685" s="74" t="s">
        <v>5769</v>
      </c>
      <c r="G685" s="74">
        <v>75</v>
      </c>
      <c r="H685" s="116">
        <v>2801664.81</v>
      </c>
      <c r="I685" s="74"/>
    </row>
    <row r="686" spans="1:9">
      <c r="A686" s="584"/>
      <c r="B686" s="584"/>
      <c r="C686" s="74" t="s">
        <v>5770</v>
      </c>
      <c r="D686" s="74" t="s">
        <v>4690</v>
      </c>
      <c r="E686" s="74" t="s">
        <v>5771</v>
      </c>
      <c r="F686" s="74" t="s">
        <v>5772</v>
      </c>
      <c r="G686" s="74">
        <v>4</v>
      </c>
      <c r="H686" s="116">
        <v>2864211.44</v>
      </c>
      <c r="I686" s="74"/>
    </row>
    <row r="687" spans="1:9">
      <c r="A687" s="584"/>
      <c r="B687" s="584"/>
      <c r="C687" s="74" t="s">
        <v>5773</v>
      </c>
      <c r="D687" s="74" t="s">
        <v>4690</v>
      </c>
      <c r="E687" s="74" t="s">
        <v>5774</v>
      </c>
      <c r="F687" s="74" t="s">
        <v>5775</v>
      </c>
      <c r="G687" s="74" t="s">
        <v>619</v>
      </c>
      <c r="H687" s="116">
        <v>503388.82</v>
      </c>
      <c r="I687" s="74"/>
    </row>
    <row r="688" spans="1:9">
      <c r="A688" s="584"/>
      <c r="B688" s="584"/>
      <c r="C688" s="74" t="s">
        <v>5776</v>
      </c>
      <c r="D688" s="74" t="s">
        <v>4690</v>
      </c>
      <c r="E688" s="74" t="s">
        <v>5777</v>
      </c>
      <c r="F688" s="74" t="s">
        <v>5778</v>
      </c>
      <c r="G688" s="74">
        <v>2</v>
      </c>
      <c r="H688" s="116">
        <v>2436809.2400000002</v>
      </c>
      <c r="I688" s="74"/>
    </row>
    <row r="689" spans="1:9">
      <c r="A689" s="584"/>
      <c r="B689" s="584"/>
      <c r="C689" s="74" t="s">
        <v>5779</v>
      </c>
      <c r="D689" s="74" t="s">
        <v>4690</v>
      </c>
      <c r="E689" s="74" t="s">
        <v>5780</v>
      </c>
      <c r="F689" s="74" t="s">
        <v>5781</v>
      </c>
      <c r="G689" s="74">
        <v>7</v>
      </c>
      <c r="H689" s="116">
        <v>335917.84</v>
      </c>
      <c r="I689" s="74"/>
    </row>
    <row r="690" spans="1:9">
      <c r="A690" s="584"/>
      <c r="B690" s="584"/>
      <c r="C690" s="74" t="s">
        <v>5782</v>
      </c>
      <c r="D690" s="74" t="s">
        <v>4690</v>
      </c>
      <c r="E690" s="74" t="s">
        <v>2695</v>
      </c>
      <c r="F690" s="74" t="s">
        <v>5783</v>
      </c>
      <c r="G690" s="74">
        <v>1</v>
      </c>
      <c r="H690" s="116">
        <v>348412.24</v>
      </c>
      <c r="I690" s="74"/>
    </row>
    <row r="691" spans="1:9">
      <c r="A691" s="584"/>
      <c r="B691" s="584"/>
      <c r="C691" s="74" t="s">
        <v>5784</v>
      </c>
      <c r="D691" s="74" t="s">
        <v>4690</v>
      </c>
      <c r="E691" s="74" t="s">
        <v>667</v>
      </c>
      <c r="F691" s="74" t="s">
        <v>5785</v>
      </c>
      <c r="G691" s="74">
        <v>12</v>
      </c>
      <c r="H691" s="116">
        <v>485852.57</v>
      </c>
      <c r="I691" s="74"/>
    </row>
    <row r="692" spans="1:9">
      <c r="A692" s="584"/>
      <c r="B692" s="584"/>
      <c r="C692" s="74" t="s">
        <v>5786</v>
      </c>
      <c r="D692" s="74" t="s">
        <v>4690</v>
      </c>
      <c r="E692" s="74" t="s">
        <v>5787</v>
      </c>
      <c r="F692" s="74" t="s">
        <v>5788</v>
      </c>
      <c r="G692" s="74">
        <v>1</v>
      </c>
      <c r="H692" s="116">
        <v>3142511.1</v>
      </c>
      <c r="I692" s="74"/>
    </row>
    <row r="693" spans="1:9">
      <c r="A693" s="584"/>
      <c r="B693" s="584"/>
      <c r="C693" s="74" t="s">
        <v>5789</v>
      </c>
      <c r="D693" s="74" t="s">
        <v>4690</v>
      </c>
      <c r="E693" s="74" t="s">
        <v>5790</v>
      </c>
      <c r="F693" s="74" t="s">
        <v>5791</v>
      </c>
      <c r="G693" s="74">
        <v>4</v>
      </c>
      <c r="H693" s="116">
        <v>1304236.7</v>
      </c>
      <c r="I693" s="74"/>
    </row>
    <row r="694" spans="1:9">
      <c r="A694" s="584"/>
      <c r="B694" s="584"/>
      <c r="C694" s="74" t="s">
        <v>5792</v>
      </c>
      <c r="D694" s="74" t="s">
        <v>4690</v>
      </c>
      <c r="E694" s="74" t="s">
        <v>5793</v>
      </c>
      <c r="F694" s="74" t="s">
        <v>5794</v>
      </c>
      <c r="G694" s="74">
        <v>264</v>
      </c>
      <c r="H694" s="116">
        <v>1411652.09</v>
      </c>
      <c r="I694" s="74"/>
    </row>
    <row r="695" spans="1:9">
      <c r="A695" s="584"/>
      <c r="B695" s="584"/>
      <c r="C695" s="74" t="s">
        <v>5795</v>
      </c>
      <c r="D695" s="74" t="s">
        <v>4690</v>
      </c>
      <c r="E695" s="74" t="s">
        <v>5796</v>
      </c>
      <c r="F695" s="74" t="s">
        <v>5797</v>
      </c>
      <c r="G695" s="74">
        <v>58</v>
      </c>
      <c r="H695" s="116">
        <v>2986366.67</v>
      </c>
      <c r="I695" s="74"/>
    </row>
    <row r="696" spans="1:9">
      <c r="A696" s="577"/>
      <c r="B696" s="577"/>
      <c r="C696" s="74" t="s">
        <v>5798</v>
      </c>
      <c r="D696" s="74" t="s">
        <v>4690</v>
      </c>
      <c r="E696" s="74" t="s">
        <v>5753</v>
      </c>
      <c r="F696" s="74" t="s">
        <v>5799</v>
      </c>
      <c r="G696" s="74">
        <v>3</v>
      </c>
      <c r="H696" s="116">
        <v>1343928.47</v>
      </c>
      <c r="I696" s="74"/>
    </row>
    <row r="697" spans="1:9">
      <c r="A697" s="571">
        <v>11</v>
      </c>
      <c r="B697" s="571" t="s">
        <v>670</v>
      </c>
      <c r="C697" s="76" t="s">
        <v>5800</v>
      </c>
      <c r="D697" s="76" t="s">
        <v>4919</v>
      </c>
      <c r="E697" s="76"/>
      <c r="F697" s="76" t="s">
        <v>1194</v>
      </c>
      <c r="G697" s="76">
        <v>1</v>
      </c>
      <c r="H697" s="117"/>
      <c r="I697" s="76" t="s">
        <v>1092</v>
      </c>
    </row>
    <row r="698" spans="1:9">
      <c r="A698" s="572"/>
      <c r="B698" s="572"/>
      <c r="C698" s="76" t="s">
        <v>5801</v>
      </c>
      <c r="D698" s="76" t="s">
        <v>4919</v>
      </c>
      <c r="E698" s="76"/>
      <c r="F698" s="76" t="s">
        <v>1194</v>
      </c>
      <c r="G698" s="76">
        <v>1</v>
      </c>
      <c r="H698" s="117"/>
      <c r="I698" s="76" t="s">
        <v>1092</v>
      </c>
    </row>
    <row r="699" spans="1:9">
      <c r="A699" s="572"/>
      <c r="B699" s="572"/>
      <c r="C699" s="76" t="s">
        <v>5802</v>
      </c>
      <c r="D699" s="76" t="s">
        <v>4923</v>
      </c>
      <c r="E699" s="76"/>
      <c r="F699" s="76" t="s">
        <v>1194</v>
      </c>
      <c r="G699" s="76">
        <v>1</v>
      </c>
      <c r="H699" s="117"/>
      <c r="I699" s="76" t="s">
        <v>1092</v>
      </c>
    </row>
    <row r="700" spans="1:9">
      <c r="A700" s="572"/>
      <c r="B700" s="572"/>
      <c r="C700" s="76" t="s">
        <v>5803</v>
      </c>
      <c r="D700" s="76" t="s">
        <v>4923</v>
      </c>
      <c r="E700" s="76"/>
      <c r="F700" s="76" t="s">
        <v>4939</v>
      </c>
      <c r="G700" s="76">
        <v>1</v>
      </c>
      <c r="H700" s="117"/>
      <c r="I700" s="76" t="s">
        <v>1092</v>
      </c>
    </row>
    <row r="701" spans="1:9">
      <c r="A701" s="572"/>
      <c r="B701" s="572"/>
      <c r="C701" s="76" t="s">
        <v>5804</v>
      </c>
      <c r="D701" s="76" t="s">
        <v>4923</v>
      </c>
      <c r="E701" s="76"/>
      <c r="F701" s="76" t="s">
        <v>4939</v>
      </c>
      <c r="G701" s="76">
        <v>1</v>
      </c>
      <c r="H701" s="117"/>
      <c r="I701" s="76" t="s">
        <v>1092</v>
      </c>
    </row>
    <row r="702" spans="1:9">
      <c r="A702" s="572"/>
      <c r="B702" s="572"/>
      <c r="C702" s="76" t="s">
        <v>5805</v>
      </c>
      <c r="D702" s="76" t="s">
        <v>4919</v>
      </c>
      <c r="E702" s="76"/>
      <c r="F702" s="76" t="s">
        <v>1194</v>
      </c>
      <c r="G702" s="76">
        <v>1</v>
      </c>
      <c r="H702" s="117"/>
      <c r="I702" s="76" t="s">
        <v>1092</v>
      </c>
    </row>
    <row r="703" spans="1:9">
      <c r="A703" s="572"/>
      <c r="B703" s="572"/>
      <c r="C703" s="76" t="s">
        <v>5806</v>
      </c>
      <c r="D703" s="76" t="s">
        <v>4923</v>
      </c>
      <c r="E703" s="76"/>
      <c r="F703" s="76" t="s">
        <v>4939</v>
      </c>
      <c r="G703" s="76">
        <v>1</v>
      </c>
      <c r="H703" s="117"/>
      <c r="I703" s="76" t="s">
        <v>1092</v>
      </c>
    </row>
    <row r="704" spans="1:9">
      <c r="A704" s="573"/>
      <c r="B704" s="573"/>
      <c r="C704" s="76" t="s">
        <v>5807</v>
      </c>
      <c r="D704" s="76" t="s">
        <v>4919</v>
      </c>
      <c r="E704" s="76"/>
      <c r="F704" s="76" t="s">
        <v>1194</v>
      </c>
      <c r="G704" s="76">
        <v>1</v>
      </c>
      <c r="H704" s="117"/>
      <c r="I704" s="76" t="s">
        <v>1092</v>
      </c>
    </row>
    <row r="705" spans="1:9">
      <c r="A705" s="576">
        <v>12</v>
      </c>
      <c r="B705" s="576" t="s">
        <v>674</v>
      </c>
      <c r="C705" s="74" t="s">
        <v>5808</v>
      </c>
      <c r="D705" s="74" t="s">
        <v>977</v>
      </c>
      <c r="E705" s="74" t="s">
        <v>5809</v>
      </c>
      <c r="F705" s="74"/>
      <c r="G705" s="74">
        <v>1</v>
      </c>
      <c r="H705" s="116"/>
      <c r="I705" s="74"/>
    </row>
    <row r="706" spans="1:9">
      <c r="A706" s="584"/>
      <c r="B706" s="584"/>
      <c r="C706" s="74" t="s">
        <v>5810</v>
      </c>
      <c r="D706" s="74" t="s">
        <v>977</v>
      </c>
      <c r="E706" s="74" t="s">
        <v>5811</v>
      </c>
      <c r="F706" s="74"/>
      <c r="G706" s="74">
        <v>1</v>
      </c>
      <c r="H706" s="116"/>
      <c r="I706" s="74"/>
    </row>
    <row r="707" spans="1:9">
      <c r="A707" s="584"/>
      <c r="B707" s="584"/>
      <c r="C707" s="74" t="s">
        <v>5812</v>
      </c>
      <c r="D707" s="74" t="s">
        <v>977</v>
      </c>
      <c r="E707" s="74" t="s">
        <v>5813</v>
      </c>
      <c r="F707" s="74"/>
      <c r="G707" s="74">
        <v>1</v>
      </c>
      <c r="H707" s="116"/>
      <c r="I707" s="74"/>
    </row>
    <row r="708" spans="1:9">
      <c r="A708" s="584"/>
      <c r="B708" s="584"/>
      <c r="C708" s="74" t="s">
        <v>5814</v>
      </c>
      <c r="D708" s="74" t="s">
        <v>679</v>
      </c>
      <c r="E708" s="74" t="s">
        <v>5815</v>
      </c>
      <c r="F708" s="74"/>
      <c r="G708" s="74">
        <v>1</v>
      </c>
      <c r="H708" s="116"/>
      <c r="I708" s="74"/>
    </row>
    <row r="709" spans="1:9">
      <c r="A709" s="577"/>
      <c r="B709" s="577"/>
      <c r="C709" s="74" t="s">
        <v>4704</v>
      </c>
      <c r="D709" s="74" t="s">
        <v>977</v>
      </c>
      <c r="E709" s="74" t="s">
        <v>4705</v>
      </c>
      <c r="F709" s="74"/>
      <c r="G709" s="74">
        <v>1</v>
      </c>
      <c r="H709" s="116"/>
      <c r="I709" s="74"/>
    </row>
    <row r="710" spans="1:9">
      <c r="A710" s="580">
        <v>13</v>
      </c>
      <c r="B710" s="580" t="s">
        <v>682</v>
      </c>
      <c r="C710" s="76" t="s">
        <v>5816</v>
      </c>
      <c r="D710" s="76" t="s">
        <v>1021</v>
      </c>
      <c r="E710" s="76" t="s">
        <v>5817</v>
      </c>
      <c r="F710" s="76" t="s">
        <v>5818</v>
      </c>
      <c r="G710" s="76"/>
      <c r="H710" s="117">
        <v>1890.04</v>
      </c>
      <c r="I710" s="76"/>
    </row>
    <row r="711" spans="1:9">
      <c r="A711" s="581"/>
      <c r="B711" s="581"/>
      <c r="C711" s="76" t="s">
        <v>5819</v>
      </c>
      <c r="D711" s="76" t="s">
        <v>1021</v>
      </c>
      <c r="E711" s="76" t="s">
        <v>5820</v>
      </c>
      <c r="F711" s="76" t="s">
        <v>5821</v>
      </c>
      <c r="G711" s="76"/>
      <c r="H711" s="117">
        <v>3214.4</v>
      </c>
      <c r="I711" s="76"/>
    </row>
    <row r="712" spans="1:9">
      <c r="A712" s="581"/>
      <c r="B712" s="581"/>
      <c r="C712" s="76" t="s">
        <v>5822</v>
      </c>
      <c r="D712" s="76" t="s">
        <v>1021</v>
      </c>
      <c r="E712" s="76" t="s">
        <v>5823</v>
      </c>
      <c r="F712" s="76" t="s">
        <v>5824</v>
      </c>
      <c r="G712" s="76"/>
      <c r="H712" s="117">
        <v>3900.7</v>
      </c>
      <c r="I712" s="76"/>
    </row>
    <row r="713" spans="1:9">
      <c r="A713" s="581"/>
      <c r="B713" s="581"/>
      <c r="C713" s="76" t="s">
        <v>5825</v>
      </c>
      <c r="D713" s="76" t="s">
        <v>1021</v>
      </c>
      <c r="E713" s="76" t="s">
        <v>5826</v>
      </c>
      <c r="F713" s="76" t="s">
        <v>5827</v>
      </c>
      <c r="G713" s="76"/>
      <c r="H713" s="117">
        <v>8954.4399999999987</v>
      </c>
      <c r="I713" s="76"/>
    </row>
    <row r="714" spans="1:9">
      <c r="A714" s="581"/>
      <c r="B714" s="581"/>
      <c r="C714" s="76" t="s">
        <v>5828</v>
      </c>
      <c r="D714" s="76" t="s">
        <v>1021</v>
      </c>
      <c r="E714" s="76" t="s">
        <v>5829</v>
      </c>
      <c r="F714" s="76" t="s">
        <v>5830</v>
      </c>
      <c r="G714" s="76"/>
      <c r="H714" s="117">
        <v>11429.349999999999</v>
      </c>
      <c r="I714" s="76"/>
    </row>
    <row r="715" spans="1:9">
      <c r="A715" s="581"/>
      <c r="B715" s="581"/>
      <c r="C715" s="76" t="s">
        <v>5831</v>
      </c>
      <c r="D715" s="76" t="s">
        <v>1021</v>
      </c>
      <c r="E715" s="76" t="s">
        <v>5832</v>
      </c>
      <c r="F715" s="76" t="s">
        <v>5833</v>
      </c>
      <c r="G715" s="76"/>
      <c r="H715" s="117">
        <v>17234.2</v>
      </c>
      <c r="I715" s="76"/>
    </row>
    <row r="716" spans="1:9">
      <c r="A716" s="581"/>
      <c r="B716" s="581"/>
      <c r="C716" s="76" t="s">
        <v>5834</v>
      </c>
      <c r="D716" s="76" t="s">
        <v>1021</v>
      </c>
      <c r="E716" s="76" t="s">
        <v>5835</v>
      </c>
      <c r="F716" s="76" t="s">
        <v>5836</v>
      </c>
      <c r="G716" s="76"/>
      <c r="H716" s="117">
        <v>34683.450000000004</v>
      </c>
      <c r="I716" s="76"/>
    </row>
    <row r="717" spans="1:9">
      <c r="A717" s="581"/>
      <c r="B717" s="581"/>
      <c r="C717" s="76" t="s">
        <v>5837</v>
      </c>
      <c r="D717" s="76" t="s">
        <v>1021</v>
      </c>
      <c r="E717" s="76" t="s">
        <v>5838</v>
      </c>
      <c r="F717" s="76" t="s">
        <v>5839</v>
      </c>
      <c r="G717" s="76"/>
      <c r="H717" s="117">
        <v>39112.36</v>
      </c>
      <c r="I717" s="76"/>
    </row>
    <row r="718" spans="1:9">
      <c r="A718" s="581"/>
      <c r="B718" s="581"/>
      <c r="C718" s="76" t="s">
        <v>5840</v>
      </c>
      <c r="D718" s="76" t="s">
        <v>1021</v>
      </c>
      <c r="E718" s="76" t="s">
        <v>5841</v>
      </c>
      <c r="F718" s="76" t="s">
        <v>5842</v>
      </c>
      <c r="G718" s="76"/>
      <c r="H718" s="117">
        <v>39972</v>
      </c>
      <c r="I718" s="76"/>
    </row>
    <row r="719" spans="1:9">
      <c r="A719" s="581"/>
      <c r="B719" s="581"/>
      <c r="C719" s="76" t="s">
        <v>5843</v>
      </c>
      <c r="D719" s="76" t="s">
        <v>1021</v>
      </c>
      <c r="E719" s="76" t="s">
        <v>5844</v>
      </c>
      <c r="F719" s="76" t="s">
        <v>5845</v>
      </c>
      <c r="G719" s="76"/>
      <c r="H719" s="117">
        <v>44405.66</v>
      </c>
      <c r="I719" s="76"/>
    </row>
    <row r="720" spans="1:9">
      <c r="A720" s="581"/>
      <c r="B720" s="581"/>
      <c r="C720" s="76" t="s">
        <v>5846</v>
      </c>
      <c r="D720" s="76" t="s">
        <v>1021</v>
      </c>
      <c r="E720" s="76" t="s">
        <v>5847</v>
      </c>
      <c r="F720" s="76" t="s">
        <v>5848</v>
      </c>
      <c r="G720" s="76"/>
      <c r="H720" s="117">
        <v>57568.94</v>
      </c>
      <c r="I720" s="76"/>
    </row>
    <row r="721" spans="1:9">
      <c r="A721" s="581"/>
      <c r="B721" s="581"/>
      <c r="C721" s="76" t="s">
        <v>5123</v>
      </c>
      <c r="D721" s="76" t="s">
        <v>1021</v>
      </c>
      <c r="E721" s="76" t="s">
        <v>5124</v>
      </c>
      <c r="F721" s="76" t="s">
        <v>5849</v>
      </c>
      <c r="G721" s="76"/>
      <c r="H721" s="117">
        <v>70949.759999999995</v>
      </c>
      <c r="I721" s="76"/>
    </row>
    <row r="722" spans="1:9">
      <c r="A722" s="581"/>
      <c r="B722" s="581"/>
      <c r="C722" s="76" t="s">
        <v>5850</v>
      </c>
      <c r="D722" s="76" t="s">
        <v>1021</v>
      </c>
      <c r="E722" s="76" t="s">
        <v>5851</v>
      </c>
      <c r="F722" s="76" t="s">
        <v>5852</v>
      </c>
      <c r="G722" s="76"/>
      <c r="H722" s="117">
        <v>71601.25</v>
      </c>
      <c r="I722" s="76"/>
    </row>
    <row r="723" spans="1:9">
      <c r="A723" s="581"/>
      <c r="B723" s="581"/>
      <c r="C723" s="76" t="s">
        <v>5853</v>
      </c>
      <c r="D723" s="76" t="s">
        <v>1021</v>
      </c>
      <c r="E723" s="76" t="s">
        <v>5854</v>
      </c>
      <c r="F723" s="76" t="s">
        <v>5855</v>
      </c>
      <c r="G723" s="76"/>
      <c r="H723" s="117">
        <v>94776.51999999999</v>
      </c>
      <c r="I723" s="76"/>
    </row>
    <row r="724" spans="1:9">
      <c r="A724" s="581"/>
      <c r="B724" s="581"/>
      <c r="C724" s="76" t="s">
        <v>5856</v>
      </c>
      <c r="D724" s="76" t="s">
        <v>1021</v>
      </c>
      <c r="E724" s="76" t="s">
        <v>5857</v>
      </c>
      <c r="F724" s="76" t="s">
        <v>5858</v>
      </c>
      <c r="G724" s="76"/>
      <c r="H724" s="117">
        <v>111995.61</v>
      </c>
      <c r="I724" s="76"/>
    </row>
    <row r="725" spans="1:9">
      <c r="A725" s="581"/>
      <c r="B725" s="581"/>
      <c r="C725" s="76" t="s">
        <v>5859</v>
      </c>
      <c r="D725" s="76" t="s">
        <v>1021</v>
      </c>
      <c r="E725" s="76" t="s">
        <v>5860</v>
      </c>
      <c r="F725" s="76" t="s">
        <v>5861</v>
      </c>
      <c r="G725" s="76"/>
      <c r="H725" s="117">
        <v>119811.22</v>
      </c>
      <c r="I725" s="76"/>
    </row>
    <row r="726" spans="1:9">
      <c r="A726" s="581"/>
      <c r="B726" s="581"/>
      <c r="C726" s="76" t="s">
        <v>5862</v>
      </c>
      <c r="D726" s="76" t="s">
        <v>1021</v>
      </c>
      <c r="E726" s="76" t="s">
        <v>5730</v>
      </c>
      <c r="F726" s="76" t="s">
        <v>5863</v>
      </c>
      <c r="G726" s="76"/>
      <c r="H726" s="117">
        <v>123446.31999999999</v>
      </c>
      <c r="I726" s="76"/>
    </row>
    <row r="727" spans="1:9">
      <c r="A727" s="581"/>
      <c r="B727" s="581"/>
      <c r="C727" s="76" t="s">
        <v>5864</v>
      </c>
      <c r="D727" s="76" t="s">
        <v>1021</v>
      </c>
      <c r="E727" s="76" t="s">
        <v>5865</v>
      </c>
      <c r="F727" s="76" t="s">
        <v>5866</v>
      </c>
      <c r="G727" s="76"/>
      <c r="H727" s="117">
        <v>125249.57</v>
      </c>
      <c r="I727" s="76"/>
    </row>
    <row r="728" spans="1:9">
      <c r="A728" s="581"/>
      <c r="B728" s="581"/>
      <c r="C728" s="76" t="s">
        <v>5867</v>
      </c>
      <c r="D728" s="76" t="s">
        <v>1021</v>
      </c>
      <c r="E728" s="76" t="s">
        <v>5868</v>
      </c>
      <c r="F728" s="76" t="s">
        <v>5869</v>
      </c>
      <c r="G728" s="76"/>
      <c r="H728" s="117">
        <v>126622.98000000003</v>
      </c>
      <c r="I728" s="76"/>
    </row>
    <row r="729" spans="1:9">
      <c r="A729" s="581"/>
      <c r="B729" s="581"/>
      <c r="C729" s="76" t="s">
        <v>5870</v>
      </c>
      <c r="D729" s="76" t="s">
        <v>1021</v>
      </c>
      <c r="E729" s="76" t="s">
        <v>5871</v>
      </c>
      <c r="F729" s="76" t="s">
        <v>5872</v>
      </c>
      <c r="G729" s="76"/>
      <c r="H729" s="117">
        <v>141298.84</v>
      </c>
      <c r="I729" s="76"/>
    </row>
    <row r="730" spans="1:9">
      <c r="A730" s="581"/>
      <c r="B730" s="581"/>
      <c r="C730" s="76" t="s">
        <v>5873</v>
      </c>
      <c r="D730" s="76" t="s">
        <v>1021</v>
      </c>
      <c r="E730" s="76" t="s">
        <v>5874</v>
      </c>
      <c r="F730" s="76" t="s">
        <v>5875</v>
      </c>
      <c r="G730" s="76"/>
      <c r="H730" s="117">
        <v>141392.28</v>
      </c>
      <c r="I730" s="76"/>
    </row>
    <row r="731" spans="1:9">
      <c r="A731" s="581"/>
      <c r="B731" s="581"/>
      <c r="C731" s="76" t="s">
        <v>4840</v>
      </c>
      <c r="D731" s="76" t="s">
        <v>1021</v>
      </c>
      <c r="E731" s="76" t="s">
        <v>5876</v>
      </c>
      <c r="F731" s="76" t="s">
        <v>5877</v>
      </c>
      <c r="G731" s="76"/>
      <c r="H731" s="117">
        <v>145896.70000000001</v>
      </c>
      <c r="I731" s="76"/>
    </row>
    <row r="732" spans="1:9">
      <c r="A732" s="581"/>
      <c r="B732" s="581"/>
      <c r="C732" s="76" t="s">
        <v>5878</v>
      </c>
      <c r="D732" s="76" t="s">
        <v>1021</v>
      </c>
      <c r="E732" s="76" t="s">
        <v>5879</v>
      </c>
      <c r="F732" s="76" t="s">
        <v>5880</v>
      </c>
      <c r="G732" s="76"/>
      <c r="H732" s="117">
        <v>158536.90999999997</v>
      </c>
      <c r="I732" s="76"/>
    </row>
    <row r="733" spans="1:9">
      <c r="A733" s="581"/>
      <c r="B733" s="581"/>
      <c r="C733" s="76" t="s">
        <v>5881</v>
      </c>
      <c r="D733" s="76" t="s">
        <v>1021</v>
      </c>
      <c r="E733" s="76" t="s">
        <v>5882</v>
      </c>
      <c r="F733" s="76" t="s">
        <v>5883</v>
      </c>
      <c r="G733" s="76"/>
      <c r="H733" s="117">
        <v>161823.40999999997</v>
      </c>
      <c r="I733" s="76"/>
    </row>
    <row r="734" spans="1:9">
      <c r="A734" s="581"/>
      <c r="B734" s="581"/>
      <c r="C734" s="76" t="s">
        <v>5884</v>
      </c>
      <c r="D734" s="76" t="s">
        <v>1021</v>
      </c>
      <c r="E734" s="76" t="s">
        <v>5885</v>
      </c>
      <c r="F734" s="76" t="s">
        <v>5886</v>
      </c>
      <c r="G734" s="76"/>
      <c r="H734" s="117">
        <v>189919.74000000002</v>
      </c>
      <c r="I734" s="76"/>
    </row>
    <row r="735" spans="1:9">
      <c r="A735" s="581"/>
      <c r="B735" s="581"/>
      <c r="C735" s="76" t="s">
        <v>5887</v>
      </c>
      <c r="D735" s="76" t="s">
        <v>1021</v>
      </c>
      <c r="E735" s="76" t="s">
        <v>5888</v>
      </c>
      <c r="F735" s="76" t="s">
        <v>5889</v>
      </c>
      <c r="G735" s="76"/>
      <c r="H735" s="117">
        <v>230744.58</v>
      </c>
      <c r="I735" s="76"/>
    </row>
    <row r="736" spans="1:9">
      <c r="A736" s="581"/>
      <c r="B736" s="581"/>
      <c r="C736" s="76" t="s">
        <v>5890</v>
      </c>
      <c r="D736" s="76" t="s">
        <v>1021</v>
      </c>
      <c r="E736" s="76" t="s">
        <v>5891</v>
      </c>
      <c r="F736" s="76" t="s">
        <v>5892</v>
      </c>
      <c r="G736" s="76"/>
      <c r="H736" s="117">
        <v>234783.18</v>
      </c>
      <c r="I736" s="76"/>
    </row>
    <row r="737" spans="1:9">
      <c r="A737" s="581"/>
      <c r="B737" s="581"/>
      <c r="C737" s="76" t="s">
        <v>5893</v>
      </c>
      <c r="D737" s="76" t="s">
        <v>1021</v>
      </c>
      <c r="E737" s="76" t="s">
        <v>5894</v>
      </c>
      <c r="F737" s="76" t="s">
        <v>5895</v>
      </c>
      <c r="G737" s="76"/>
      <c r="H737" s="117">
        <v>236028.35000000003</v>
      </c>
      <c r="I737" s="76"/>
    </row>
    <row r="738" spans="1:9">
      <c r="A738" s="581"/>
      <c r="B738" s="581"/>
      <c r="C738" s="76" t="s">
        <v>5896</v>
      </c>
      <c r="D738" s="76" t="s">
        <v>1021</v>
      </c>
      <c r="E738" s="76" t="s">
        <v>5897</v>
      </c>
      <c r="F738" s="76" t="s">
        <v>5898</v>
      </c>
      <c r="G738" s="76"/>
      <c r="H738" s="117">
        <v>238986.51</v>
      </c>
      <c r="I738" s="76"/>
    </row>
    <row r="739" spans="1:9">
      <c r="A739" s="581"/>
      <c r="B739" s="581"/>
      <c r="C739" s="76" t="s">
        <v>5899</v>
      </c>
      <c r="D739" s="76" t="s">
        <v>1021</v>
      </c>
      <c r="E739" s="76" t="s">
        <v>5900</v>
      </c>
      <c r="F739" s="76" t="s">
        <v>5901</v>
      </c>
      <c r="G739" s="76"/>
      <c r="H739" s="117">
        <v>268780</v>
      </c>
      <c r="I739" s="76"/>
    </row>
    <row r="740" spans="1:9">
      <c r="A740" s="581"/>
      <c r="B740" s="581"/>
      <c r="C740" s="76" t="s">
        <v>5902</v>
      </c>
      <c r="D740" s="76" t="s">
        <v>1021</v>
      </c>
      <c r="E740" s="76" t="s">
        <v>5903</v>
      </c>
      <c r="F740" s="76" t="s">
        <v>5904</v>
      </c>
      <c r="G740" s="76"/>
      <c r="H740" s="117">
        <v>294962.72000000003</v>
      </c>
      <c r="I740" s="76"/>
    </row>
    <row r="741" spans="1:9">
      <c r="A741" s="581"/>
      <c r="B741" s="581"/>
      <c r="C741" s="76" t="s">
        <v>5905</v>
      </c>
      <c r="D741" s="76" t="s">
        <v>1021</v>
      </c>
      <c r="E741" s="76" t="s">
        <v>5906</v>
      </c>
      <c r="F741" s="76" t="s">
        <v>5907</v>
      </c>
      <c r="G741" s="76"/>
      <c r="H741" s="117">
        <v>303869.12</v>
      </c>
      <c r="I741" s="76"/>
    </row>
    <row r="742" spans="1:9">
      <c r="A742" s="581"/>
      <c r="B742" s="581"/>
      <c r="C742" s="76" t="s">
        <v>5908</v>
      </c>
      <c r="D742" s="76" t="s">
        <v>1021</v>
      </c>
      <c r="E742" s="76" t="s">
        <v>5909</v>
      </c>
      <c r="F742" s="76" t="s">
        <v>5910</v>
      </c>
      <c r="G742" s="76"/>
      <c r="H742" s="117">
        <v>321895</v>
      </c>
      <c r="I742" s="76"/>
    </row>
    <row r="743" spans="1:9">
      <c r="A743" s="581"/>
      <c r="B743" s="581"/>
      <c r="C743" s="76" t="s">
        <v>5911</v>
      </c>
      <c r="D743" s="76" t="s">
        <v>1021</v>
      </c>
      <c r="E743" s="76" t="s">
        <v>5912</v>
      </c>
      <c r="F743" s="76" t="s">
        <v>5913</v>
      </c>
      <c r="G743" s="76"/>
      <c r="H743" s="117">
        <v>331902.40999999997</v>
      </c>
      <c r="I743" s="76"/>
    </row>
    <row r="744" spans="1:9">
      <c r="A744" s="581"/>
      <c r="B744" s="581"/>
      <c r="C744" s="76" t="s">
        <v>5914</v>
      </c>
      <c r="D744" s="76" t="s">
        <v>1021</v>
      </c>
      <c r="E744" s="76" t="s">
        <v>5915</v>
      </c>
      <c r="F744" s="76" t="s">
        <v>5916</v>
      </c>
      <c r="G744" s="76"/>
      <c r="H744" s="117">
        <v>359082.92999999988</v>
      </c>
      <c r="I744" s="76"/>
    </row>
    <row r="745" spans="1:9">
      <c r="A745" s="581"/>
      <c r="B745" s="581"/>
      <c r="C745" s="76" t="s">
        <v>5917</v>
      </c>
      <c r="D745" s="76" t="s">
        <v>1021</v>
      </c>
      <c r="E745" s="76" t="s">
        <v>5918</v>
      </c>
      <c r="F745" s="76" t="s">
        <v>5919</v>
      </c>
      <c r="G745" s="76"/>
      <c r="H745" s="117">
        <v>367607.05000000005</v>
      </c>
      <c r="I745" s="76"/>
    </row>
    <row r="746" spans="1:9">
      <c r="A746" s="581"/>
      <c r="B746" s="581"/>
      <c r="C746" s="76" t="s">
        <v>5920</v>
      </c>
      <c r="D746" s="76" t="s">
        <v>1021</v>
      </c>
      <c r="E746" s="76" t="s">
        <v>5921</v>
      </c>
      <c r="F746" s="76" t="s">
        <v>5922</v>
      </c>
      <c r="G746" s="76"/>
      <c r="H746" s="117">
        <v>378191.04000000004</v>
      </c>
      <c r="I746" s="76"/>
    </row>
    <row r="747" spans="1:9">
      <c r="A747" s="581"/>
      <c r="B747" s="581"/>
      <c r="C747" s="76" t="s">
        <v>5923</v>
      </c>
      <c r="D747" s="76" t="s">
        <v>1021</v>
      </c>
      <c r="E747" s="76" t="s">
        <v>5924</v>
      </c>
      <c r="F747" s="76" t="s">
        <v>5925</v>
      </c>
      <c r="G747" s="76"/>
      <c r="H747" s="117">
        <v>390681.62000000005</v>
      </c>
      <c r="I747" s="76"/>
    </row>
    <row r="748" spans="1:9">
      <c r="A748" s="581"/>
      <c r="B748" s="581"/>
      <c r="C748" s="76" t="s">
        <v>5926</v>
      </c>
      <c r="D748" s="76" t="s">
        <v>1021</v>
      </c>
      <c r="E748" s="76" t="s">
        <v>683</v>
      </c>
      <c r="F748" s="76" t="s">
        <v>5927</v>
      </c>
      <c r="G748" s="76"/>
      <c r="H748" s="117">
        <v>432432.2900000001</v>
      </c>
      <c r="I748" s="76"/>
    </row>
    <row r="749" spans="1:9">
      <c r="A749" s="581"/>
      <c r="B749" s="581"/>
      <c r="C749" s="76" t="s">
        <v>5928</v>
      </c>
      <c r="D749" s="76" t="s">
        <v>1021</v>
      </c>
      <c r="E749" s="76" t="s">
        <v>5929</v>
      </c>
      <c r="F749" s="76" t="s">
        <v>5930</v>
      </c>
      <c r="G749" s="76"/>
      <c r="H749" s="117">
        <v>467602.12</v>
      </c>
      <c r="I749" s="76"/>
    </row>
    <row r="750" spans="1:9">
      <c r="A750" s="581"/>
      <c r="B750" s="581"/>
      <c r="C750" s="76" t="s">
        <v>5931</v>
      </c>
      <c r="D750" s="76" t="s">
        <v>1021</v>
      </c>
      <c r="E750" s="76" t="s">
        <v>5932</v>
      </c>
      <c r="F750" s="76" t="s">
        <v>5933</v>
      </c>
      <c r="G750" s="76"/>
      <c r="H750" s="117">
        <v>484488.12000000005</v>
      </c>
      <c r="I750" s="76"/>
    </row>
    <row r="751" spans="1:9">
      <c r="A751" s="581"/>
      <c r="B751" s="581"/>
      <c r="C751" s="76" t="s">
        <v>5934</v>
      </c>
      <c r="D751" s="76" t="s">
        <v>1021</v>
      </c>
      <c r="E751" s="76" t="s">
        <v>5935</v>
      </c>
      <c r="F751" s="76" t="s">
        <v>5936</v>
      </c>
      <c r="G751" s="76"/>
      <c r="H751" s="117">
        <v>491194.32</v>
      </c>
      <c r="I751" s="76"/>
    </row>
    <row r="752" spans="1:9">
      <c r="A752" s="581"/>
      <c r="B752" s="581"/>
      <c r="C752" s="76" t="s">
        <v>4761</v>
      </c>
      <c r="D752" s="76" t="s">
        <v>1021</v>
      </c>
      <c r="E752" s="76" t="s">
        <v>5937</v>
      </c>
      <c r="F752" s="76" t="s">
        <v>5938</v>
      </c>
      <c r="G752" s="76"/>
      <c r="H752" s="117">
        <v>524356.02</v>
      </c>
      <c r="I752" s="76"/>
    </row>
    <row r="753" spans="1:9">
      <c r="A753" s="581"/>
      <c r="B753" s="581"/>
      <c r="C753" s="76" t="s">
        <v>5939</v>
      </c>
      <c r="D753" s="76" t="s">
        <v>1021</v>
      </c>
      <c r="E753" s="76" t="s">
        <v>5940</v>
      </c>
      <c r="F753" s="76" t="s">
        <v>5941</v>
      </c>
      <c r="G753" s="76"/>
      <c r="H753" s="117">
        <v>578207.81999999995</v>
      </c>
      <c r="I753" s="76"/>
    </row>
    <row r="754" spans="1:9">
      <c r="A754" s="581"/>
      <c r="B754" s="581"/>
      <c r="C754" s="76" t="s">
        <v>5942</v>
      </c>
      <c r="D754" s="76" t="s">
        <v>1021</v>
      </c>
      <c r="E754" s="76" t="s">
        <v>5820</v>
      </c>
      <c r="F754" s="76" t="s">
        <v>5943</v>
      </c>
      <c r="G754" s="76"/>
      <c r="H754" s="117">
        <v>604658.40999999992</v>
      </c>
      <c r="I754" s="76"/>
    </row>
    <row r="755" spans="1:9">
      <c r="A755" s="581"/>
      <c r="B755" s="581"/>
      <c r="C755" s="76" t="s">
        <v>4958</v>
      </c>
      <c r="D755" s="76" t="s">
        <v>1021</v>
      </c>
      <c r="E755" s="76" t="s">
        <v>5944</v>
      </c>
      <c r="F755" s="76" t="s">
        <v>5945</v>
      </c>
      <c r="G755" s="76"/>
      <c r="H755" s="117">
        <v>611443.19000000006</v>
      </c>
      <c r="I755" s="76"/>
    </row>
    <row r="756" spans="1:9">
      <c r="A756" s="581"/>
      <c r="B756" s="581"/>
      <c r="C756" s="76" t="s">
        <v>5946</v>
      </c>
      <c r="D756" s="76" t="s">
        <v>1021</v>
      </c>
      <c r="E756" s="76" t="s">
        <v>5947</v>
      </c>
      <c r="F756" s="76" t="s">
        <v>5948</v>
      </c>
      <c r="G756" s="76"/>
      <c r="H756" s="117">
        <v>720302.49999999988</v>
      </c>
      <c r="I756" s="76"/>
    </row>
    <row r="757" spans="1:9">
      <c r="A757" s="581"/>
      <c r="B757" s="581"/>
      <c r="C757" s="76" t="s">
        <v>4815</v>
      </c>
      <c r="D757" s="76" t="s">
        <v>1021</v>
      </c>
      <c r="E757" s="76" t="s">
        <v>5787</v>
      </c>
      <c r="F757" s="76" t="s">
        <v>5949</v>
      </c>
      <c r="G757" s="76"/>
      <c r="H757" s="117">
        <v>794222.79999999993</v>
      </c>
      <c r="I757" s="76"/>
    </row>
    <row r="758" spans="1:9">
      <c r="A758" s="581"/>
      <c r="B758" s="581"/>
      <c r="C758" s="76" t="s">
        <v>5072</v>
      </c>
      <c r="D758" s="76" t="s">
        <v>1021</v>
      </c>
      <c r="E758" s="76" t="s">
        <v>5073</v>
      </c>
      <c r="F758" s="76" t="s">
        <v>5950</v>
      </c>
      <c r="G758" s="76"/>
      <c r="H758" s="117">
        <v>801915.92</v>
      </c>
      <c r="I758" s="76"/>
    </row>
    <row r="759" spans="1:9">
      <c r="A759" s="581"/>
      <c r="B759" s="581"/>
      <c r="C759" s="76" t="s">
        <v>5951</v>
      </c>
      <c r="D759" s="76" t="s">
        <v>1021</v>
      </c>
      <c r="E759" s="76" t="s">
        <v>5952</v>
      </c>
      <c r="F759" s="76" t="s">
        <v>5953</v>
      </c>
      <c r="G759" s="76"/>
      <c r="H759" s="117">
        <v>874600.5199999999</v>
      </c>
      <c r="I759" s="76"/>
    </row>
    <row r="760" spans="1:9">
      <c r="A760" s="581"/>
      <c r="B760" s="581"/>
      <c r="C760" s="76" t="s">
        <v>5954</v>
      </c>
      <c r="D760" s="76" t="s">
        <v>1021</v>
      </c>
      <c r="E760" s="76" t="s">
        <v>5780</v>
      </c>
      <c r="F760" s="76" t="s">
        <v>5955</v>
      </c>
      <c r="G760" s="76"/>
      <c r="H760" s="117">
        <v>890197.2200000002</v>
      </c>
      <c r="I760" s="76"/>
    </row>
    <row r="761" spans="1:9">
      <c r="A761" s="581"/>
      <c r="B761" s="581"/>
      <c r="C761" s="76" t="s">
        <v>4779</v>
      </c>
      <c r="D761" s="76" t="s">
        <v>1021</v>
      </c>
      <c r="E761" s="76" t="s">
        <v>5956</v>
      </c>
      <c r="F761" s="76" t="s">
        <v>5957</v>
      </c>
      <c r="G761" s="76"/>
      <c r="H761" s="117">
        <v>1034775.1300000002</v>
      </c>
      <c r="I761" s="76"/>
    </row>
    <row r="762" spans="1:9">
      <c r="A762" s="581"/>
      <c r="B762" s="581"/>
      <c r="C762" s="76" t="s">
        <v>5958</v>
      </c>
      <c r="D762" s="76" t="s">
        <v>1021</v>
      </c>
      <c r="E762" s="76" t="s">
        <v>5959</v>
      </c>
      <c r="F762" s="76" t="s">
        <v>5960</v>
      </c>
      <c r="G762" s="76"/>
      <c r="H762" s="117">
        <v>1113090.3400000001</v>
      </c>
      <c r="I762" s="76"/>
    </row>
    <row r="763" spans="1:9">
      <c r="A763" s="581"/>
      <c r="B763" s="581"/>
      <c r="C763" s="76" t="s">
        <v>5961</v>
      </c>
      <c r="D763" s="76" t="s">
        <v>1021</v>
      </c>
      <c r="E763" s="76" t="s">
        <v>5962</v>
      </c>
      <c r="F763" s="76" t="s">
        <v>5963</v>
      </c>
      <c r="G763" s="76"/>
      <c r="H763" s="117">
        <v>1203840.24</v>
      </c>
      <c r="I763" s="76"/>
    </row>
    <row r="764" spans="1:9">
      <c r="A764" s="581"/>
      <c r="B764" s="581"/>
      <c r="C764" s="76" t="s">
        <v>5964</v>
      </c>
      <c r="D764" s="76" t="s">
        <v>1021</v>
      </c>
      <c r="E764" s="76" t="s">
        <v>5965</v>
      </c>
      <c r="F764" s="76" t="s">
        <v>5966</v>
      </c>
      <c r="G764" s="76"/>
      <c r="H764" s="117">
        <v>1249168.71</v>
      </c>
      <c r="I764" s="76"/>
    </row>
    <row r="765" spans="1:9">
      <c r="A765" s="581"/>
      <c r="B765" s="581"/>
      <c r="C765" s="76" t="s">
        <v>5967</v>
      </c>
      <c r="D765" s="76" t="s">
        <v>1021</v>
      </c>
      <c r="E765" s="76" t="s">
        <v>5968</v>
      </c>
      <c r="F765" s="76" t="s">
        <v>5969</v>
      </c>
      <c r="G765" s="76"/>
      <c r="H765" s="117">
        <v>1258061.4099999999</v>
      </c>
      <c r="I765" s="76"/>
    </row>
    <row r="766" spans="1:9">
      <c r="A766" s="581"/>
      <c r="B766" s="581"/>
      <c r="C766" s="76" t="s">
        <v>5970</v>
      </c>
      <c r="D766" s="76" t="s">
        <v>1021</v>
      </c>
      <c r="E766" s="76" t="s">
        <v>5971</v>
      </c>
      <c r="F766" s="76" t="s">
        <v>5972</v>
      </c>
      <c r="G766" s="76"/>
      <c r="H766" s="117">
        <v>1263026.97</v>
      </c>
      <c r="I766" s="76"/>
    </row>
    <row r="767" spans="1:9">
      <c r="A767" s="581"/>
      <c r="B767" s="581"/>
      <c r="C767" s="76" t="s">
        <v>5973</v>
      </c>
      <c r="D767" s="76" t="s">
        <v>1021</v>
      </c>
      <c r="E767" s="76" t="s">
        <v>5974</v>
      </c>
      <c r="F767" s="76" t="s">
        <v>5975</v>
      </c>
      <c r="G767" s="76"/>
      <c r="H767" s="117">
        <v>1265859.82</v>
      </c>
      <c r="I767" s="76"/>
    </row>
    <row r="768" spans="1:9">
      <c r="A768" s="581"/>
      <c r="B768" s="581"/>
      <c r="C768" s="76" t="s">
        <v>5976</v>
      </c>
      <c r="D768" s="76" t="s">
        <v>1021</v>
      </c>
      <c r="E768" s="76" t="s">
        <v>5035</v>
      </c>
      <c r="F768" s="76" t="s">
        <v>5977</v>
      </c>
      <c r="G768" s="76"/>
      <c r="H768" s="117">
        <v>1384020.0199999996</v>
      </c>
      <c r="I768" s="76"/>
    </row>
    <row r="769" spans="1:9">
      <c r="A769" s="581"/>
      <c r="B769" s="581"/>
      <c r="C769" s="76" t="s">
        <v>5978</v>
      </c>
      <c r="D769" s="76" t="s">
        <v>1021</v>
      </c>
      <c r="E769" s="76" t="s">
        <v>5979</v>
      </c>
      <c r="F769" s="76" t="s">
        <v>5980</v>
      </c>
      <c r="G769" s="76"/>
      <c r="H769" s="117">
        <v>1525505.2600000002</v>
      </c>
      <c r="I769" s="76"/>
    </row>
    <row r="770" spans="1:9">
      <c r="A770" s="581"/>
      <c r="B770" s="581"/>
      <c r="C770" s="76" t="s">
        <v>5981</v>
      </c>
      <c r="D770" s="76" t="s">
        <v>1021</v>
      </c>
      <c r="E770" s="76" t="s">
        <v>5982</v>
      </c>
      <c r="F770" s="76" t="s">
        <v>5983</v>
      </c>
      <c r="G770" s="76"/>
      <c r="H770" s="117">
        <v>1694504.8199999998</v>
      </c>
      <c r="I770" s="76"/>
    </row>
    <row r="771" spans="1:9">
      <c r="A771" s="581"/>
      <c r="B771" s="581"/>
      <c r="C771" s="76" t="s">
        <v>5984</v>
      </c>
      <c r="D771" s="76" t="s">
        <v>1021</v>
      </c>
      <c r="E771" s="76" t="s">
        <v>5985</v>
      </c>
      <c r="F771" s="76" t="s">
        <v>5986</v>
      </c>
      <c r="G771" s="76"/>
      <c r="H771" s="117">
        <v>1791157.94</v>
      </c>
      <c r="I771" s="76"/>
    </row>
    <row r="772" spans="1:9">
      <c r="A772" s="581"/>
      <c r="B772" s="581"/>
      <c r="C772" s="76" t="s">
        <v>4704</v>
      </c>
      <c r="D772" s="76" t="s">
        <v>1021</v>
      </c>
      <c r="E772" s="76" t="s">
        <v>4705</v>
      </c>
      <c r="F772" s="76" t="s">
        <v>5987</v>
      </c>
      <c r="G772" s="76"/>
      <c r="H772" s="117">
        <v>1856337.6199999999</v>
      </c>
      <c r="I772" s="76"/>
    </row>
    <row r="773" spans="1:9">
      <c r="A773" s="581"/>
      <c r="B773" s="581"/>
      <c r="C773" s="76" t="s">
        <v>5988</v>
      </c>
      <c r="D773" s="76" t="s">
        <v>1021</v>
      </c>
      <c r="E773" s="76" t="s">
        <v>5756</v>
      </c>
      <c r="F773" s="76" t="s">
        <v>5989</v>
      </c>
      <c r="G773" s="76"/>
      <c r="H773" s="117">
        <v>1911759.97</v>
      </c>
      <c r="I773" s="76"/>
    </row>
    <row r="774" spans="1:9">
      <c r="A774" s="581"/>
      <c r="B774" s="581"/>
      <c r="C774" s="76" t="s">
        <v>5990</v>
      </c>
      <c r="D774" s="76" t="s">
        <v>1021</v>
      </c>
      <c r="E774" s="76" t="s">
        <v>5991</v>
      </c>
      <c r="F774" s="76" t="s">
        <v>5992</v>
      </c>
      <c r="G774" s="76"/>
      <c r="H774" s="117">
        <v>1953528.4200000004</v>
      </c>
      <c r="I774" s="76"/>
    </row>
    <row r="775" spans="1:9">
      <c r="A775" s="581"/>
      <c r="B775" s="581"/>
      <c r="C775" s="76" t="s">
        <v>5993</v>
      </c>
      <c r="D775" s="76" t="s">
        <v>1021</v>
      </c>
      <c r="E775" s="76" t="s">
        <v>5994</v>
      </c>
      <c r="F775" s="76" t="s">
        <v>5995</v>
      </c>
      <c r="G775" s="76"/>
      <c r="H775" s="117">
        <v>2089423.0899999999</v>
      </c>
      <c r="I775" s="76"/>
    </row>
    <row r="776" spans="1:9">
      <c r="A776" s="581"/>
      <c r="B776" s="581"/>
      <c r="C776" s="76" t="s">
        <v>5996</v>
      </c>
      <c r="D776" s="76" t="s">
        <v>1021</v>
      </c>
      <c r="E776" s="76" t="s">
        <v>5997</v>
      </c>
      <c r="F776" s="76" t="s">
        <v>5998</v>
      </c>
      <c r="G776" s="76"/>
      <c r="H776" s="117">
        <v>2114313.8899999997</v>
      </c>
      <c r="I776" s="76"/>
    </row>
    <row r="777" spans="1:9">
      <c r="A777" s="581"/>
      <c r="B777" s="581"/>
      <c r="C777" s="76" t="s">
        <v>5999</v>
      </c>
      <c r="D777" s="76" t="s">
        <v>1021</v>
      </c>
      <c r="E777" s="76" t="s">
        <v>6000</v>
      </c>
      <c r="F777" s="76" t="s">
        <v>6001</v>
      </c>
      <c r="G777" s="76"/>
      <c r="H777" s="117">
        <v>2457939.33</v>
      </c>
      <c r="I777" s="76"/>
    </row>
    <row r="778" spans="1:9">
      <c r="A778" s="581"/>
      <c r="B778" s="581"/>
      <c r="C778" s="76" t="s">
        <v>6002</v>
      </c>
      <c r="D778" s="76" t="s">
        <v>1021</v>
      </c>
      <c r="E778" s="76" t="s">
        <v>6003</v>
      </c>
      <c r="F778" s="76" t="s">
        <v>6004</v>
      </c>
      <c r="G778" s="76"/>
      <c r="H778" s="117">
        <v>2690739.8899999997</v>
      </c>
      <c r="I778" s="76"/>
    </row>
    <row r="779" spans="1:9">
      <c r="A779" s="581"/>
      <c r="B779" s="581"/>
      <c r="C779" s="76" t="s">
        <v>6005</v>
      </c>
      <c r="D779" s="76" t="s">
        <v>1021</v>
      </c>
      <c r="E779" s="76" t="s">
        <v>6006</v>
      </c>
      <c r="F779" s="76" t="s">
        <v>6007</v>
      </c>
      <c r="G779" s="76"/>
      <c r="H779" s="117">
        <v>4339312.4399999995</v>
      </c>
      <c r="I779" s="76"/>
    </row>
    <row r="780" spans="1:9">
      <c r="A780" s="581"/>
      <c r="B780" s="581"/>
      <c r="C780" s="76" t="s">
        <v>4881</v>
      </c>
      <c r="D780" s="76" t="s">
        <v>1021</v>
      </c>
      <c r="E780" s="76" t="s">
        <v>6008</v>
      </c>
      <c r="F780" s="76" t="s">
        <v>6009</v>
      </c>
      <c r="G780" s="76"/>
      <c r="H780" s="117">
        <v>6627038.0899999989</v>
      </c>
      <c r="I780" s="76"/>
    </row>
    <row r="781" spans="1:9">
      <c r="A781" s="581"/>
      <c r="B781" s="581"/>
      <c r="C781" s="76" t="s">
        <v>6010</v>
      </c>
      <c r="D781" s="76" t="s">
        <v>1021</v>
      </c>
      <c r="E781" s="76" t="s">
        <v>6011</v>
      </c>
      <c r="F781" s="76" t="s">
        <v>6012</v>
      </c>
      <c r="G781" s="76"/>
      <c r="H781" s="117">
        <v>6884032.0099999998</v>
      </c>
      <c r="I781" s="76"/>
    </row>
    <row r="782" spans="1:9">
      <c r="A782" s="581"/>
      <c r="B782" s="581"/>
      <c r="C782" s="76" t="s">
        <v>6013</v>
      </c>
      <c r="D782" s="76" t="s">
        <v>1021</v>
      </c>
      <c r="E782" s="76" t="s">
        <v>4702</v>
      </c>
      <c r="F782" s="76" t="s">
        <v>6014</v>
      </c>
      <c r="G782" s="76"/>
      <c r="H782" s="117">
        <v>7055203.5700000003</v>
      </c>
      <c r="I782" s="76"/>
    </row>
    <row r="783" spans="1:9">
      <c r="A783" s="581"/>
      <c r="B783" s="581"/>
      <c r="C783" s="76" t="s">
        <v>6015</v>
      </c>
      <c r="D783" s="76" t="s">
        <v>1021</v>
      </c>
      <c r="E783" s="76" t="s">
        <v>6016</v>
      </c>
      <c r="F783" s="76" t="s">
        <v>6017</v>
      </c>
      <c r="G783" s="76"/>
      <c r="H783" s="117">
        <v>12692810.539999999</v>
      </c>
      <c r="I783" s="76"/>
    </row>
    <row r="784" spans="1:9">
      <c r="A784" s="582"/>
      <c r="B784" s="582"/>
      <c r="C784" s="76" t="s">
        <v>6018</v>
      </c>
      <c r="D784" s="76" t="s">
        <v>1021</v>
      </c>
      <c r="E784" s="76" t="s">
        <v>6019</v>
      </c>
      <c r="F784" s="76" t="s">
        <v>6020</v>
      </c>
      <c r="G784" s="76"/>
      <c r="H784" s="117">
        <v>36840565.780000001</v>
      </c>
      <c r="I784" s="76"/>
    </row>
    <row r="785" spans="1:9">
      <c r="A785" s="576">
        <v>14</v>
      </c>
      <c r="B785" s="576" t="s">
        <v>96</v>
      </c>
      <c r="C785" s="74" t="s">
        <v>6021</v>
      </c>
      <c r="D785" s="74" t="s">
        <v>6022</v>
      </c>
      <c r="E785" s="74" t="s">
        <v>6023</v>
      </c>
      <c r="F785" s="74" t="s">
        <v>6024</v>
      </c>
      <c r="G785" s="74">
        <v>1</v>
      </c>
      <c r="H785" s="116">
        <v>3129530</v>
      </c>
      <c r="I785" s="74"/>
    </row>
    <row r="786" spans="1:9">
      <c r="A786" s="584"/>
      <c r="B786" s="584"/>
      <c r="C786" s="74" t="s">
        <v>6025</v>
      </c>
      <c r="D786" s="74" t="s">
        <v>6026</v>
      </c>
      <c r="E786" s="74"/>
      <c r="F786" s="74"/>
      <c r="G786" s="74">
        <v>1</v>
      </c>
      <c r="H786" s="116">
        <v>750000</v>
      </c>
      <c r="I786" s="74" t="s">
        <v>6027</v>
      </c>
    </row>
    <row r="787" spans="1:9">
      <c r="A787" s="577"/>
      <c r="B787" s="577"/>
      <c r="C787" s="74" t="s">
        <v>646</v>
      </c>
      <c r="D787" s="74" t="s">
        <v>6022</v>
      </c>
      <c r="E787" s="74" t="s">
        <v>663</v>
      </c>
      <c r="F787" s="74" t="s">
        <v>6028</v>
      </c>
      <c r="G787" s="74">
        <v>1</v>
      </c>
      <c r="H787" s="116">
        <v>750000</v>
      </c>
      <c r="I787" s="74" t="s">
        <v>770</v>
      </c>
    </row>
    <row r="788" spans="1:9">
      <c r="A788" s="571">
        <v>15</v>
      </c>
      <c r="B788" s="571" t="s">
        <v>691</v>
      </c>
      <c r="C788" s="76" t="s">
        <v>6029</v>
      </c>
      <c r="D788" s="76" t="s">
        <v>6030</v>
      </c>
      <c r="E788" s="76" t="s">
        <v>6031</v>
      </c>
      <c r="F788" s="76"/>
      <c r="G788" s="76"/>
      <c r="H788" s="117">
        <v>10323169.74</v>
      </c>
      <c r="I788" s="76"/>
    </row>
    <row r="789" spans="1:9">
      <c r="A789" s="572"/>
      <c r="B789" s="572"/>
      <c r="C789" s="76" t="s">
        <v>6032</v>
      </c>
      <c r="D789" s="76" t="s">
        <v>6030</v>
      </c>
      <c r="E789" s="76" t="s">
        <v>6033</v>
      </c>
      <c r="F789" s="76"/>
      <c r="G789" s="76"/>
      <c r="H789" s="117">
        <v>556948</v>
      </c>
      <c r="I789" s="76"/>
    </row>
    <row r="790" spans="1:9">
      <c r="A790" s="572"/>
      <c r="B790" s="572"/>
      <c r="C790" s="76" t="s">
        <v>6034</v>
      </c>
      <c r="D790" s="76" t="s">
        <v>6030</v>
      </c>
      <c r="E790" s="76" t="s">
        <v>6035</v>
      </c>
      <c r="F790" s="76"/>
      <c r="G790" s="76"/>
      <c r="H790" s="117">
        <v>428892.5</v>
      </c>
      <c r="I790" s="76"/>
    </row>
    <row r="791" spans="1:9">
      <c r="A791" s="572"/>
      <c r="B791" s="572"/>
      <c r="C791" s="76" t="s">
        <v>6036</v>
      </c>
      <c r="D791" s="76" t="s">
        <v>6030</v>
      </c>
      <c r="E791" s="76" t="s">
        <v>6037</v>
      </c>
      <c r="F791" s="76"/>
      <c r="G791" s="76"/>
      <c r="H791" s="117">
        <v>315698.45</v>
      </c>
      <c r="I791" s="76"/>
    </row>
    <row r="792" spans="1:9">
      <c r="A792" s="572"/>
      <c r="B792" s="572"/>
      <c r="C792" s="76" t="s">
        <v>6038</v>
      </c>
      <c r="D792" s="76" t="s">
        <v>6030</v>
      </c>
      <c r="E792" s="76" t="s">
        <v>2695</v>
      </c>
      <c r="F792" s="76"/>
      <c r="G792" s="76"/>
      <c r="H792" s="117">
        <v>225818.56</v>
      </c>
      <c r="I792" s="76"/>
    </row>
    <row r="793" spans="1:9">
      <c r="A793" s="572"/>
      <c r="B793" s="572"/>
      <c r="C793" s="76" t="s">
        <v>6039</v>
      </c>
      <c r="D793" s="76" t="s">
        <v>6030</v>
      </c>
      <c r="E793" s="76" t="s">
        <v>6040</v>
      </c>
      <c r="F793" s="76"/>
      <c r="G793" s="76"/>
      <c r="H793" s="117">
        <v>160800</v>
      </c>
      <c r="I793" s="76"/>
    </row>
    <row r="794" spans="1:9">
      <c r="A794" s="572"/>
      <c r="B794" s="572"/>
      <c r="C794" s="76" t="s">
        <v>6041</v>
      </c>
      <c r="D794" s="76" t="s">
        <v>6030</v>
      </c>
      <c r="E794" s="76" t="s">
        <v>6042</v>
      </c>
      <c r="F794" s="76"/>
      <c r="G794" s="76"/>
      <c r="H794" s="117">
        <v>151500</v>
      </c>
      <c r="I794" s="76"/>
    </row>
    <row r="795" spans="1:9">
      <c r="A795" s="573"/>
      <c r="B795" s="573"/>
      <c r="C795" s="76" t="s">
        <v>6043</v>
      </c>
      <c r="D795" s="76" t="s">
        <v>6030</v>
      </c>
      <c r="E795" s="76" t="s">
        <v>6044</v>
      </c>
      <c r="F795" s="76"/>
      <c r="G795" s="76"/>
      <c r="H795" s="117">
        <v>143400</v>
      </c>
      <c r="I795" s="76"/>
    </row>
    <row r="796" spans="1:9">
      <c r="A796" s="576">
        <v>16</v>
      </c>
      <c r="B796" s="576" t="s">
        <v>700</v>
      </c>
      <c r="C796" s="74" t="s">
        <v>6045</v>
      </c>
      <c r="D796" s="74" t="s">
        <v>4690</v>
      </c>
      <c r="E796" s="74" t="s">
        <v>6046</v>
      </c>
      <c r="F796" s="74" t="s">
        <v>1496</v>
      </c>
      <c r="G796" s="74"/>
      <c r="H796" s="116">
        <v>2150327</v>
      </c>
      <c r="I796" s="74"/>
    </row>
    <row r="797" spans="1:9">
      <c r="A797" s="584"/>
      <c r="B797" s="584"/>
      <c r="C797" s="74" t="s">
        <v>6047</v>
      </c>
      <c r="D797" s="74" t="s">
        <v>4690</v>
      </c>
      <c r="E797" s="74" t="s">
        <v>6048</v>
      </c>
      <c r="F797" s="74" t="s">
        <v>1496</v>
      </c>
      <c r="G797" s="74"/>
      <c r="H797" s="116">
        <v>904361</v>
      </c>
      <c r="I797" s="74"/>
    </row>
    <row r="798" spans="1:9">
      <c r="A798" s="584"/>
      <c r="B798" s="584"/>
      <c r="C798" s="74" t="s">
        <v>6049</v>
      </c>
      <c r="D798" s="74" t="s">
        <v>4690</v>
      </c>
      <c r="E798" s="74" t="s">
        <v>6050</v>
      </c>
      <c r="F798" s="74" t="s">
        <v>1496</v>
      </c>
      <c r="G798" s="74"/>
      <c r="H798" s="116">
        <v>303506</v>
      </c>
      <c r="I798" s="74"/>
    </row>
    <row r="799" spans="1:9">
      <c r="A799" s="584"/>
      <c r="B799" s="584"/>
      <c r="C799" s="74" t="s">
        <v>6051</v>
      </c>
      <c r="D799" s="74" t="s">
        <v>4690</v>
      </c>
      <c r="E799" s="74" t="s">
        <v>6052</v>
      </c>
      <c r="F799" s="74" t="s">
        <v>1496</v>
      </c>
      <c r="G799" s="74"/>
      <c r="H799" s="116">
        <v>228248</v>
      </c>
      <c r="I799" s="74"/>
    </row>
    <row r="800" spans="1:9">
      <c r="A800" s="584"/>
      <c r="B800" s="584"/>
      <c r="C800" s="74" t="s">
        <v>6053</v>
      </c>
      <c r="D800" s="74" t="s">
        <v>4690</v>
      </c>
      <c r="E800" s="74" t="s">
        <v>6054</v>
      </c>
      <c r="F800" s="74" t="s">
        <v>1496</v>
      </c>
      <c r="G800" s="74"/>
      <c r="H800" s="116">
        <v>180687</v>
      </c>
      <c r="I800" s="74"/>
    </row>
    <row r="801" spans="1:9">
      <c r="A801" s="577"/>
      <c r="B801" s="577"/>
      <c r="C801" s="74" t="s">
        <v>6055</v>
      </c>
      <c r="D801" s="74" t="s">
        <v>4690</v>
      </c>
      <c r="E801" s="74" t="s">
        <v>6056</v>
      </c>
      <c r="F801" s="74" t="s">
        <v>1496</v>
      </c>
      <c r="G801" s="74"/>
      <c r="H801" s="116">
        <v>121779</v>
      </c>
      <c r="I801" s="74"/>
    </row>
    <row r="802" spans="1:9">
      <c r="A802" s="571">
        <v>17</v>
      </c>
      <c r="B802" s="571" t="s">
        <v>102</v>
      </c>
      <c r="C802" s="76" t="s">
        <v>6057</v>
      </c>
      <c r="D802" s="76" t="s">
        <v>1021</v>
      </c>
      <c r="E802" s="76" t="s">
        <v>6056</v>
      </c>
      <c r="F802" s="76" t="s">
        <v>1496</v>
      </c>
      <c r="G802" s="76">
        <v>1</v>
      </c>
      <c r="H802" s="117">
        <v>36520000</v>
      </c>
      <c r="I802" s="76"/>
    </row>
    <row r="803" spans="1:9">
      <c r="A803" s="572"/>
      <c r="B803" s="572"/>
      <c r="C803" s="76" t="s">
        <v>6058</v>
      </c>
      <c r="D803" s="76" t="s">
        <v>1021</v>
      </c>
      <c r="E803" s="76" t="s">
        <v>5730</v>
      </c>
      <c r="F803" s="76" t="s">
        <v>1496</v>
      </c>
      <c r="G803" s="76">
        <v>1</v>
      </c>
      <c r="H803" s="117">
        <v>1892814.2</v>
      </c>
      <c r="I803" s="76"/>
    </row>
    <row r="804" spans="1:9">
      <c r="A804" s="572"/>
      <c r="B804" s="572"/>
      <c r="C804" s="76" t="s">
        <v>6059</v>
      </c>
      <c r="D804" s="76" t="s">
        <v>1021</v>
      </c>
      <c r="E804" s="76" t="s">
        <v>5994</v>
      </c>
      <c r="F804" s="76" t="s">
        <v>1496</v>
      </c>
      <c r="G804" s="76">
        <v>1</v>
      </c>
      <c r="H804" s="117">
        <v>1159852.78</v>
      </c>
      <c r="I804" s="76"/>
    </row>
    <row r="805" spans="1:9">
      <c r="A805" s="572"/>
      <c r="B805" s="572"/>
      <c r="C805" s="76" t="s">
        <v>6060</v>
      </c>
      <c r="D805" s="76" t="s">
        <v>1021</v>
      </c>
      <c r="E805" s="76"/>
      <c r="F805" s="76" t="s">
        <v>1496</v>
      </c>
      <c r="G805" s="76">
        <v>1</v>
      </c>
      <c r="H805" s="117">
        <v>962132.57</v>
      </c>
      <c r="I805" s="76"/>
    </row>
    <row r="806" spans="1:9">
      <c r="A806" s="573"/>
      <c r="B806" s="573"/>
      <c r="C806" s="76" t="s">
        <v>1789</v>
      </c>
      <c r="D806" s="76" t="s">
        <v>1021</v>
      </c>
      <c r="E806" s="76" t="s">
        <v>6061</v>
      </c>
      <c r="F806" s="76" t="s">
        <v>1496</v>
      </c>
      <c r="G806" s="76">
        <v>1</v>
      </c>
      <c r="H806" s="117">
        <v>782250.01</v>
      </c>
      <c r="I806" s="76"/>
    </row>
    <row r="807" spans="1:9">
      <c r="A807" s="576">
        <v>21</v>
      </c>
      <c r="B807" s="576" t="s">
        <v>717</v>
      </c>
      <c r="C807" s="74" t="s">
        <v>6062</v>
      </c>
      <c r="D807" s="74" t="s">
        <v>4923</v>
      </c>
      <c r="E807" s="74" t="s">
        <v>4705</v>
      </c>
      <c r="F807" s="74" t="s">
        <v>4939</v>
      </c>
      <c r="G807" s="74">
        <v>1</v>
      </c>
      <c r="H807" s="116">
        <v>23688217.68</v>
      </c>
      <c r="I807" s="74"/>
    </row>
    <row r="808" spans="1:9">
      <c r="A808" s="584"/>
      <c r="B808" s="584"/>
      <c r="C808" s="74" t="s">
        <v>6063</v>
      </c>
      <c r="D808" s="74" t="s">
        <v>4923</v>
      </c>
      <c r="E808" s="74" t="s">
        <v>6064</v>
      </c>
      <c r="F808" s="74" t="s">
        <v>4939</v>
      </c>
      <c r="G808" s="74">
        <v>1</v>
      </c>
      <c r="H808" s="116">
        <v>253000</v>
      </c>
      <c r="I808" s="74"/>
    </row>
    <row r="809" spans="1:9">
      <c r="A809" s="584"/>
      <c r="B809" s="584"/>
      <c r="C809" s="74" t="s">
        <v>4747</v>
      </c>
      <c r="D809" s="74" t="s">
        <v>4923</v>
      </c>
      <c r="E809" s="74" t="s">
        <v>2579</v>
      </c>
      <c r="F809" s="74" t="s">
        <v>4939</v>
      </c>
      <c r="G809" s="74">
        <v>1</v>
      </c>
      <c r="H809" s="116">
        <v>9376715.8200000003</v>
      </c>
      <c r="I809" s="74"/>
    </row>
    <row r="810" spans="1:9">
      <c r="A810" s="584"/>
      <c r="B810" s="584"/>
      <c r="C810" s="74" t="s">
        <v>6065</v>
      </c>
      <c r="D810" s="74" t="s">
        <v>4923</v>
      </c>
      <c r="E810" s="74" t="s">
        <v>6066</v>
      </c>
      <c r="F810" s="74" t="s">
        <v>4939</v>
      </c>
      <c r="G810" s="74">
        <v>1</v>
      </c>
      <c r="H810" s="116">
        <v>2157248</v>
      </c>
      <c r="I810" s="74"/>
    </row>
    <row r="811" spans="1:9">
      <c r="A811" s="584"/>
      <c r="B811" s="584"/>
      <c r="C811" s="74" t="s">
        <v>6067</v>
      </c>
      <c r="D811" s="74" t="s">
        <v>4923</v>
      </c>
      <c r="E811" s="74" t="s">
        <v>6068</v>
      </c>
      <c r="F811" s="74" t="s">
        <v>4939</v>
      </c>
      <c r="G811" s="74">
        <v>1</v>
      </c>
      <c r="H811" s="116">
        <v>228900</v>
      </c>
      <c r="I811" s="74"/>
    </row>
    <row r="812" spans="1:9">
      <c r="A812" s="584"/>
      <c r="B812" s="584"/>
      <c r="C812" s="74" t="s">
        <v>6069</v>
      </c>
      <c r="D812" s="74" t="s">
        <v>4923</v>
      </c>
      <c r="E812" s="74" t="s">
        <v>6070</v>
      </c>
      <c r="F812" s="74" t="s">
        <v>4939</v>
      </c>
      <c r="G812" s="74">
        <v>1</v>
      </c>
      <c r="H812" s="116">
        <v>412333</v>
      </c>
      <c r="I812" s="74"/>
    </row>
    <row r="813" spans="1:9">
      <c r="A813" s="584"/>
      <c r="B813" s="584"/>
      <c r="C813" s="74" t="s">
        <v>6071</v>
      </c>
      <c r="D813" s="74" t="s">
        <v>4923</v>
      </c>
      <c r="E813" s="74" t="s">
        <v>6072</v>
      </c>
      <c r="F813" s="74" t="s">
        <v>4939</v>
      </c>
      <c r="G813" s="74">
        <v>1</v>
      </c>
      <c r="H813" s="116">
        <v>498976.52928905631</v>
      </c>
      <c r="I813" s="74"/>
    </row>
    <row r="814" spans="1:9">
      <c r="A814" s="577"/>
      <c r="B814" s="577"/>
      <c r="C814" s="74" t="s">
        <v>6073</v>
      </c>
      <c r="D814" s="74" t="s">
        <v>4923</v>
      </c>
      <c r="E814" s="74" t="s">
        <v>6074</v>
      </c>
      <c r="F814" s="74" t="s">
        <v>4939</v>
      </c>
      <c r="G814" s="74">
        <v>1</v>
      </c>
      <c r="H814" s="116">
        <v>2765291.5</v>
      </c>
      <c r="I814" s="74"/>
    </row>
    <row r="815" spans="1:9">
      <c r="A815" s="571">
        <v>23</v>
      </c>
      <c r="B815" s="571" t="s">
        <v>161</v>
      </c>
      <c r="C815" s="76" t="s">
        <v>6075</v>
      </c>
      <c r="D815" s="76" t="s">
        <v>6030</v>
      </c>
      <c r="E815" s="76" t="s">
        <v>6076</v>
      </c>
      <c r="F815" s="76"/>
      <c r="G815" s="76"/>
      <c r="H815" s="117">
        <v>331380.46000000002</v>
      </c>
      <c r="I815" s="76"/>
    </row>
    <row r="816" spans="1:9">
      <c r="A816" s="572"/>
      <c r="B816" s="572"/>
      <c r="C816" s="76" t="s">
        <v>6043</v>
      </c>
      <c r="D816" s="76" t="s">
        <v>6030</v>
      </c>
      <c r="E816" s="76" t="s">
        <v>6044</v>
      </c>
      <c r="F816" s="76"/>
      <c r="G816" s="76"/>
      <c r="H816" s="117">
        <v>290400</v>
      </c>
      <c r="I816" s="76"/>
    </row>
    <row r="817" spans="1:9">
      <c r="A817" s="572"/>
      <c r="B817" s="572"/>
      <c r="C817" s="76" t="s">
        <v>6036</v>
      </c>
      <c r="D817" s="76" t="s">
        <v>6030</v>
      </c>
      <c r="E817" s="76" t="s">
        <v>6037</v>
      </c>
      <c r="F817" s="76"/>
      <c r="G817" s="76"/>
      <c r="H817" s="117">
        <v>143260</v>
      </c>
      <c r="I817" s="76"/>
    </row>
    <row r="818" spans="1:9">
      <c r="A818" s="572"/>
      <c r="B818" s="572"/>
      <c r="C818" s="76" t="s">
        <v>6077</v>
      </c>
      <c r="D818" s="76" t="s">
        <v>6030</v>
      </c>
      <c r="E818" s="76" t="s">
        <v>6078</v>
      </c>
      <c r="F818" s="76"/>
      <c r="G818" s="76"/>
      <c r="H818" s="117">
        <v>91273.12</v>
      </c>
      <c r="I818" s="76"/>
    </row>
    <row r="819" spans="1:9">
      <c r="A819" s="572"/>
      <c r="B819" s="572"/>
      <c r="C819" s="76" t="s">
        <v>6079</v>
      </c>
      <c r="D819" s="76" t="s">
        <v>6030</v>
      </c>
      <c r="E819" s="76" t="s">
        <v>6080</v>
      </c>
      <c r="F819" s="76"/>
      <c r="G819" s="76"/>
      <c r="H819" s="117">
        <v>17500</v>
      </c>
      <c r="I819" s="76"/>
    </row>
    <row r="820" spans="1:9">
      <c r="A820" s="572"/>
      <c r="B820" s="572"/>
      <c r="C820" s="76" t="s">
        <v>6041</v>
      </c>
      <c r="D820" s="76" t="s">
        <v>6030</v>
      </c>
      <c r="E820" s="76" t="s">
        <v>6042</v>
      </c>
      <c r="F820" s="76"/>
      <c r="G820" s="76"/>
      <c r="H820" s="117">
        <v>15680</v>
      </c>
      <c r="I820" s="76"/>
    </row>
    <row r="821" spans="1:9">
      <c r="A821" s="572"/>
      <c r="B821" s="572"/>
      <c r="C821" s="76" t="s">
        <v>6081</v>
      </c>
      <c r="D821" s="76" t="s">
        <v>6030</v>
      </c>
      <c r="E821" s="76" t="s">
        <v>6035</v>
      </c>
      <c r="F821" s="76"/>
      <c r="G821" s="76"/>
      <c r="H821" s="117">
        <v>10400</v>
      </c>
      <c r="I821" s="76"/>
    </row>
    <row r="822" spans="1:9">
      <c r="A822" s="573"/>
      <c r="B822" s="573"/>
      <c r="C822" s="76" t="s">
        <v>4881</v>
      </c>
      <c r="D822" s="76" t="s">
        <v>6030</v>
      </c>
      <c r="E822" s="76" t="s">
        <v>6008</v>
      </c>
      <c r="F822" s="76"/>
      <c r="G822" s="76"/>
      <c r="H822" s="117">
        <v>5100</v>
      </c>
      <c r="I822" s="76"/>
    </row>
    <row r="823" spans="1:9">
      <c r="A823" s="576">
        <v>24</v>
      </c>
      <c r="B823" s="576" t="s">
        <v>729</v>
      </c>
      <c r="C823" s="74" t="s">
        <v>6082</v>
      </c>
      <c r="D823" s="74" t="s">
        <v>4923</v>
      </c>
      <c r="E823" s="74" t="s">
        <v>6008</v>
      </c>
      <c r="F823" s="74" t="s">
        <v>6083</v>
      </c>
      <c r="G823" s="74">
        <v>1</v>
      </c>
      <c r="H823" s="116">
        <v>16765162.530000001</v>
      </c>
      <c r="I823" s="74"/>
    </row>
    <row r="824" spans="1:9">
      <c r="A824" s="584"/>
      <c r="B824" s="584"/>
      <c r="C824" s="74" t="s">
        <v>6084</v>
      </c>
      <c r="D824" s="74" t="s">
        <v>4923</v>
      </c>
      <c r="E824" s="74" t="s">
        <v>6085</v>
      </c>
      <c r="F824" s="74" t="s">
        <v>6086</v>
      </c>
      <c r="G824" s="74">
        <v>1</v>
      </c>
      <c r="H824" s="116">
        <v>14502872.689999999</v>
      </c>
      <c r="I824" s="74"/>
    </row>
    <row r="825" spans="1:9">
      <c r="A825" s="584"/>
      <c r="B825" s="584"/>
      <c r="C825" s="74" t="s">
        <v>6087</v>
      </c>
      <c r="D825" s="74" t="s">
        <v>4923</v>
      </c>
      <c r="E825" s="74" t="s">
        <v>6088</v>
      </c>
      <c r="F825" s="74" t="s">
        <v>6089</v>
      </c>
      <c r="G825" s="74">
        <v>1</v>
      </c>
      <c r="H825" s="116">
        <v>8075726.1400000015</v>
      </c>
      <c r="I825" s="74"/>
    </row>
    <row r="826" spans="1:9">
      <c r="A826" s="584"/>
      <c r="B826" s="584"/>
      <c r="C826" s="74" t="s">
        <v>6090</v>
      </c>
      <c r="D826" s="74" t="s">
        <v>4923</v>
      </c>
      <c r="E826" s="74" t="s">
        <v>6091</v>
      </c>
      <c r="F826" s="74" t="s">
        <v>6092</v>
      </c>
      <c r="G826" s="74">
        <v>1</v>
      </c>
      <c r="H826" s="116">
        <v>4688333.9399999995</v>
      </c>
      <c r="I826" s="74"/>
    </row>
    <row r="827" spans="1:9">
      <c r="A827" s="584"/>
      <c r="B827" s="584"/>
      <c r="C827" s="74" t="s">
        <v>6093</v>
      </c>
      <c r="D827" s="74" t="s">
        <v>4923</v>
      </c>
      <c r="E827" s="74" t="s">
        <v>6094</v>
      </c>
      <c r="F827" s="74" t="s">
        <v>6095</v>
      </c>
      <c r="G827" s="74">
        <v>1</v>
      </c>
      <c r="H827" s="116">
        <v>2653400.5400000005</v>
      </c>
      <c r="I827" s="74"/>
    </row>
    <row r="828" spans="1:9">
      <c r="A828" s="584"/>
      <c r="B828" s="584"/>
      <c r="C828" s="74" t="s">
        <v>6096</v>
      </c>
      <c r="D828" s="74" t="s">
        <v>4923</v>
      </c>
      <c r="E828" s="74" t="s">
        <v>6097</v>
      </c>
      <c r="F828" s="74" t="s">
        <v>6098</v>
      </c>
      <c r="G828" s="74">
        <v>1</v>
      </c>
      <c r="H828" s="116">
        <v>2495079.5499999998</v>
      </c>
      <c r="I828" s="74"/>
    </row>
    <row r="829" spans="1:9">
      <c r="A829" s="584"/>
      <c r="B829" s="584"/>
      <c r="C829" s="74" t="s">
        <v>6099</v>
      </c>
      <c r="D829" s="74" t="s">
        <v>4923</v>
      </c>
      <c r="E829" s="74" t="s">
        <v>6100</v>
      </c>
      <c r="F829" s="74" t="s">
        <v>6101</v>
      </c>
      <c r="G829" s="74">
        <v>1</v>
      </c>
      <c r="H829" s="116">
        <v>2086064.85</v>
      </c>
      <c r="I829" s="74"/>
    </row>
    <row r="830" spans="1:9">
      <c r="A830" s="584"/>
      <c r="B830" s="584"/>
      <c r="C830" s="74" t="s">
        <v>5990</v>
      </c>
      <c r="D830" s="74" t="s">
        <v>4923</v>
      </c>
      <c r="E830" s="74" t="s">
        <v>5991</v>
      </c>
      <c r="F830" s="74" t="s">
        <v>6102</v>
      </c>
      <c r="G830" s="74">
        <v>1</v>
      </c>
      <c r="H830" s="116">
        <v>713840.98</v>
      </c>
      <c r="I830" s="74"/>
    </row>
    <row r="831" spans="1:9">
      <c r="A831" s="577"/>
      <c r="B831" s="577"/>
      <c r="C831" s="74" t="s">
        <v>6103</v>
      </c>
      <c r="D831" s="74" t="s">
        <v>4923</v>
      </c>
      <c r="E831" s="74" t="s">
        <v>790</v>
      </c>
      <c r="F831" s="74" t="s">
        <v>6104</v>
      </c>
      <c r="G831" s="74">
        <v>1</v>
      </c>
      <c r="H831" s="116">
        <v>140711.16</v>
      </c>
      <c r="I831" s="74"/>
    </row>
    <row r="832" spans="1:9" ht="24">
      <c r="A832" s="571">
        <v>29</v>
      </c>
      <c r="B832" s="571" t="s">
        <v>752</v>
      </c>
      <c r="C832" s="78" t="s">
        <v>6105</v>
      </c>
      <c r="D832" s="78" t="s">
        <v>4690</v>
      </c>
      <c r="E832" s="78" t="s">
        <v>6106</v>
      </c>
      <c r="F832" s="78" t="s">
        <v>6107</v>
      </c>
      <c r="G832" s="78" t="s">
        <v>6108</v>
      </c>
      <c r="H832" s="114">
        <v>185802053.86000001</v>
      </c>
      <c r="I832" s="76"/>
    </row>
    <row r="833" spans="1:9" ht="24">
      <c r="A833" s="572"/>
      <c r="B833" s="572"/>
      <c r="C833" s="78" t="s">
        <v>6109</v>
      </c>
      <c r="D833" s="78" t="s">
        <v>4690</v>
      </c>
      <c r="E833" s="78" t="s">
        <v>6110</v>
      </c>
      <c r="F833" s="78" t="s">
        <v>6111</v>
      </c>
      <c r="G833" s="78"/>
      <c r="H833" s="114">
        <v>89122530</v>
      </c>
      <c r="I833" s="76"/>
    </row>
    <row r="834" spans="1:9">
      <c r="A834" s="572"/>
      <c r="B834" s="572"/>
      <c r="C834" s="78" t="s">
        <v>6112</v>
      </c>
      <c r="D834" s="78" t="s">
        <v>4690</v>
      </c>
      <c r="E834" s="78" t="s">
        <v>6113</v>
      </c>
      <c r="F834" s="78" t="s">
        <v>6114</v>
      </c>
      <c r="G834" s="78" t="s">
        <v>6108</v>
      </c>
      <c r="H834" s="114">
        <v>87787636.650000006</v>
      </c>
      <c r="I834" s="76"/>
    </row>
    <row r="835" spans="1:9" ht="24">
      <c r="A835" s="572"/>
      <c r="B835" s="572"/>
      <c r="C835" s="78" t="s">
        <v>6115</v>
      </c>
      <c r="D835" s="78" t="s">
        <v>4690</v>
      </c>
      <c r="E835" s="78" t="s">
        <v>6116</v>
      </c>
      <c r="F835" s="78" t="s">
        <v>6117</v>
      </c>
      <c r="G835" s="78"/>
      <c r="H835" s="114">
        <v>29194678.449999999</v>
      </c>
      <c r="I835" s="76"/>
    </row>
    <row r="836" spans="1:9" ht="24">
      <c r="A836" s="572"/>
      <c r="B836" s="572"/>
      <c r="C836" s="78" t="s">
        <v>6118</v>
      </c>
      <c r="D836" s="78" t="s">
        <v>4690</v>
      </c>
      <c r="E836" s="78" t="s">
        <v>2797</v>
      </c>
      <c r="F836" s="78" t="s">
        <v>6119</v>
      </c>
      <c r="G836" s="78"/>
      <c r="H836" s="114">
        <v>21245133.170000002</v>
      </c>
      <c r="I836" s="76"/>
    </row>
    <row r="837" spans="1:9" ht="24">
      <c r="A837" s="572"/>
      <c r="B837" s="572"/>
      <c r="C837" s="78" t="s">
        <v>6120</v>
      </c>
      <c r="D837" s="78" t="s">
        <v>4690</v>
      </c>
      <c r="E837" s="78" t="s">
        <v>2551</v>
      </c>
      <c r="F837" s="78" t="s">
        <v>6121</v>
      </c>
      <c r="G837" s="78"/>
      <c r="H837" s="114">
        <v>4834569.05</v>
      </c>
      <c r="I837" s="76"/>
    </row>
    <row r="838" spans="1:9" ht="24">
      <c r="A838" s="572"/>
      <c r="B838" s="572"/>
      <c r="C838" s="78" t="s">
        <v>6122</v>
      </c>
      <c r="D838" s="78" t="s">
        <v>4690</v>
      </c>
      <c r="E838" s="78" t="s">
        <v>6068</v>
      </c>
      <c r="F838" s="78" t="s">
        <v>6123</v>
      </c>
      <c r="G838" s="78" t="s">
        <v>6108</v>
      </c>
      <c r="H838" s="114">
        <v>2787750</v>
      </c>
      <c r="I838" s="76"/>
    </row>
    <row r="839" spans="1:9" ht="24">
      <c r="A839" s="572"/>
      <c r="B839" s="572"/>
      <c r="C839" s="78" t="s">
        <v>6124</v>
      </c>
      <c r="D839" s="78" t="s">
        <v>4690</v>
      </c>
      <c r="E839" s="78" t="s">
        <v>6125</v>
      </c>
      <c r="F839" s="78" t="s">
        <v>6126</v>
      </c>
      <c r="G839" s="78" t="s">
        <v>6108</v>
      </c>
      <c r="H839" s="114">
        <v>2647552.5</v>
      </c>
      <c r="I839" s="76"/>
    </row>
    <row r="840" spans="1:9" ht="24">
      <c r="A840" s="572"/>
      <c r="B840" s="572"/>
      <c r="C840" s="78" t="s">
        <v>6127</v>
      </c>
      <c r="D840" s="78" t="s">
        <v>4690</v>
      </c>
      <c r="E840" s="78" t="s">
        <v>6128</v>
      </c>
      <c r="F840" s="78" t="s">
        <v>6129</v>
      </c>
      <c r="G840" s="78"/>
      <c r="H840" s="114">
        <v>1744670.21</v>
      </c>
      <c r="I840" s="76"/>
    </row>
    <row r="841" spans="1:9" ht="24">
      <c r="A841" s="572"/>
      <c r="B841" s="572"/>
      <c r="C841" s="78" t="s">
        <v>6130</v>
      </c>
      <c r="D841" s="78" t="s">
        <v>4690</v>
      </c>
      <c r="E841" s="78" t="s">
        <v>6131</v>
      </c>
      <c r="F841" s="78" t="s">
        <v>6132</v>
      </c>
      <c r="G841" s="78" t="s">
        <v>6108</v>
      </c>
      <c r="H841" s="114">
        <v>1329000</v>
      </c>
      <c r="I841" s="76"/>
    </row>
    <row r="842" spans="1:9" ht="24">
      <c r="A842" s="572"/>
      <c r="B842" s="572"/>
      <c r="C842" s="78" t="s">
        <v>6133</v>
      </c>
      <c r="D842" s="78" t="s">
        <v>4690</v>
      </c>
      <c r="E842" s="78" t="s">
        <v>6134</v>
      </c>
      <c r="F842" s="78" t="s">
        <v>6135</v>
      </c>
      <c r="G842" s="78" t="s">
        <v>6108</v>
      </c>
      <c r="H842" s="114">
        <v>1291870.01</v>
      </c>
      <c r="I842" s="76"/>
    </row>
    <row r="843" spans="1:9" ht="24">
      <c r="A843" s="572"/>
      <c r="B843" s="572"/>
      <c r="C843" s="78" t="s">
        <v>6136</v>
      </c>
      <c r="D843" s="78" t="s">
        <v>4690</v>
      </c>
      <c r="E843" s="78" t="s">
        <v>5742</v>
      </c>
      <c r="F843" s="78" t="s">
        <v>6137</v>
      </c>
      <c r="G843" s="78" t="s">
        <v>6108</v>
      </c>
      <c r="H843" s="114">
        <v>1289952</v>
      </c>
      <c r="I843" s="76"/>
    </row>
    <row r="844" spans="1:9" ht="24">
      <c r="A844" s="572"/>
      <c r="B844" s="572"/>
      <c r="C844" s="78" t="s">
        <v>6138</v>
      </c>
      <c r="D844" s="78" t="s">
        <v>4690</v>
      </c>
      <c r="E844" s="78" t="s">
        <v>6139</v>
      </c>
      <c r="F844" s="78" t="s">
        <v>6140</v>
      </c>
      <c r="G844" s="78" t="s">
        <v>6108</v>
      </c>
      <c r="H844" s="114">
        <v>1047723.3</v>
      </c>
      <c r="I844" s="76"/>
    </row>
    <row r="845" spans="1:9" ht="24">
      <c r="A845" s="572"/>
      <c r="B845" s="572"/>
      <c r="C845" s="78" t="s">
        <v>6141</v>
      </c>
      <c r="D845" s="78" t="s">
        <v>4690</v>
      </c>
      <c r="E845" s="78"/>
      <c r="F845" s="78" t="s">
        <v>6142</v>
      </c>
      <c r="G845" s="78" t="s">
        <v>6108</v>
      </c>
      <c r="H845" s="114">
        <v>540000</v>
      </c>
      <c r="I845" s="76"/>
    </row>
    <row r="846" spans="1:9" ht="24">
      <c r="A846" s="572"/>
      <c r="B846" s="572"/>
      <c r="C846" s="78" t="s">
        <v>6143</v>
      </c>
      <c r="D846" s="78" t="s">
        <v>4690</v>
      </c>
      <c r="E846" s="78" t="s">
        <v>6144</v>
      </c>
      <c r="F846" s="78" t="s">
        <v>6145</v>
      </c>
      <c r="G846" s="78" t="s">
        <v>6108</v>
      </c>
      <c r="H846" s="114">
        <v>532056.5</v>
      </c>
      <c r="I846" s="76"/>
    </row>
    <row r="847" spans="1:9" ht="24">
      <c r="A847" s="572"/>
      <c r="B847" s="572"/>
      <c r="C847" s="78" t="s">
        <v>6146</v>
      </c>
      <c r="D847" s="78" t="s">
        <v>4690</v>
      </c>
      <c r="E847" s="78" t="s">
        <v>4953</v>
      </c>
      <c r="F847" s="78" t="s">
        <v>6147</v>
      </c>
      <c r="G847" s="78" t="s">
        <v>6108</v>
      </c>
      <c r="H847" s="114">
        <v>346838</v>
      </c>
      <c r="I847" s="76"/>
    </row>
    <row r="848" spans="1:9" ht="24">
      <c r="A848" s="572"/>
      <c r="B848" s="572"/>
      <c r="C848" s="78" t="s">
        <v>6148</v>
      </c>
      <c r="D848" s="78" t="s">
        <v>4690</v>
      </c>
      <c r="E848" s="78" t="s">
        <v>6149</v>
      </c>
      <c r="F848" s="78" t="s">
        <v>6150</v>
      </c>
      <c r="G848" s="78" t="s">
        <v>6108</v>
      </c>
      <c r="H848" s="114">
        <v>346293.45</v>
      </c>
      <c r="I848" s="76"/>
    </row>
    <row r="849" spans="1:9" ht="24">
      <c r="A849" s="572"/>
      <c r="B849" s="572"/>
      <c r="C849" s="78" t="s">
        <v>6151</v>
      </c>
      <c r="D849" s="78" t="s">
        <v>4690</v>
      </c>
      <c r="E849" s="78" t="s">
        <v>6152</v>
      </c>
      <c r="F849" s="78" t="s">
        <v>6153</v>
      </c>
      <c r="G849" s="78" t="s">
        <v>6108</v>
      </c>
      <c r="H849" s="114">
        <v>307050</v>
      </c>
      <c r="I849" s="76"/>
    </row>
    <row r="850" spans="1:9" ht="24">
      <c r="A850" s="572"/>
      <c r="B850" s="572"/>
      <c r="C850" s="78" t="s">
        <v>6154</v>
      </c>
      <c r="D850" s="78" t="s">
        <v>4690</v>
      </c>
      <c r="E850" s="78" t="s">
        <v>6155</v>
      </c>
      <c r="F850" s="78" t="s">
        <v>6156</v>
      </c>
      <c r="G850" s="78" t="s">
        <v>6108</v>
      </c>
      <c r="H850" s="114">
        <v>193077.54</v>
      </c>
      <c r="I850" s="76"/>
    </row>
    <row r="851" spans="1:9">
      <c r="A851" s="572"/>
      <c r="B851" s="572"/>
      <c r="C851" s="78" t="s">
        <v>6157</v>
      </c>
      <c r="D851" s="78" t="s">
        <v>4690</v>
      </c>
      <c r="E851" s="78" t="s">
        <v>6158</v>
      </c>
      <c r="F851" s="78" t="s">
        <v>6159</v>
      </c>
      <c r="G851" s="78" t="s">
        <v>6108</v>
      </c>
      <c r="H851" s="114">
        <v>182177</v>
      </c>
      <c r="I851" s="76"/>
    </row>
    <row r="852" spans="1:9" ht="24">
      <c r="A852" s="572"/>
      <c r="B852" s="572"/>
      <c r="C852" s="78" t="s">
        <v>6160</v>
      </c>
      <c r="D852" s="78" t="s">
        <v>4690</v>
      </c>
      <c r="E852" s="78" t="s">
        <v>6161</v>
      </c>
      <c r="F852" s="78" t="s">
        <v>6162</v>
      </c>
      <c r="G852" s="78" t="s">
        <v>6108</v>
      </c>
      <c r="H852" s="114">
        <v>149098.5</v>
      </c>
      <c r="I852" s="76"/>
    </row>
    <row r="853" spans="1:9" ht="24">
      <c r="A853" s="572"/>
      <c r="B853" s="572"/>
      <c r="C853" s="78" t="s">
        <v>6163</v>
      </c>
      <c r="D853" s="78" t="s">
        <v>4690</v>
      </c>
      <c r="E853" s="78" t="s">
        <v>6164</v>
      </c>
      <c r="F853" s="78" t="s">
        <v>6165</v>
      </c>
      <c r="G853" s="78" t="s">
        <v>6108</v>
      </c>
      <c r="H853" s="114">
        <v>145000</v>
      </c>
      <c r="I853" s="76"/>
    </row>
    <row r="854" spans="1:9" ht="24">
      <c r="A854" s="572"/>
      <c r="B854" s="572"/>
      <c r="C854" s="78" t="s">
        <v>6166</v>
      </c>
      <c r="D854" s="78" t="s">
        <v>4690</v>
      </c>
      <c r="E854" s="78" t="s">
        <v>6167</v>
      </c>
      <c r="F854" s="78" t="s">
        <v>6168</v>
      </c>
      <c r="G854" s="78" t="s">
        <v>6108</v>
      </c>
      <c r="H854" s="114">
        <v>138000</v>
      </c>
      <c r="I854" s="76"/>
    </row>
    <row r="855" spans="1:9" ht="24">
      <c r="A855" s="572"/>
      <c r="B855" s="572"/>
      <c r="C855" s="78" t="s">
        <v>6169</v>
      </c>
      <c r="D855" s="78" t="s">
        <v>4690</v>
      </c>
      <c r="E855" s="78" t="s">
        <v>6170</v>
      </c>
      <c r="F855" s="78" t="s">
        <v>6171</v>
      </c>
      <c r="G855" s="78" t="s">
        <v>6108</v>
      </c>
      <c r="H855" s="114">
        <v>136858</v>
      </c>
      <c r="I855" s="76"/>
    </row>
    <row r="856" spans="1:9" ht="24">
      <c r="A856" s="572"/>
      <c r="B856" s="572"/>
      <c r="C856" s="78" t="s">
        <v>6172</v>
      </c>
      <c r="D856" s="78" t="s">
        <v>4690</v>
      </c>
      <c r="E856" s="78" t="s">
        <v>6173</v>
      </c>
      <c r="F856" s="78" t="s">
        <v>6174</v>
      </c>
      <c r="G856" s="78" t="s">
        <v>6108</v>
      </c>
      <c r="H856" s="114">
        <v>135000</v>
      </c>
      <c r="I856" s="76"/>
    </row>
    <row r="857" spans="1:9" ht="24">
      <c r="A857" s="572"/>
      <c r="B857" s="572"/>
      <c r="C857" s="78" t="s">
        <v>6175</v>
      </c>
      <c r="D857" s="78" t="s">
        <v>4690</v>
      </c>
      <c r="E857" s="78" t="s">
        <v>6176</v>
      </c>
      <c r="F857" s="78" t="s">
        <v>6177</v>
      </c>
      <c r="G857" s="78" t="s">
        <v>6108</v>
      </c>
      <c r="H857" s="114">
        <v>105450</v>
      </c>
      <c r="I857" s="76"/>
    </row>
    <row r="858" spans="1:9" ht="24">
      <c r="A858" s="572"/>
      <c r="B858" s="572"/>
      <c r="C858" s="78" t="s">
        <v>6178</v>
      </c>
      <c r="D858" s="78" t="s">
        <v>4690</v>
      </c>
      <c r="E858" s="78" t="s">
        <v>6179</v>
      </c>
      <c r="F858" s="78" t="s">
        <v>6180</v>
      </c>
      <c r="G858" s="78" t="s">
        <v>6108</v>
      </c>
      <c r="H858" s="114">
        <v>85336.5</v>
      </c>
      <c r="I858" s="76"/>
    </row>
    <row r="859" spans="1:9">
      <c r="A859" s="572"/>
      <c r="B859" s="572"/>
      <c r="C859" s="78" t="s">
        <v>6181</v>
      </c>
      <c r="D859" s="78" t="s">
        <v>4690</v>
      </c>
      <c r="E859" s="78" t="s">
        <v>6182</v>
      </c>
      <c r="F859" s="78" t="s">
        <v>6183</v>
      </c>
      <c r="G859" s="78" t="s">
        <v>6108</v>
      </c>
      <c r="H859" s="114">
        <v>81183</v>
      </c>
      <c r="I859" s="76"/>
    </row>
    <row r="860" spans="1:9" ht="24">
      <c r="A860" s="572"/>
      <c r="B860" s="572"/>
      <c r="C860" s="78" t="s">
        <v>6184</v>
      </c>
      <c r="D860" s="78" t="s">
        <v>4690</v>
      </c>
      <c r="E860" s="78" t="s">
        <v>2587</v>
      </c>
      <c r="F860" s="78" t="s">
        <v>6185</v>
      </c>
      <c r="G860" s="78" t="s">
        <v>6108</v>
      </c>
      <c r="H860" s="114">
        <v>69500</v>
      </c>
      <c r="I860" s="76"/>
    </row>
    <row r="861" spans="1:9" ht="24">
      <c r="A861" s="572"/>
      <c r="B861" s="572"/>
      <c r="C861" s="78" t="s">
        <v>6186</v>
      </c>
      <c r="D861" s="78" t="s">
        <v>4690</v>
      </c>
      <c r="E861" s="78" t="s">
        <v>6187</v>
      </c>
      <c r="F861" s="78" t="s">
        <v>6188</v>
      </c>
      <c r="G861" s="78" t="s">
        <v>6108</v>
      </c>
      <c r="H861" s="114">
        <v>67958</v>
      </c>
      <c r="I861" s="76"/>
    </row>
    <row r="862" spans="1:9" ht="24">
      <c r="A862" s="572"/>
      <c r="B862" s="572"/>
      <c r="C862" s="78" t="s">
        <v>6189</v>
      </c>
      <c r="D862" s="78" t="s">
        <v>4690</v>
      </c>
      <c r="E862" s="78" t="s">
        <v>6190</v>
      </c>
      <c r="F862" s="78" t="s">
        <v>6191</v>
      </c>
      <c r="G862" s="78" t="s">
        <v>6108</v>
      </c>
      <c r="H862" s="114">
        <v>51821.06</v>
      </c>
      <c r="I862" s="76"/>
    </row>
    <row r="863" spans="1:9" ht="24">
      <c r="A863" s="572"/>
      <c r="B863" s="572"/>
      <c r="C863" s="78" t="s">
        <v>6192</v>
      </c>
      <c r="D863" s="78" t="s">
        <v>4690</v>
      </c>
      <c r="E863" s="78" t="s">
        <v>6193</v>
      </c>
      <c r="F863" s="78" t="s">
        <v>6194</v>
      </c>
      <c r="G863" s="78" t="s">
        <v>6108</v>
      </c>
      <c r="H863" s="114">
        <v>46953.11</v>
      </c>
      <c r="I863" s="76"/>
    </row>
    <row r="864" spans="1:9" ht="24">
      <c r="A864" s="572"/>
      <c r="B864" s="572"/>
      <c r="C864" s="78" t="s">
        <v>6195</v>
      </c>
      <c r="D864" s="78" t="s">
        <v>4690</v>
      </c>
      <c r="E864" s="78" t="s">
        <v>6196</v>
      </c>
      <c r="F864" s="78" t="s">
        <v>6197</v>
      </c>
      <c r="G864" s="78" t="s">
        <v>6108</v>
      </c>
      <c r="H864" s="114">
        <v>30835</v>
      </c>
      <c r="I864" s="76"/>
    </row>
    <row r="865" spans="1:9" ht="24">
      <c r="A865" s="572"/>
      <c r="B865" s="572"/>
      <c r="C865" s="78" t="s">
        <v>6198</v>
      </c>
      <c r="D865" s="78" t="s">
        <v>4690</v>
      </c>
      <c r="E865" s="78" t="s">
        <v>6199</v>
      </c>
      <c r="F865" s="78" t="s">
        <v>6200</v>
      </c>
      <c r="G865" s="78" t="s">
        <v>6108</v>
      </c>
      <c r="H865" s="114">
        <v>25045</v>
      </c>
      <c r="I865" s="76"/>
    </row>
    <row r="866" spans="1:9" ht="24">
      <c r="A866" s="572"/>
      <c r="B866" s="572"/>
      <c r="C866" s="78" t="s">
        <v>6201</v>
      </c>
      <c r="D866" s="78" t="s">
        <v>4690</v>
      </c>
      <c r="E866" s="78" t="s">
        <v>6202</v>
      </c>
      <c r="F866" s="78" t="s">
        <v>6203</v>
      </c>
      <c r="G866" s="78"/>
      <c r="H866" s="114">
        <v>22188</v>
      </c>
      <c r="I866" s="76"/>
    </row>
    <row r="867" spans="1:9" ht="24">
      <c r="A867" s="573"/>
      <c r="B867" s="573"/>
      <c r="C867" s="78" t="s">
        <v>6204</v>
      </c>
      <c r="D867" s="78" t="s">
        <v>4690</v>
      </c>
      <c r="E867" s="78" t="s">
        <v>6205</v>
      </c>
      <c r="F867" s="78" t="s">
        <v>6206</v>
      </c>
      <c r="G867" s="78"/>
      <c r="H867" s="114">
        <v>4200</v>
      </c>
      <c r="I867" s="76"/>
    </row>
    <row r="868" spans="1:9">
      <c r="A868" s="576">
        <v>33</v>
      </c>
      <c r="B868" s="588" t="s">
        <v>767</v>
      </c>
      <c r="C868" s="74" t="s">
        <v>6207</v>
      </c>
      <c r="D868" s="74" t="s">
        <v>4690</v>
      </c>
      <c r="E868" s="74" t="s">
        <v>4699</v>
      </c>
      <c r="F868" s="74" t="s">
        <v>6208</v>
      </c>
      <c r="G868" s="74">
        <v>1</v>
      </c>
      <c r="H868" s="116">
        <v>38731585.899999999</v>
      </c>
      <c r="I868" s="74"/>
    </row>
    <row r="869" spans="1:9">
      <c r="A869" s="584"/>
      <c r="B869" s="612"/>
      <c r="C869" s="74" t="s">
        <v>4693</v>
      </c>
      <c r="D869" s="74" t="s">
        <v>4690</v>
      </c>
      <c r="E869" s="74" t="s">
        <v>4694</v>
      </c>
      <c r="F869" s="74" t="s">
        <v>6209</v>
      </c>
      <c r="G869" s="74">
        <v>3</v>
      </c>
      <c r="H869" s="116">
        <v>27517955.810000002</v>
      </c>
      <c r="I869" s="74"/>
    </row>
    <row r="870" spans="1:9">
      <c r="A870" s="584"/>
      <c r="B870" s="612"/>
      <c r="C870" s="74" t="s">
        <v>6210</v>
      </c>
      <c r="D870" s="74" t="s">
        <v>4690</v>
      </c>
      <c r="E870" s="74" t="s">
        <v>4702</v>
      </c>
      <c r="F870" s="74" t="s">
        <v>6211</v>
      </c>
      <c r="G870" s="74">
        <v>2</v>
      </c>
      <c r="H870" s="116">
        <v>8134298.1900000004</v>
      </c>
      <c r="I870" s="74"/>
    </row>
    <row r="871" spans="1:9">
      <c r="A871" s="584"/>
      <c r="B871" s="612"/>
      <c r="C871" s="74" t="s">
        <v>6212</v>
      </c>
      <c r="D871" s="74" t="s">
        <v>4690</v>
      </c>
      <c r="E871" s="74" t="s">
        <v>6110</v>
      </c>
      <c r="F871" s="74" t="s">
        <v>6213</v>
      </c>
      <c r="G871" s="74">
        <v>1</v>
      </c>
      <c r="H871" s="116">
        <v>6999365.6099999994</v>
      </c>
      <c r="I871" s="74"/>
    </row>
    <row r="872" spans="1:9">
      <c r="A872" s="584"/>
      <c r="B872" s="612"/>
      <c r="C872" s="74" t="s">
        <v>6214</v>
      </c>
      <c r="D872" s="74" t="s">
        <v>4690</v>
      </c>
      <c r="E872" s="74" t="s">
        <v>6215</v>
      </c>
      <c r="F872" s="74" t="s">
        <v>6216</v>
      </c>
      <c r="G872" s="74">
        <v>1</v>
      </c>
      <c r="H872" s="116">
        <v>3372145.01</v>
      </c>
      <c r="I872" s="74"/>
    </row>
    <row r="873" spans="1:9">
      <c r="A873" s="584"/>
      <c r="B873" s="612"/>
      <c r="C873" s="74" t="s">
        <v>6217</v>
      </c>
      <c r="D873" s="74" t="s">
        <v>4690</v>
      </c>
      <c r="E873" s="74" t="s">
        <v>6218</v>
      </c>
      <c r="F873" s="74" t="s">
        <v>6219</v>
      </c>
      <c r="G873" s="74">
        <v>1</v>
      </c>
      <c r="H873" s="116">
        <v>3291216.3668</v>
      </c>
      <c r="I873" s="74"/>
    </row>
    <row r="874" spans="1:9">
      <c r="A874" s="584"/>
      <c r="B874" s="612"/>
      <c r="C874" s="74" t="s">
        <v>6220</v>
      </c>
      <c r="D874" s="74" t="s">
        <v>4690</v>
      </c>
      <c r="E874" s="74" t="s">
        <v>6221</v>
      </c>
      <c r="F874" s="74" t="s">
        <v>6222</v>
      </c>
      <c r="G874" s="74">
        <v>2</v>
      </c>
      <c r="H874" s="116">
        <v>2521861.6</v>
      </c>
      <c r="I874" s="74"/>
    </row>
    <row r="875" spans="1:9">
      <c r="A875" s="584"/>
      <c r="B875" s="612"/>
      <c r="C875" s="74" t="s">
        <v>6223</v>
      </c>
      <c r="D875" s="74" t="s">
        <v>4690</v>
      </c>
      <c r="E875" s="74" t="s">
        <v>6224</v>
      </c>
      <c r="F875" s="74" t="s">
        <v>6225</v>
      </c>
      <c r="G875" s="74">
        <v>1</v>
      </c>
      <c r="H875" s="116">
        <v>2494779.7967999997</v>
      </c>
      <c r="I875" s="74"/>
    </row>
    <row r="876" spans="1:9">
      <c r="A876" s="584"/>
      <c r="B876" s="612"/>
      <c r="C876" s="74" t="s">
        <v>6226</v>
      </c>
      <c r="D876" s="74" t="s">
        <v>4690</v>
      </c>
      <c r="E876" s="74" t="s">
        <v>6227</v>
      </c>
      <c r="F876" s="74" t="s">
        <v>6228</v>
      </c>
      <c r="G876" s="74">
        <v>2</v>
      </c>
      <c r="H876" s="116">
        <v>1301354.53</v>
      </c>
      <c r="I876" s="74"/>
    </row>
    <row r="877" spans="1:9">
      <c r="A877" s="584"/>
      <c r="B877" s="612"/>
      <c r="C877" s="74" t="s">
        <v>6229</v>
      </c>
      <c r="D877" s="74" t="s">
        <v>4690</v>
      </c>
      <c r="E877" s="74" t="s">
        <v>6128</v>
      </c>
      <c r="F877" s="74" t="s">
        <v>6230</v>
      </c>
      <c r="G877" s="74">
        <v>1</v>
      </c>
      <c r="H877" s="116">
        <v>1137688.7</v>
      </c>
      <c r="I877" s="74"/>
    </row>
    <row r="878" spans="1:9">
      <c r="A878" s="584"/>
      <c r="B878" s="612"/>
      <c r="C878" s="74" t="s">
        <v>6231</v>
      </c>
      <c r="D878" s="74" t="s">
        <v>4690</v>
      </c>
      <c r="E878" s="74" t="s">
        <v>6232</v>
      </c>
      <c r="F878" s="74" t="s">
        <v>6233</v>
      </c>
      <c r="G878" s="74">
        <v>2</v>
      </c>
      <c r="H878" s="116">
        <v>1125551.3900000001</v>
      </c>
      <c r="I878" s="74"/>
    </row>
    <row r="879" spans="1:9">
      <c r="A879" s="584"/>
      <c r="B879" s="612"/>
      <c r="C879" s="74" t="s">
        <v>4738</v>
      </c>
      <c r="D879" s="74" t="s">
        <v>4690</v>
      </c>
      <c r="E879" s="74" t="s">
        <v>6234</v>
      </c>
      <c r="F879" s="74" t="s">
        <v>6235</v>
      </c>
      <c r="G879" s="74">
        <v>1</v>
      </c>
      <c r="H879" s="116">
        <v>606129</v>
      </c>
      <c r="I879" s="74"/>
    </row>
    <row r="880" spans="1:9">
      <c r="A880" s="584"/>
      <c r="B880" s="612"/>
      <c r="C880" s="74" t="s">
        <v>6236</v>
      </c>
      <c r="D880" s="74" t="s">
        <v>4690</v>
      </c>
      <c r="E880" s="74" t="s">
        <v>6237</v>
      </c>
      <c r="F880" s="74" t="s">
        <v>6238</v>
      </c>
      <c r="G880" s="74">
        <v>1</v>
      </c>
      <c r="H880" s="116">
        <v>433293.51999999979</v>
      </c>
      <c r="I880" s="74"/>
    </row>
    <row r="881" spans="1:9">
      <c r="A881" s="584"/>
      <c r="B881" s="612"/>
      <c r="C881" s="74" t="s">
        <v>6239</v>
      </c>
      <c r="D881" s="74" t="s">
        <v>4690</v>
      </c>
      <c r="E881" s="74" t="s">
        <v>6240</v>
      </c>
      <c r="F881" s="74" t="s">
        <v>6241</v>
      </c>
      <c r="G881" s="74">
        <v>1</v>
      </c>
      <c r="H881" s="116">
        <v>108466.75119999998</v>
      </c>
      <c r="I881" s="74"/>
    </row>
    <row r="882" spans="1:9">
      <c r="A882" s="577"/>
      <c r="B882" s="589"/>
      <c r="C882" s="74"/>
      <c r="D882" s="74"/>
      <c r="E882" s="74"/>
      <c r="F882" s="74"/>
      <c r="G882" s="74"/>
      <c r="H882" s="116"/>
      <c r="I882" s="74"/>
    </row>
    <row r="883" spans="1:9">
      <c r="A883" s="571">
        <v>41</v>
      </c>
      <c r="B883" s="571" t="s">
        <v>227</v>
      </c>
      <c r="C883" s="76" t="s">
        <v>6242</v>
      </c>
      <c r="D883" s="76" t="s">
        <v>6243</v>
      </c>
      <c r="E883" s="76"/>
      <c r="F883" s="76"/>
      <c r="G883" s="76">
        <v>1</v>
      </c>
      <c r="H883" s="117">
        <v>1338999.81</v>
      </c>
      <c r="I883" s="76"/>
    </row>
    <row r="884" spans="1:9">
      <c r="A884" s="572"/>
      <c r="B884" s="572"/>
      <c r="C884" s="76" t="s">
        <v>6244</v>
      </c>
      <c r="D884" s="76" t="s">
        <v>6243</v>
      </c>
      <c r="E884" s="76"/>
      <c r="F884" s="76"/>
      <c r="G884" s="76">
        <v>1</v>
      </c>
      <c r="H884" s="117">
        <v>6993964.6799999997</v>
      </c>
      <c r="I884" s="76"/>
    </row>
    <row r="885" spans="1:9">
      <c r="A885" s="572"/>
      <c r="B885" s="572"/>
      <c r="C885" s="76" t="s">
        <v>6245</v>
      </c>
      <c r="D885" s="76" t="s">
        <v>6243</v>
      </c>
      <c r="E885" s="76"/>
      <c r="F885" s="76"/>
      <c r="G885" s="76">
        <v>1</v>
      </c>
      <c r="H885" s="117">
        <v>366289429.50999999</v>
      </c>
      <c r="I885" s="76"/>
    </row>
    <row r="886" spans="1:9">
      <c r="A886" s="572"/>
      <c r="B886" s="572"/>
      <c r="C886" s="76" t="s">
        <v>6246</v>
      </c>
      <c r="D886" s="76" t="s">
        <v>6243</v>
      </c>
      <c r="E886" s="76"/>
      <c r="F886" s="76"/>
      <c r="G886" s="76">
        <v>1</v>
      </c>
      <c r="H886" s="117">
        <v>523189.51</v>
      </c>
      <c r="I886" s="76"/>
    </row>
    <row r="887" spans="1:9">
      <c r="A887" s="572"/>
      <c r="B887" s="572"/>
      <c r="C887" s="76" t="s">
        <v>6247</v>
      </c>
      <c r="D887" s="76" t="s">
        <v>6243</v>
      </c>
      <c r="E887" s="76"/>
      <c r="F887" s="76"/>
      <c r="G887" s="76">
        <v>1</v>
      </c>
      <c r="H887" s="117">
        <v>46362.92</v>
      </c>
      <c r="I887" s="76"/>
    </row>
    <row r="888" spans="1:9">
      <c r="A888" s="572"/>
      <c r="B888" s="572"/>
      <c r="C888" s="76" t="s">
        <v>6248</v>
      </c>
      <c r="D888" s="76" t="s">
        <v>6243</v>
      </c>
      <c r="E888" s="76"/>
      <c r="F888" s="76"/>
      <c r="G888" s="76">
        <v>1</v>
      </c>
      <c r="H888" s="117">
        <v>11454974.66</v>
      </c>
      <c r="I888" s="76"/>
    </row>
    <row r="889" spans="1:9">
      <c r="A889" s="572"/>
      <c r="B889" s="572"/>
      <c r="C889" s="76" t="s">
        <v>6249</v>
      </c>
      <c r="D889" s="76" t="s">
        <v>6243</v>
      </c>
      <c r="E889" s="76"/>
      <c r="F889" s="76"/>
      <c r="G889" s="76">
        <v>1</v>
      </c>
      <c r="H889" s="117">
        <v>35496230.659999996</v>
      </c>
      <c r="I889" s="76"/>
    </row>
    <row r="890" spans="1:9">
      <c r="A890" s="572"/>
      <c r="B890" s="572"/>
      <c r="C890" s="76" t="s">
        <v>6250</v>
      </c>
      <c r="D890" s="76" t="s">
        <v>6243</v>
      </c>
      <c r="E890" s="76"/>
      <c r="F890" s="76"/>
      <c r="G890" s="76">
        <v>1</v>
      </c>
      <c r="H890" s="117">
        <v>13093628.17</v>
      </c>
      <c r="I890" s="76"/>
    </row>
    <row r="891" spans="1:9">
      <c r="A891" s="572"/>
      <c r="B891" s="572"/>
      <c r="C891" s="76" t="s">
        <v>6251</v>
      </c>
      <c r="D891" s="76" t="s">
        <v>6243</v>
      </c>
      <c r="E891" s="76"/>
      <c r="F891" s="76"/>
      <c r="G891" s="76">
        <v>1</v>
      </c>
      <c r="H891" s="117">
        <v>11944063.18</v>
      </c>
      <c r="I891" s="76"/>
    </row>
    <row r="892" spans="1:9">
      <c r="A892" s="572"/>
      <c r="B892" s="572"/>
      <c r="C892" s="76" t="s">
        <v>6252</v>
      </c>
      <c r="D892" s="76" t="s">
        <v>6243</v>
      </c>
      <c r="E892" s="76"/>
      <c r="F892" s="76"/>
      <c r="G892" s="76">
        <v>1</v>
      </c>
      <c r="H892" s="117">
        <v>19152.18</v>
      </c>
      <c r="I892" s="76"/>
    </row>
    <row r="893" spans="1:9">
      <c r="A893" s="572"/>
      <c r="B893" s="572"/>
      <c r="C893" s="76" t="s">
        <v>6253</v>
      </c>
      <c r="D893" s="76" t="s">
        <v>6243</v>
      </c>
      <c r="E893" s="76"/>
      <c r="F893" s="76"/>
      <c r="G893" s="76">
        <v>1</v>
      </c>
      <c r="H893" s="117">
        <v>15059.12</v>
      </c>
      <c r="I893" s="76"/>
    </row>
    <row r="894" spans="1:9">
      <c r="A894" s="572"/>
      <c r="B894" s="572"/>
      <c r="C894" s="76" t="s">
        <v>6254</v>
      </c>
      <c r="D894" s="76" t="s">
        <v>6243</v>
      </c>
      <c r="E894" s="76"/>
      <c r="F894" s="76"/>
      <c r="G894" s="76">
        <v>1</v>
      </c>
      <c r="H894" s="117">
        <v>60723.239200000004</v>
      </c>
      <c r="I894" s="76"/>
    </row>
    <row r="895" spans="1:9">
      <c r="A895" s="572"/>
      <c r="B895" s="572"/>
      <c r="C895" s="76" t="s">
        <v>6255</v>
      </c>
      <c r="D895" s="76" t="s">
        <v>6243</v>
      </c>
      <c r="E895" s="76"/>
      <c r="F895" s="76"/>
      <c r="G895" s="76">
        <v>1</v>
      </c>
      <c r="H895" s="117">
        <v>10092</v>
      </c>
      <c r="I895" s="76"/>
    </row>
    <row r="896" spans="1:9">
      <c r="A896" s="572"/>
      <c r="B896" s="572"/>
      <c r="C896" s="76" t="s">
        <v>6256</v>
      </c>
      <c r="D896" s="76" t="s">
        <v>6243</v>
      </c>
      <c r="E896" s="76"/>
      <c r="F896" s="76"/>
      <c r="G896" s="76">
        <v>1</v>
      </c>
      <c r="H896" s="117">
        <v>1553167.3724</v>
      </c>
      <c r="I896" s="76"/>
    </row>
    <row r="897" spans="1:9">
      <c r="A897" s="572"/>
      <c r="B897" s="572"/>
      <c r="C897" s="76" t="s">
        <v>6257</v>
      </c>
      <c r="D897" s="76" t="s">
        <v>6243</v>
      </c>
      <c r="E897" s="76"/>
      <c r="F897" s="76"/>
      <c r="G897" s="76">
        <v>1</v>
      </c>
      <c r="H897" s="117">
        <v>35983.199999999997</v>
      </c>
      <c r="I897" s="76"/>
    </row>
    <row r="898" spans="1:9">
      <c r="A898" s="572"/>
      <c r="B898" s="572"/>
      <c r="C898" s="76" t="s">
        <v>6258</v>
      </c>
      <c r="D898" s="76" t="s">
        <v>6243</v>
      </c>
      <c r="E898" s="76"/>
      <c r="F898" s="76"/>
      <c r="G898" s="76">
        <v>1</v>
      </c>
      <c r="H898" s="117">
        <v>806842.39639999997</v>
      </c>
      <c r="I898" s="76"/>
    </row>
    <row r="899" spans="1:9">
      <c r="A899" s="572"/>
      <c r="B899" s="572"/>
      <c r="C899" s="76" t="s">
        <v>6259</v>
      </c>
      <c r="D899" s="76" t="s">
        <v>6243</v>
      </c>
      <c r="E899" s="76"/>
      <c r="F899" s="76"/>
      <c r="G899" s="76">
        <v>1</v>
      </c>
      <c r="H899" s="117">
        <v>45879.392</v>
      </c>
      <c r="I899" s="76"/>
    </row>
    <row r="900" spans="1:9">
      <c r="A900" s="572"/>
      <c r="B900" s="572"/>
      <c r="C900" s="76" t="s">
        <v>6260</v>
      </c>
      <c r="D900" s="76" t="s">
        <v>6243</v>
      </c>
      <c r="E900" s="76"/>
      <c r="F900" s="76"/>
      <c r="G900" s="76">
        <v>1</v>
      </c>
      <c r="H900" s="117">
        <v>4565919.6972000003</v>
      </c>
      <c r="I900" s="76"/>
    </row>
    <row r="901" spans="1:9">
      <c r="A901" s="572"/>
      <c r="B901" s="572"/>
      <c r="C901" s="76" t="s">
        <v>6261</v>
      </c>
      <c r="D901" s="76" t="s">
        <v>6243</v>
      </c>
      <c r="E901" s="76"/>
      <c r="F901" s="76"/>
      <c r="G901" s="76">
        <v>1</v>
      </c>
      <c r="H901" s="117">
        <v>168860.62</v>
      </c>
      <c r="I901" s="76"/>
    </row>
    <row r="902" spans="1:9">
      <c r="A902" s="572"/>
      <c r="B902" s="572"/>
      <c r="C902" s="76" t="s">
        <v>6262</v>
      </c>
      <c r="D902" s="76" t="s">
        <v>6243</v>
      </c>
      <c r="E902" s="76"/>
      <c r="F902" s="76"/>
      <c r="G902" s="76">
        <v>1</v>
      </c>
      <c r="H902" s="117">
        <v>1524747.95</v>
      </c>
      <c r="I902" s="76"/>
    </row>
    <row r="903" spans="1:9">
      <c r="A903" s="572"/>
      <c r="B903" s="572"/>
      <c r="C903" s="76" t="s">
        <v>6263</v>
      </c>
      <c r="D903" s="76" t="s">
        <v>6243</v>
      </c>
      <c r="E903" s="76"/>
      <c r="F903" s="76"/>
      <c r="G903" s="76">
        <v>1</v>
      </c>
      <c r="H903" s="117">
        <v>333339.48</v>
      </c>
      <c r="I903" s="76"/>
    </row>
    <row r="904" spans="1:9">
      <c r="A904" s="572"/>
      <c r="B904" s="572"/>
      <c r="C904" s="76" t="s">
        <v>6264</v>
      </c>
      <c r="D904" s="76" t="s">
        <v>6243</v>
      </c>
      <c r="E904" s="76"/>
      <c r="F904" s="76"/>
      <c r="G904" s="76">
        <v>1</v>
      </c>
      <c r="H904" s="117">
        <v>3871430.4</v>
      </c>
      <c r="I904" s="76"/>
    </row>
    <row r="905" spans="1:9">
      <c r="A905" s="572"/>
      <c r="B905" s="572"/>
      <c r="C905" s="76" t="s">
        <v>6265</v>
      </c>
      <c r="D905" s="76" t="s">
        <v>6243</v>
      </c>
      <c r="E905" s="76"/>
      <c r="F905" s="76"/>
      <c r="G905" s="76">
        <v>1</v>
      </c>
      <c r="H905" s="117">
        <v>3742801.6</v>
      </c>
      <c r="I905" s="76"/>
    </row>
    <row r="906" spans="1:9">
      <c r="A906" s="572"/>
      <c r="B906" s="572"/>
      <c r="C906" s="76" t="s">
        <v>6266</v>
      </c>
      <c r="D906" s="76" t="s">
        <v>6243</v>
      </c>
      <c r="E906" s="76"/>
      <c r="F906" s="76"/>
      <c r="G906" s="76">
        <v>1</v>
      </c>
      <c r="H906" s="117">
        <v>36225.245600000002</v>
      </c>
      <c r="I906" s="76"/>
    </row>
    <row r="907" spans="1:9">
      <c r="A907" s="572"/>
      <c r="B907" s="572"/>
      <c r="C907" s="76" t="s">
        <v>6267</v>
      </c>
      <c r="D907" s="76" t="s">
        <v>6243</v>
      </c>
      <c r="E907" s="76"/>
      <c r="F907" s="76"/>
      <c r="G907" s="76">
        <v>1</v>
      </c>
      <c r="H907" s="117">
        <v>5802106.7199999997</v>
      </c>
      <c r="I907" s="76"/>
    </row>
    <row r="908" spans="1:9">
      <c r="A908" s="572"/>
      <c r="B908" s="572"/>
      <c r="C908" s="76" t="s">
        <v>6268</v>
      </c>
      <c r="D908" s="76" t="s">
        <v>6243</v>
      </c>
      <c r="E908" s="76"/>
      <c r="F908" s="76"/>
      <c r="G908" s="76">
        <v>1</v>
      </c>
      <c r="H908" s="117">
        <v>6103273.3499999996</v>
      </c>
      <c r="I908" s="76"/>
    </row>
    <row r="909" spans="1:9">
      <c r="A909" s="572"/>
      <c r="B909" s="572"/>
      <c r="C909" s="76" t="s">
        <v>6269</v>
      </c>
      <c r="D909" s="76" t="s">
        <v>6243</v>
      </c>
      <c r="E909" s="76"/>
      <c r="F909" s="76"/>
      <c r="G909" s="76">
        <v>1</v>
      </c>
      <c r="H909" s="117">
        <v>4352099.76</v>
      </c>
      <c r="I909" s="76"/>
    </row>
    <row r="910" spans="1:9">
      <c r="A910" s="572"/>
      <c r="B910" s="572"/>
      <c r="C910" s="76" t="s">
        <v>6270</v>
      </c>
      <c r="D910" s="76" t="s">
        <v>6243</v>
      </c>
      <c r="E910" s="76"/>
      <c r="F910" s="76"/>
      <c r="G910" s="76">
        <v>1</v>
      </c>
      <c r="H910" s="117">
        <v>149732.72</v>
      </c>
      <c r="I910" s="76"/>
    </row>
    <row r="911" spans="1:9">
      <c r="A911" s="573"/>
      <c r="B911" s="573"/>
      <c r="C911" s="76" t="s">
        <v>6271</v>
      </c>
      <c r="D911" s="76" t="s">
        <v>6243</v>
      </c>
      <c r="E911" s="76"/>
      <c r="F911" s="76"/>
      <c r="G911" s="76">
        <v>1</v>
      </c>
      <c r="H911" s="117">
        <v>183692.27559999999</v>
      </c>
      <c r="I911" s="76"/>
    </row>
    <row r="912" spans="1:9">
      <c r="A912" s="576">
        <v>47</v>
      </c>
      <c r="B912" s="576" t="s">
        <v>806</v>
      </c>
      <c r="C912" s="74" t="s">
        <v>6272</v>
      </c>
      <c r="D912" s="74"/>
      <c r="E912" s="74" t="s">
        <v>4717</v>
      </c>
      <c r="F912" s="74"/>
      <c r="G912" s="74"/>
      <c r="H912" s="116"/>
      <c r="I912" s="74"/>
    </row>
    <row r="913" spans="1:9">
      <c r="A913" s="584"/>
      <c r="B913" s="584"/>
      <c r="C913" s="74" t="s">
        <v>6273</v>
      </c>
      <c r="D913" s="74"/>
      <c r="E913" s="74" t="s">
        <v>6274</v>
      </c>
      <c r="F913" s="74"/>
      <c r="G913" s="74"/>
      <c r="H913" s="116"/>
      <c r="I913" s="74"/>
    </row>
    <row r="914" spans="1:9">
      <c r="A914" s="584"/>
      <c r="B914" s="584"/>
      <c r="C914" s="74" t="s">
        <v>6275</v>
      </c>
      <c r="D914" s="74"/>
      <c r="E914" s="74" t="s">
        <v>6008</v>
      </c>
      <c r="F914" s="74"/>
      <c r="G914" s="74"/>
      <c r="H914" s="116"/>
      <c r="I914" s="74"/>
    </row>
    <row r="915" spans="1:9">
      <c r="A915" s="577"/>
      <c r="B915" s="577"/>
      <c r="C915" s="74" t="s">
        <v>6276</v>
      </c>
      <c r="D915" s="74"/>
      <c r="E915" s="74" t="s">
        <v>6149</v>
      </c>
      <c r="F915" s="74"/>
      <c r="G915" s="74"/>
      <c r="H915" s="116"/>
      <c r="I915" s="74"/>
    </row>
    <row r="916" spans="1:9">
      <c r="A916" s="571">
        <v>52</v>
      </c>
      <c r="B916" s="571" t="s">
        <v>818</v>
      </c>
      <c r="C916" s="76" t="s">
        <v>6277</v>
      </c>
      <c r="D916" s="76" t="s">
        <v>4690</v>
      </c>
      <c r="E916" s="76" t="s">
        <v>6278</v>
      </c>
      <c r="F916" s="76" t="s">
        <v>6279</v>
      </c>
      <c r="G916" s="76"/>
      <c r="H916" s="117">
        <v>3736750</v>
      </c>
      <c r="I916" s="76"/>
    </row>
    <row r="917" spans="1:9">
      <c r="A917" s="572"/>
      <c r="B917" s="572"/>
      <c r="C917" s="76" t="s">
        <v>6280</v>
      </c>
      <c r="D917" s="76" t="s">
        <v>4690</v>
      </c>
      <c r="E917" s="76" t="s">
        <v>6281</v>
      </c>
      <c r="F917" s="76" t="s">
        <v>6282</v>
      </c>
      <c r="G917" s="76"/>
      <c r="H917" s="117">
        <v>541675</v>
      </c>
      <c r="I917" s="76"/>
    </row>
    <row r="918" spans="1:9">
      <c r="A918" s="572"/>
      <c r="B918" s="572"/>
      <c r="C918" s="76" t="s">
        <v>6283</v>
      </c>
      <c r="D918" s="76" t="s">
        <v>4690</v>
      </c>
      <c r="E918" s="76" t="s">
        <v>6284</v>
      </c>
      <c r="F918" s="76" t="s">
        <v>6285</v>
      </c>
      <c r="G918" s="76"/>
      <c r="H918" s="117">
        <v>320740</v>
      </c>
      <c r="I918" s="76"/>
    </row>
    <row r="919" spans="1:9">
      <c r="A919" s="573"/>
      <c r="B919" s="573"/>
      <c r="C919" s="76" t="s">
        <v>6286</v>
      </c>
      <c r="D919" s="76" t="s">
        <v>4690</v>
      </c>
      <c r="E919" s="76" t="s">
        <v>6287</v>
      </c>
      <c r="F919" s="76" t="s">
        <v>6288</v>
      </c>
      <c r="G919" s="76"/>
      <c r="H919" s="117">
        <v>1495276</v>
      </c>
      <c r="I919" s="76"/>
    </row>
    <row r="920" spans="1:9">
      <c r="A920" s="576">
        <v>57</v>
      </c>
      <c r="B920" s="576" t="s">
        <v>182</v>
      </c>
      <c r="C920" s="74" t="s">
        <v>6289</v>
      </c>
      <c r="D920" s="74" t="s">
        <v>6290</v>
      </c>
      <c r="E920" s="74"/>
      <c r="F920" s="74"/>
      <c r="G920" s="74"/>
      <c r="H920" s="116"/>
      <c r="I920" s="74"/>
    </row>
    <row r="921" spans="1:9">
      <c r="A921" s="584"/>
      <c r="B921" s="584"/>
      <c r="C921" s="74" t="s">
        <v>6291</v>
      </c>
      <c r="D921" s="74" t="s">
        <v>6030</v>
      </c>
      <c r="E921" s="74"/>
      <c r="F921" s="74"/>
      <c r="G921" s="74"/>
      <c r="H921" s="116"/>
      <c r="I921" s="74"/>
    </row>
    <row r="922" spans="1:9">
      <c r="A922" s="584"/>
      <c r="B922" s="584"/>
      <c r="C922" s="74" t="s">
        <v>6292</v>
      </c>
      <c r="D922" s="74" t="s">
        <v>6030</v>
      </c>
      <c r="E922" s="74"/>
      <c r="F922" s="74"/>
      <c r="G922" s="74"/>
      <c r="H922" s="116"/>
      <c r="I922" s="74"/>
    </row>
    <row r="923" spans="1:9">
      <c r="A923" s="584"/>
      <c r="B923" s="584"/>
      <c r="C923" s="74" t="s">
        <v>6293</v>
      </c>
      <c r="D923" s="74" t="s">
        <v>6290</v>
      </c>
      <c r="E923" s="74"/>
      <c r="F923" s="74"/>
      <c r="G923" s="74"/>
      <c r="H923" s="116"/>
      <c r="I923" s="74"/>
    </row>
    <row r="924" spans="1:9">
      <c r="A924" s="584"/>
      <c r="B924" s="584"/>
      <c r="C924" s="74" t="s">
        <v>6294</v>
      </c>
      <c r="D924" s="74" t="s">
        <v>6030</v>
      </c>
      <c r="E924" s="74"/>
      <c r="F924" s="74"/>
      <c r="G924" s="74"/>
      <c r="H924" s="116"/>
      <c r="I924" s="74"/>
    </row>
    <row r="925" spans="1:9">
      <c r="A925" s="584"/>
      <c r="B925" s="584"/>
      <c r="C925" s="74" t="s">
        <v>6295</v>
      </c>
      <c r="D925" s="74" t="s">
        <v>6290</v>
      </c>
      <c r="E925" s="74"/>
      <c r="F925" s="74"/>
      <c r="G925" s="74"/>
      <c r="H925" s="116"/>
      <c r="I925" s="74"/>
    </row>
    <row r="926" spans="1:9">
      <c r="A926" s="584"/>
      <c r="B926" s="584"/>
      <c r="C926" s="74" t="s">
        <v>6296</v>
      </c>
      <c r="D926" s="74" t="s">
        <v>6290</v>
      </c>
      <c r="E926" s="74"/>
      <c r="F926" s="74"/>
      <c r="G926" s="74"/>
      <c r="H926" s="116"/>
      <c r="I926" s="74"/>
    </row>
    <row r="927" spans="1:9">
      <c r="A927" s="584"/>
      <c r="B927" s="584"/>
      <c r="C927" s="74" t="s">
        <v>6297</v>
      </c>
      <c r="D927" s="74" t="s">
        <v>6290</v>
      </c>
      <c r="E927" s="74"/>
      <c r="F927" s="74"/>
      <c r="G927" s="74"/>
      <c r="H927" s="116"/>
      <c r="I927" s="74"/>
    </row>
    <row r="928" spans="1:9">
      <c r="A928" s="584"/>
      <c r="B928" s="584"/>
      <c r="C928" s="74" t="s">
        <v>6298</v>
      </c>
      <c r="D928" s="74" t="s">
        <v>6290</v>
      </c>
      <c r="E928" s="74"/>
      <c r="F928" s="74"/>
      <c r="G928" s="74"/>
      <c r="H928" s="116"/>
      <c r="I928" s="74"/>
    </row>
    <row r="929" spans="1:9">
      <c r="A929" s="584"/>
      <c r="B929" s="584"/>
      <c r="C929" s="74" t="s">
        <v>6299</v>
      </c>
      <c r="D929" s="74" t="s">
        <v>6030</v>
      </c>
      <c r="E929" s="74"/>
      <c r="F929" s="74"/>
      <c r="G929" s="74"/>
      <c r="H929" s="116"/>
      <c r="I929" s="74"/>
    </row>
    <row r="930" spans="1:9">
      <c r="A930" s="584"/>
      <c r="B930" s="584"/>
      <c r="C930" s="74" t="s">
        <v>6300</v>
      </c>
      <c r="D930" s="74" t="s">
        <v>6030</v>
      </c>
      <c r="E930" s="74"/>
      <c r="F930" s="74"/>
      <c r="G930" s="74"/>
      <c r="H930" s="116"/>
      <c r="I930" s="74"/>
    </row>
    <row r="931" spans="1:9">
      <c r="A931" s="584"/>
      <c r="B931" s="584"/>
      <c r="C931" s="74" t="s">
        <v>6301</v>
      </c>
      <c r="D931" s="74" t="s">
        <v>6030</v>
      </c>
      <c r="E931" s="74"/>
      <c r="F931" s="74"/>
      <c r="G931" s="74"/>
      <c r="H931" s="116"/>
      <c r="I931" s="74"/>
    </row>
    <row r="932" spans="1:9">
      <c r="A932" s="584"/>
      <c r="B932" s="584"/>
      <c r="C932" s="74" t="s">
        <v>6302</v>
      </c>
      <c r="D932" s="74" t="s">
        <v>6303</v>
      </c>
      <c r="E932" s="74"/>
      <c r="F932" s="74"/>
      <c r="G932" s="74"/>
      <c r="H932" s="116"/>
      <c r="I932" s="74"/>
    </row>
    <row r="933" spans="1:9">
      <c r="A933" s="584"/>
      <c r="B933" s="584"/>
      <c r="C933" s="74" t="s">
        <v>6304</v>
      </c>
      <c r="D933" s="74" t="s">
        <v>6290</v>
      </c>
      <c r="E933" s="74"/>
      <c r="F933" s="74"/>
      <c r="G933" s="74"/>
      <c r="H933" s="116"/>
      <c r="I933" s="74"/>
    </row>
    <row r="934" spans="1:9">
      <c r="A934" s="584"/>
      <c r="B934" s="584"/>
      <c r="C934" s="74" t="s">
        <v>6305</v>
      </c>
      <c r="D934" s="74" t="s">
        <v>6290</v>
      </c>
      <c r="E934" s="74"/>
      <c r="F934" s="74"/>
      <c r="G934" s="74"/>
      <c r="H934" s="116"/>
      <c r="I934" s="74"/>
    </row>
    <row r="935" spans="1:9">
      <c r="A935" s="584"/>
      <c r="B935" s="584"/>
      <c r="C935" s="74" t="s">
        <v>6306</v>
      </c>
      <c r="D935" s="74" t="s">
        <v>6290</v>
      </c>
      <c r="E935" s="74"/>
      <c r="F935" s="74"/>
      <c r="G935" s="74"/>
      <c r="H935" s="116"/>
      <c r="I935" s="74"/>
    </row>
    <row r="936" spans="1:9">
      <c r="A936" s="584"/>
      <c r="B936" s="584"/>
      <c r="C936" s="74" t="s">
        <v>6307</v>
      </c>
      <c r="D936" s="74" t="s">
        <v>6290</v>
      </c>
      <c r="E936" s="74"/>
      <c r="F936" s="74"/>
      <c r="G936" s="74"/>
      <c r="H936" s="116"/>
      <c r="I936" s="74"/>
    </row>
    <row r="937" spans="1:9">
      <c r="A937" s="584"/>
      <c r="B937" s="584"/>
      <c r="C937" s="74" t="s">
        <v>6308</v>
      </c>
      <c r="D937" s="74" t="s">
        <v>6290</v>
      </c>
      <c r="E937" s="74"/>
      <c r="F937" s="74"/>
      <c r="G937" s="74"/>
      <c r="H937" s="116"/>
      <c r="I937" s="74"/>
    </row>
    <row r="938" spans="1:9">
      <c r="A938" s="584"/>
      <c r="B938" s="584"/>
      <c r="C938" s="74" t="s">
        <v>6309</v>
      </c>
      <c r="D938" s="74" t="s">
        <v>6290</v>
      </c>
      <c r="E938" s="74"/>
      <c r="F938" s="74"/>
      <c r="G938" s="74"/>
      <c r="H938" s="116"/>
      <c r="I938" s="74"/>
    </row>
    <row r="939" spans="1:9">
      <c r="A939" s="584"/>
      <c r="B939" s="584"/>
      <c r="C939" s="74" t="s">
        <v>6310</v>
      </c>
      <c r="D939" s="74" t="s">
        <v>6311</v>
      </c>
      <c r="E939" s="74"/>
      <c r="F939" s="74"/>
      <c r="G939" s="74"/>
      <c r="H939" s="116"/>
      <c r="I939" s="74"/>
    </row>
    <row r="940" spans="1:9">
      <c r="A940" s="584"/>
      <c r="B940" s="584"/>
      <c r="C940" s="74" t="s">
        <v>6312</v>
      </c>
      <c r="D940" s="74" t="s">
        <v>6290</v>
      </c>
      <c r="E940" s="74"/>
      <c r="F940" s="74"/>
      <c r="G940" s="74"/>
      <c r="H940" s="116"/>
      <c r="I940" s="74"/>
    </row>
    <row r="941" spans="1:9">
      <c r="A941" s="584"/>
      <c r="B941" s="584"/>
      <c r="C941" s="74" t="s">
        <v>6313</v>
      </c>
      <c r="D941" s="74" t="s">
        <v>6290</v>
      </c>
      <c r="E941" s="74"/>
      <c r="F941" s="74"/>
      <c r="G941" s="74"/>
      <c r="H941" s="116"/>
      <c r="I941" s="74"/>
    </row>
    <row r="942" spans="1:9">
      <c r="A942" s="584"/>
      <c r="B942" s="584"/>
      <c r="C942" s="74" t="s">
        <v>6314</v>
      </c>
      <c r="D942" s="74" t="s">
        <v>6290</v>
      </c>
      <c r="E942" s="74"/>
      <c r="F942" s="74"/>
      <c r="G942" s="74"/>
      <c r="H942" s="116"/>
      <c r="I942" s="74"/>
    </row>
    <row r="943" spans="1:9">
      <c r="A943" s="584"/>
      <c r="B943" s="584"/>
      <c r="C943" s="74" t="s">
        <v>6315</v>
      </c>
      <c r="D943" s="74" t="s">
        <v>6303</v>
      </c>
      <c r="E943" s="74"/>
      <c r="F943" s="74"/>
      <c r="G943" s="74"/>
      <c r="H943" s="116"/>
      <c r="I943" s="74"/>
    </row>
    <row r="944" spans="1:9">
      <c r="A944" s="584"/>
      <c r="B944" s="584"/>
      <c r="C944" s="74" t="s">
        <v>6316</v>
      </c>
      <c r="D944" s="74" t="s">
        <v>6290</v>
      </c>
      <c r="E944" s="74"/>
      <c r="F944" s="74"/>
      <c r="G944" s="74"/>
      <c r="H944" s="116"/>
      <c r="I944" s="74"/>
    </row>
    <row r="945" spans="1:9">
      <c r="A945" s="584"/>
      <c r="B945" s="584"/>
      <c r="C945" s="74" t="s">
        <v>6317</v>
      </c>
      <c r="D945" s="74" t="s">
        <v>6290</v>
      </c>
      <c r="E945" s="74"/>
      <c r="F945" s="74"/>
      <c r="G945" s="74"/>
      <c r="H945" s="116"/>
      <c r="I945" s="74"/>
    </row>
    <row r="946" spans="1:9">
      <c r="A946" s="584"/>
      <c r="B946" s="584"/>
      <c r="C946" s="74" t="s">
        <v>6318</v>
      </c>
      <c r="D946" s="74" t="s">
        <v>6290</v>
      </c>
      <c r="E946" s="74"/>
      <c r="F946" s="74"/>
      <c r="G946" s="74"/>
      <c r="H946" s="116"/>
      <c r="I946" s="74"/>
    </row>
    <row r="947" spans="1:9">
      <c r="A947" s="584"/>
      <c r="B947" s="584"/>
      <c r="C947" s="74" t="s">
        <v>6319</v>
      </c>
      <c r="D947" s="74" t="s">
        <v>6290</v>
      </c>
      <c r="E947" s="74"/>
      <c r="F947" s="74"/>
      <c r="G947" s="74"/>
      <c r="H947" s="116"/>
      <c r="I947" s="74"/>
    </row>
    <row r="948" spans="1:9">
      <c r="A948" s="584"/>
      <c r="B948" s="584"/>
      <c r="C948" s="74" t="s">
        <v>6320</v>
      </c>
      <c r="D948" s="74" t="s">
        <v>6303</v>
      </c>
      <c r="E948" s="74"/>
      <c r="F948" s="74"/>
      <c r="G948" s="74"/>
      <c r="H948" s="116"/>
      <c r="I948" s="74"/>
    </row>
    <row r="949" spans="1:9">
      <c r="A949" s="584"/>
      <c r="B949" s="584"/>
      <c r="C949" s="74" t="s">
        <v>6321</v>
      </c>
      <c r="D949" s="74" t="s">
        <v>6303</v>
      </c>
      <c r="E949" s="74"/>
      <c r="F949" s="74"/>
      <c r="G949" s="74"/>
      <c r="H949" s="116"/>
      <c r="I949" s="74"/>
    </row>
    <row r="950" spans="1:9">
      <c r="A950" s="584"/>
      <c r="B950" s="584"/>
      <c r="C950" s="74" t="s">
        <v>6322</v>
      </c>
      <c r="D950" s="74" t="s">
        <v>6303</v>
      </c>
      <c r="E950" s="74"/>
      <c r="F950" s="74"/>
      <c r="G950" s="74"/>
      <c r="H950" s="116"/>
      <c r="I950" s="74"/>
    </row>
    <row r="951" spans="1:9">
      <c r="A951" s="584"/>
      <c r="B951" s="584"/>
      <c r="C951" s="74" t="s">
        <v>6323</v>
      </c>
      <c r="D951" s="74" t="s">
        <v>6290</v>
      </c>
      <c r="E951" s="74"/>
      <c r="F951" s="74"/>
      <c r="G951" s="74"/>
      <c r="H951" s="116"/>
      <c r="I951" s="74"/>
    </row>
    <row r="952" spans="1:9">
      <c r="A952" s="584"/>
      <c r="B952" s="584"/>
      <c r="C952" s="74" t="s">
        <v>6324</v>
      </c>
      <c r="D952" s="74" t="s">
        <v>6290</v>
      </c>
      <c r="E952" s="74"/>
      <c r="F952" s="74"/>
      <c r="G952" s="74"/>
      <c r="H952" s="116"/>
      <c r="I952" s="74"/>
    </row>
    <row r="953" spans="1:9">
      <c r="A953" s="584"/>
      <c r="B953" s="584"/>
      <c r="C953" s="74" t="s">
        <v>6325</v>
      </c>
      <c r="D953" s="74" t="s">
        <v>6303</v>
      </c>
      <c r="E953" s="74"/>
      <c r="F953" s="74"/>
      <c r="G953" s="74"/>
      <c r="H953" s="116"/>
      <c r="I953" s="74"/>
    </row>
    <row r="954" spans="1:9">
      <c r="A954" s="584"/>
      <c r="B954" s="584"/>
      <c r="C954" s="74" t="s">
        <v>6326</v>
      </c>
      <c r="D954" s="74" t="s">
        <v>6290</v>
      </c>
      <c r="E954" s="74"/>
      <c r="F954" s="74"/>
      <c r="G954" s="74"/>
      <c r="H954" s="116"/>
      <c r="I954" s="74"/>
    </row>
    <row r="955" spans="1:9">
      <c r="A955" s="584"/>
      <c r="B955" s="584"/>
      <c r="C955" s="74" t="s">
        <v>6327</v>
      </c>
      <c r="D955" s="74" t="s">
        <v>6290</v>
      </c>
      <c r="E955" s="74"/>
      <c r="F955" s="74"/>
      <c r="G955" s="74"/>
      <c r="H955" s="116"/>
      <c r="I955" s="74"/>
    </row>
    <row r="956" spans="1:9">
      <c r="A956" s="584"/>
      <c r="B956" s="584"/>
      <c r="C956" s="74" t="s">
        <v>6328</v>
      </c>
      <c r="D956" s="74" t="s">
        <v>6290</v>
      </c>
      <c r="E956" s="74"/>
      <c r="F956" s="74"/>
      <c r="G956" s="74"/>
      <c r="H956" s="116"/>
      <c r="I956" s="74"/>
    </row>
    <row r="957" spans="1:9">
      <c r="A957" s="584"/>
      <c r="B957" s="584"/>
      <c r="C957" s="74" t="s">
        <v>6329</v>
      </c>
      <c r="D957" s="74" t="s">
        <v>6290</v>
      </c>
      <c r="E957" s="74"/>
      <c r="F957" s="74"/>
      <c r="G957" s="74"/>
      <c r="H957" s="116"/>
      <c r="I957" s="74"/>
    </row>
    <row r="958" spans="1:9">
      <c r="A958" s="584"/>
      <c r="B958" s="584"/>
      <c r="C958" s="74" t="s">
        <v>6330</v>
      </c>
      <c r="D958" s="74" t="s">
        <v>6290</v>
      </c>
      <c r="E958" s="74"/>
      <c r="F958" s="74"/>
      <c r="G958" s="74"/>
      <c r="H958" s="116"/>
      <c r="I958" s="74"/>
    </row>
    <row r="959" spans="1:9">
      <c r="A959" s="584"/>
      <c r="B959" s="584"/>
      <c r="C959" s="74" t="s">
        <v>6331</v>
      </c>
      <c r="D959" s="74" t="s">
        <v>6290</v>
      </c>
      <c r="E959" s="74"/>
      <c r="F959" s="74"/>
      <c r="G959" s="74"/>
      <c r="H959" s="116"/>
      <c r="I959" s="74"/>
    </row>
    <row r="960" spans="1:9">
      <c r="A960" s="584"/>
      <c r="B960" s="584"/>
      <c r="C960" s="74" t="s">
        <v>6332</v>
      </c>
      <c r="D960" s="74" t="s">
        <v>6290</v>
      </c>
      <c r="E960" s="74"/>
      <c r="F960" s="74"/>
      <c r="G960" s="74"/>
      <c r="H960" s="116"/>
      <c r="I960" s="74"/>
    </row>
    <row r="961" spans="1:9">
      <c r="A961" s="584"/>
      <c r="B961" s="584"/>
      <c r="C961" s="74" t="s">
        <v>6333</v>
      </c>
      <c r="D961" s="74" t="s">
        <v>6290</v>
      </c>
      <c r="E961" s="74"/>
      <c r="F961" s="74"/>
      <c r="G961" s="74"/>
      <c r="H961" s="116"/>
      <c r="I961" s="74"/>
    </row>
    <row r="962" spans="1:9">
      <c r="A962" s="584"/>
      <c r="B962" s="584"/>
      <c r="C962" s="74" t="s">
        <v>6334</v>
      </c>
      <c r="D962" s="74" t="s">
        <v>6290</v>
      </c>
      <c r="E962" s="74"/>
      <c r="F962" s="74"/>
      <c r="G962" s="74"/>
      <c r="H962" s="116"/>
      <c r="I962" s="74"/>
    </row>
    <row r="963" spans="1:9">
      <c r="A963" s="584"/>
      <c r="B963" s="584"/>
      <c r="C963" s="74" t="s">
        <v>6335</v>
      </c>
      <c r="D963" s="74" t="s">
        <v>6303</v>
      </c>
      <c r="E963" s="74"/>
      <c r="F963" s="74"/>
      <c r="G963" s="74"/>
      <c r="H963" s="116"/>
      <c r="I963" s="74"/>
    </row>
    <row r="964" spans="1:9">
      <c r="A964" s="584"/>
      <c r="B964" s="584"/>
      <c r="C964" s="74" t="s">
        <v>6336</v>
      </c>
      <c r="D964" s="74" t="s">
        <v>6290</v>
      </c>
      <c r="E964" s="74"/>
      <c r="F964" s="74"/>
      <c r="G964" s="74"/>
      <c r="H964" s="116"/>
      <c r="I964" s="74"/>
    </row>
    <row r="965" spans="1:9">
      <c r="A965" s="584"/>
      <c r="B965" s="584"/>
      <c r="C965" s="74" t="s">
        <v>6337</v>
      </c>
      <c r="D965" s="74" t="s">
        <v>6290</v>
      </c>
      <c r="E965" s="74"/>
      <c r="F965" s="74"/>
      <c r="G965" s="74"/>
      <c r="H965" s="116"/>
      <c r="I965" s="74"/>
    </row>
    <row r="966" spans="1:9">
      <c r="A966" s="584"/>
      <c r="B966" s="584"/>
      <c r="C966" s="74" t="s">
        <v>6338</v>
      </c>
      <c r="D966" s="74" t="s">
        <v>6303</v>
      </c>
      <c r="E966" s="74"/>
      <c r="F966" s="74"/>
      <c r="G966" s="74"/>
      <c r="H966" s="116"/>
      <c r="I966" s="74"/>
    </row>
    <row r="967" spans="1:9">
      <c r="A967" s="584"/>
      <c r="B967" s="584"/>
      <c r="C967" s="74" t="s">
        <v>6339</v>
      </c>
      <c r="D967" s="74" t="s">
        <v>6290</v>
      </c>
      <c r="E967" s="74"/>
      <c r="F967" s="74"/>
      <c r="G967" s="74"/>
      <c r="H967" s="116"/>
      <c r="I967" s="74"/>
    </row>
    <row r="968" spans="1:9">
      <c r="A968" s="584"/>
      <c r="B968" s="584"/>
      <c r="C968" s="74" t="s">
        <v>6340</v>
      </c>
      <c r="D968" s="74" t="s">
        <v>6290</v>
      </c>
      <c r="E968" s="74"/>
      <c r="F968" s="74"/>
      <c r="G968" s="74"/>
      <c r="H968" s="116"/>
      <c r="I968" s="74"/>
    </row>
    <row r="969" spans="1:9">
      <c r="A969" s="584"/>
      <c r="B969" s="584"/>
      <c r="C969" s="74" t="s">
        <v>6341</v>
      </c>
      <c r="D969" s="74" t="s">
        <v>6290</v>
      </c>
      <c r="E969" s="74"/>
      <c r="F969" s="74"/>
      <c r="G969" s="74"/>
      <c r="H969" s="116"/>
      <c r="I969" s="74"/>
    </row>
    <row r="970" spans="1:9">
      <c r="A970" s="584"/>
      <c r="B970" s="584"/>
      <c r="C970" s="74" t="s">
        <v>6342</v>
      </c>
      <c r="D970" s="74" t="s">
        <v>6290</v>
      </c>
      <c r="E970" s="74"/>
      <c r="F970" s="74"/>
      <c r="G970" s="74"/>
      <c r="H970" s="116"/>
      <c r="I970" s="74"/>
    </row>
    <row r="971" spans="1:9">
      <c r="A971" s="584"/>
      <c r="B971" s="584"/>
      <c r="C971" s="74" t="s">
        <v>6343</v>
      </c>
      <c r="D971" s="74" t="s">
        <v>6290</v>
      </c>
      <c r="E971" s="74"/>
      <c r="F971" s="74"/>
      <c r="G971" s="74"/>
      <c r="H971" s="116"/>
      <c r="I971" s="74"/>
    </row>
    <row r="972" spans="1:9">
      <c r="A972" s="584"/>
      <c r="B972" s="584"/>
      <c r="C972" s="74" t="s">
        <v>6344</v>
      </c>
      <c r="D972" s="74" t="s">
        <v>6290</v>
      </c>
      <c r="E972" s="74"/>
      <c r="F972" s="74"/>
      <c r="G972" s="74"/>
      <c r="H972" s="116"/>
      <c r="I972" s="74"/>
    </row>
    <row r="973" spans="1:9">
      <c r="A973" s="584"/>
      <c r="B973" s="584"/>
      <c r="C973" s="74" t="s">
        <v>6345</v>
      </c>
      <c r="D973" s="74" t="s">
        <v>6030</v>
      </c>
      <c r="E973" s="74"/>
      <c r="F973" s="74"/>
      <c r="G973" s="74"/>
      <c r="H973" s="116"/>
      <c r="I973" s="74"/>
    </row>
    <row r="974" spans="1:9">
      <c r="A974" s="584"/>
      <c r="B974" s="584"/>
      <c r="C974" s="74" t="s">
        <v>6346</v>
      </c>
      <c r="D974" s="74" t="s">
        <v>6290</v>
      </c>
      <c r="E974" s="74"/>
      <c r="F974" s="74"/>
      <c r="G974" s="74"/>
      <c r="H974" s="116"/>
      <c r="I974" s="74"/>
    </row>
    <row r="975" spans="1:9">
      <c r="A975" s="584"/>
      <c r="B975" s="584"/>
      <c r="C975" s="74" t="s">
        <v>6347</v>
      </c>
      <c r="D975" s="74" t="s">
        <v>6290</v>
      </c>
      <c r="E975" s="74"/>
      <c r="F975" s="74"/>
      <c r="G975" s="74"/>
      <c r="H975" s="116"/>
      <c r="I975" s="74"/>
    </row>
    <row r="976" spans="1:9">
      <c r="A976" s="584"/>
      <c r="B976" s="584"/>
      <c r="C976" s="74" t="s">
        <v>6348</v>
      </c>
      <c r="D976" s="74" t="s">
        <v>6290</v>
      </c>
      <c r="E976" s="74"/>
      <c r="F976" s="74"/>
      <c r="G976" s="74"/>
      <c r="H976" s="116"/>
      <c r="I976" s="74"/>
    </row>
    <row r="977" spans="1:9">
      <c r="A977" s="584"/>
      <c r="B977" s="584"/>
      <c r="C977" s="74" t="s">
        <v>6349</v>
      </c>
      <c r="D977" s="74" t="s">
        <v>6290</v>
      </c>
      <c r="E977" s="74"/>
      <c r="F977" s="74"/>
      <c r="G977" s="74"/>
      <c r="H977" s="116"/>
      <c r="I977" s="74"/>
    </row>
    <row r="978" spans="1:9">
      <c r="A978" s="584"/>
      <c r="B978" s="584"/>
      <c r="C978" s="74" t="s">
        <v>6350</v>
      </c>
      <c r="D978" s="74" t="s">
        <v>6290</v>
      </c>
      <c r="E978" s="74"/>
      <c r="F978" s="74"/>
      <c r="G978" s="74"/>
      <c r="H978" s="116"/>
      <c r="I978" s="74"/>
    </row>
    <row r="979" spans="1:9">
      <c r="A979" s="584"/>
      <c r="B979" s="584"/>
      <c r="C979" s="74" t="s">
        <v>6351</v>
      </c>
      <c r="D979" s="74" t="s">
        <v>6290</v>
      </c>
      <c r="E979" s="74"/>
      <c r="F979" s="74"/>
      <c r="G979" s="74"/>
      <c r="H979" s="116"/>
      <c r="I979" s="74"/>
    </row>
    <row r="980" spans="1:9">
      <c r="A980" s="577"/>
      <c r="B980" s="577"/>
      <c r="C980" s="74" t="s">
        <v>6352</v>
      </c>
      <c r="D980" s="74" t="s">
        <v>6290</v>
      </c>
      <c r="E980" s="74"/>
      <c r="F980" s="74"/>
      <c r="G980" s="74"/>
      <c r="H980" s="116"/>
      <c r="I980" s="74"/>
    </row>
    <row r="981" spans="1:9">
      <c r="A981" s="571">
        <v>60</v>
      </c>
      <c r="B981" s="571" t="s">
        <v>842</v>
      </c>
      <c r="C981" s="76" t="s">
        <v>6353</v>
      </c>
      <c r="D981" s="76"/>
      <c r="E981" s="76"/>
      <c r="F981" s="76"/>
      <c r="G981" s="76"/>
      <c r="H981" s="117">
        <v>544832.56999999995</v>
      </c>
      <c r="I981" s="76"/>
    </row>
    <row r="982" spans="1:9">
      <c r="A982" s="573"/>
      <c r="B982" s="573"/>
      <c r="C982" s="76" t="s">
        <v>6354</v>
      </c>
      <c r="D982" s="76"/>
      <c r="E982" s="76"/>
      <c r="F982" s="76"/>
      <c r="G982" s="76"/>
      <c r="H982" s="117">
        <v>41216.44</v>
      </c>
      <c r="I982" s="76"/>
    </row>
    <row r="983" spans="1:9">
      <c r="A983" s="74">
        <v>80</v>
      </c>
      <c r="B983" s="74" t="s">
        <v>881</v>
      </c>
      <c r="C983" s="74" t="s">
        <v>6355</v>
      </c>
      <c r="D983" s="74" t="s">
        <v>4923</v>
      </c>
      <c r="E983" s="74" t="s">
        <v>6356</v>
      </c>
      <c r="F983" s="74" t="s">
        <v>6357</v>
      </c>
      <c r="G983" s="74"/>
      <c r="H983" s="116"/>
      <c r="I983" s="74"/>
    </row>
    <row r="984" spans="1:9">
      <c r="A984" s="571">
        <v>87</v>
      </c>
      <c r="B984" s="571" t="s">
        <v>197</v>
      </c>
      <c r="C984" s="76" t="s">
        <v>6358</v>
      </c>
      <c r="D984" s="76" t="s">
        <v>6243</v>
      </c>
      <c r="E984" s="76"/>
      <c r="F984" s="76"/>
      <c r="G984" s="76"/>
      <c r="H984" s="117">
        <v>17458.11</v>
      </c>
      <c r="I984" s="76"/>
    </row>
    <row r="985" spans="1:9">
      <c r="A985" s="572"/>
      <c r="B985" s="572"/>
      <c r="C985" s="76" t="s">
        <v>6359</v>
      </c>
      <c r="D985" s="76" t="s">
        <v>6243</v>
      </c>
      <c r="E985" s="76"/>
      <c r="F985" s="76"/>
      <c r="G985" s="76"/>
      <c r="H985" s="117">
        <v>11011.76</v>
      </c>
      <c r="I985" s="76"/>
    </row>
    <row r="986" spans="1:9">
      <c r="A986" s="572"/>
      <c r="B986" s="572"/>
      <c r="C986" s="76" t="s">
        <v>6360</v>
      </c>
      <c r="D986" s="76" t="s">
        <v>6243</v>
      </c>
      <c r="E986" s="76"/>
      <c r="F986" s="76"/>
      <c r="G986" s="76"/>
      <c r="H986" s="117">
        <v>11011.76</v>
      </c>
      <c r="I986" s="76"/>
    </row>
    <row r="987" spans="1:9">
      <c r="A987" s="573"/>
      <c r="B987" s="573"/>
      <c r="C987" s="76" t="s">
        <v>6361</v>
      </c>
      <c r="D987" s="76" t="s">
        <v>6243</v>
      </c>
      <c r="E987" s="76"/>
      <c r="F987" s="76"/>
      <c r="G987" s="76"/>
      <c r="H987" s="117">
        <v>9411.76</v>
      </c>
      <c r="I987" s="76"/>
    </row>
    <row r="988" spans="1:9">
      <c r="A988" s="576">
        <v>95</v>
      </c>
      <c r="B988" s="576" t="s">
        <v>914</v>
      </c>
      <c r="C988" s="74" t="s">
        <v>6353</v>
      </c>
      <c r="D988" s="74"/>
      <c r="E988" s="74"/>
      <c r="F988" s="74"/>
      <c r="G988" s="74"/>
      <c r="H988" s="116">
        <v>1167992</v>
      </c>
      <c r="I988" s="74"/>
    </row>
    <row r="989" spans="1:9">
      <c r="A989" s="584"/>
      <c r="B989" s="584"/>
      <c r="C989" s="74" t="s">
        <v>5978</v>
      </c>
      <c r="D989" s="74"/>
      <c r="E989" s="74"/>
      <c r="F989" s="74"/>
      <c r="G989" s="74"/>
      <c r="H989" s="116">
        <v>200110</v>
      </c>
      <c r="I989" s="74"/>
    </row>
    <row r="990" spans="1:9">
      <c r="A990" s="577"/>
      <c r="B990" s="577"/>
      <c r="C990" s="74" t="s">
        <v>6362</v>
      </c>
      <c r="D990" s="74"/>
      <c r="E990" s="74"/>
      <c r="F990" s="74"/>
      <c r="G990" s="74"/>
      <c r="H990" s="116">
        <v>160207</v>
      </c>
      <c r="I990" s="74"/>
    </row>
  </sheetData>
  <mergeCells count="48">
    <mergeCell ref="A8:A15"/>
    <mergeCell ref="B8:B15"/>
    <mergeCell ref="A16:A32"/>
    <mergeCell ref="B16:B32"/>
    <mergeCell ref="A33:A209"/>
    <mergeCell ref="B33:B209"/>
    <mergeCell ref="A210:A667"/>
    <mergeCell ref="B210:B667"/>
    <mergeCell ref="A668:A696"/>
    <mergeCell ref="B668:B696"/>
    <mergeCell ref="A697:A704"/>
    <mergeCell ref="B697:B704"/>
    <mergeCell ref="A705:A709"/>
    <mergeCell ref="B705:B709"/>
    <mergeCell ref="A710:A784"/>
    <mergeCell ref="B710:B784"/>
    <mergeCell ref="A785:A787"/>
    <mergeCell ref="B785:B787"/>
    <mergeCell ref="A788:A795"/>
    <mergeCell ref="B788:B795"/>
    <mergeCell ref="A796:A801"/>
    <mergeCell ref="B796:B801"/>
    <mergeCell ref="A802:A806"/>
    <mergeCell ref="B802:B806"/>
    <mergeCell ref="A807:A814"/>
    <mergeCell ref="B807:B814"/>
    <mergeCell ref="A815:A822"/>
    <mergeCell ref="B815:B822"/>
    <mergeCell ref="A823:A831"/>
    <mergeCell ref="B823:B831"/>
    <mergeCell ref="A832:A867"/>
    <mergeCell ref="B832:B867"/>
    <mergeCell ref="A868:A882"/>
    <mergeCell ref="B868:B882"/>
    <mergeCell ref="A883:A911"/>
    <mergeCell ref="B883:B911"/>
    <mergeCell ref="A912:A915"/>
    <mergeCell ref="B912:B915"/>
    <mergeCell ref="A916:A919"/>
    <mergeCell ref="B916:B919"/>
    <mergeCell ref="A920:A980"/>
    <mergeCell ref="B920:B980"/>
    <mergeCell ref="A981:A982"/>
    <mergeCell ref="B981:B982"/>
    <mergeCell ref="A984:A987"/>
    <mergeCell ref="B984:B987"/>
    <mergeCell ref="A988:A990"/>
    <mergeCell ref="B988:B990"/>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41"/>
  <sheetViews>
    <sheetView topLeftCell="A288" zoomScale="80" zoomScaleNormal="80" workbookViewId="0">
      <selection activeCell="A4" sqref="A4:G341"/>
    </sheetView>
  </sheetViews>
  <sheetFormatPr baseColWidth="10" defaultRowHeight="13.8"/>
  <cols>
    <col min="1" max="1" width="62.296875" bestFit="1" customWidth="1"/>
    <col min="2" max="2" width="13.69921875" bestFit="1" customWidth="1"/>
    <col min="3" max="6" width="14.59765625" bestFit="1" customWidth="1"/>
    <col min="7" max="7" width="15.8984375" bestFit="1" customWidth="1"/>
  </cols>
  <sheetData>
    <row r="2" spans="1:7" ht="14.4">
      <c r="A2" s="483" t="s">
        <v>6382</v>
      </c>
    </row>
    <row r="4" spans="1:7" ht="52.8">
      <c r="A4" s="515" t="s">
        <v>1387</v>
      </c>
      <c r="B4" s="515" t="s">
        <v>6525</v>
      </c>
      <c r="C4" s="515" t="s">
        <v>2146</v>
      </c>
      <c r="D4" s="515" t="s">
        <v>2143</v>
      </c>
      <c r="E4" s="515" t="s">
        <v>2138</v>
      </c>
      <c r="F4" s="515" t="s">
        <v>2154</v>
      </c>
      <c r="G4" s="515" t="s">
        <v>6526</v>
      </c>
    </row>
    <row r="5" spans="1:7">
      <c r="A5" s="523" t="s">
        <v>1829</v>
      </c>
      <c r="B5" s="523" t="s">
        <v>1</v>
      </c>
      <c r="C5" s="524">
        <v>0</v>
      </c>
      <c r="D5" s="524">
        <v>0</v>
      </c>
      <c r="E5" s="524">
        <v>86407348</v>
      </c>
      <c r="F5" s="524">
        <v>0</v>
      </c>
      <c r="G5" s="524">
        <v>86407348</v>
      </c>
    </row>
    <row r="6" spans="1:7">
      <c r="A6" t="s">
        <v>1829</v>
      </c>
      <c r="B6" t="s">
        <v>3153</v>
      </c>
      <c r="C6" s="522">
        <v>0</v>
      </c>
      <c r="D6" s="522">
        <v>43177300</v>
      </c>
      <c r="E6" s="522">
        <v>0</v>
      </c>
      <c r="F6" s="522">
        <v>0</v>
      </c>
      <c r="G6" s="522">
        <v>43177300</v>
      </c>
    </row>
    <row r="7" spans="1:7">
      <c r="A7" s="523" t="s">
        <v>1829</v>
      </c>
      <c r="B7" s="523" t="s">
        <v>2430</v>
      </c>
      <c r="C7" s="524">
        <v>21665540</v>
      </c>
      <c r="D7" s="524">
        <v>0</v>
      </c>
      <c r="E7" s="524">
        <v>0</v>
      </c>
      <c r="F7" s="524">
        <v>0</v>
      </c>
      <c r="G7" s="524">
        <v>21665540</v>
      </c>
    </row>
    <row r="8" spans="1:7">
      <c r="A8" t="s">
        <v>1829</v>
      </c>
      <c r="B8" t="s">
        <v>2428</v>
      </c>
      <c r="C8" s="522">
        <v>0</v>
      </c>
      <c r="D8" s="522">
        <v>0</v>
      </c>
      <c r="E8" s="522">
        <v>0</v>
      </c>
      <c r="F8" s="522">
        <v>42038688</v>
      </c>
      <c r="G8" s="522">
        <v>42038688</v>
      </c>
    </row>
    <row r="9" spans="1:7">
      <c r="A9" s="523" t="s">
        <v>1830</v>
      </c>
      <c r="B9" s="523" t="s">
        <v>1</v>
      </c>
      <c r="C9" s="524">
        <v>0</v>
      </c>
      <c r="D9" s="524">
        <v>0</v>
      </c>
      <c r="E9" s="524">
        <v>71561033</v>
      </c>
      <c r="F9" s="524">
        <v>0</v>
      </c>
      <c r="G9" s="524">
        <v>71561033</v>
      </c>
    </row>
    <row r="10" spans="1:7">
      <c r="A10" t="s">
        <v>1830</v>
      </c>
      <c r="B10" t="s">
        <v>3153</v>
      </c>
      <c r="C10" s="522">
        <v>0</v>
      </c>
      <c r="D10" s="522">
        <v>27747249</v>
      </c>
      <c r="E10" s="522">
        <v>0</v>
      </c>
      <c r="F10" s="522">
        <v>0</v>
      </c>
      <c r="G10" s="522">
        <v>27747249</v>
      </c>
    </row>
    <row r="11" spans="1:7">
      <c r="A11" s="523" t="s">
        <v>1830</v>
      </c>
      <c r="B11" s="523" t="s">
        <v>2430</v>
      </c>
      <c r="C11" s="524">
        <v>20433880</v>
      </c>
      <c r="D11" s="524">
        <v>0</v>
      </c>
      <c r="E11" s="524">
        <v>0</v>
      </c>
      <c r="F11" s="524">
        <v>0</v>
      </c>
      <c r="G11" s="524">
        <v>20433880</v>
      </c>
    </row>
    <row r="12" spans="1:7">
      <c r="A12" t="s">
        <v>1830</v>
      </c>
      <c r="B12" t="s">
        <v>2428</v>
      </c>
      <c r="C12" s="522">
        <v>0</v>
      </c>
      <c r="D12" s="522">
        <v>0</v>
      </c>
      <c r="E12" s="522">
        <v>0</v>
      </c>
      <c r="F12" s="522">
        <v>8205594</v>
      </c>
      <c r="G12" s="522">
        <v>8205594</v>
      </c>
    </row>
    <row r="13" spans="1:7">
      <c r="A13" s="523" t="s">
        <v>1832</v>
      </c>
      <c r="B13" s="523" t="s">
        <v>1</v>
      </c>
      <c r="C13" s="524">
        <v>0</v>
      </c>
      <c r="D13" s="524">
        <v>0</v>
      </c>
      <c r="E13" s="524">
        <v>71926769</v>
      </c>
      <c r="F13" s="524">
        <v>0</v>
      </c>
      <c r="G13" s="524">
        <v>71926769</v>
      </c>
    </row>
    <row r="14" spans="1:7">
      <c r="A14" t="s">
        <v>1832</v>
      </c>
      <c r="B14" t="s">
        <v>3153</v>
      </c>
      <c r="C14" s="522">
        <v>0</v>
      </c>
      <c r="D14" s="522">
        <v>3726719</v>
      </c>
      <c r="E14" s="522">
        <v>0</v>
      </c>
      <c r="F14" s="522">
        <v>0</v>
      </c>
      <c r="G14" s="522">
        <v>3726719</v>
      </c>
    </row>
    <row r="15" spans="1:7">
      <c r="A15" s="523" t="s">
        <v>1832</v>
      </c>
      <c r="B15" s="523" t="s">
        <v>2430</v>
      </c>
      <c r="C15" s="524">
        <v>9165296</v>
      </c>
      <c r="D15" s="524">
        <v>0</v>
      </c>
      <c r="E15" s="524">
        <v>0</v>
      </c>
      <c r="F15" s="524">
        <v>0</v>
      </c>
      <c r="G15" s="524">
        <v>9165296</v>
      </c>
    </row>
    <row r="16" spans="1:7">
      <c r="A16" t="s">
        <v>1832</v>
      </c>
      <c r="B16" t="s">
        <v>2428</v>
      </c>
      <c r="C16" s="522">
        <v>0</v>
      </c>
      <c r="D16" s="522">
        <v>0</v>
      </c>
      <c r="E16" s="522">
        <v>0</v>
      </c>
      <c r="F16" s="522">
        <v>25775280</v>
      </c>
      <c r="G16" s="522">
        <v>25775280</v>
      </c>
    </row>
    <row r="17" spans="1:7">
      <c r="A17" s="523" t="s">
        <v>1835</v>
      </c>
      <c r="B17" s="523" t="s">
        <v>1</v>
      </c>
      <c r="C17" s="524">
        <v>0</v>
      </c>
      <c r="D17" s="524">
        <v>0</v>
      </c>
      <c r="E17" s="524">
        <v>36404099</v>
      </c>
      <c r="F17" s="524">
        <v>0</v>
      </c>
      <c r="G17" s="524">
        <v>36404099</v>
      </c>
    </row>
    <row r="18" spans="1:7">
      <c r="A18" t="s">
        <v>1835</v>
      </c>
      <c r="B18" t="s">
        <v>3153</v>
      </c>
      <c r="C18" s="522">
        <v>0</v>
      </c>
      <c r="D18" s="522">
        <v>1608869</v>
      </c>
      <c r="E18" s="522">
        <v>0</v>
      </c>
      <c r="F18" s="522">
        <v>0</v>
      </c>
      <c r="G18" s="522">
        <v>1608869</v>
      </c>
    </row>
    <row r="19" spans="1:7">
      <c r="A19" s="523" t="s">
        <v>1835</v>
      </c>
      <c r="B19" s="523" t="s">
        <v>2430</v>
      </c>
      <c r="C19" s="524">
        <v>9671781</v>
      </c>
      <c r="D19" s="524">
        <v>0</v>
      </c>
      <c r="E19" s="524">
        <v>0</v>
      </c>
      <c r="F19" s="524">
        <v>0</v>
      </c>
      <c r="G19" s="524">
        <v>9671781</v>
      </c>
    </row>
    <row r="20" spans="1:7">
      <c r="A20" t="s">
        <v>1835</v>
      </c>
      <c r="B20" t="s">
        <v>2428</v>
      </c>
      <c r="C20" s="522">
        <v>0</v>
      </c>
      <c r="D20" s="522">
        <v>0</v>
      </c>
      <c r="E20" s="522">
        <v>0</v>
      </c>
      <c r="F20" s="522">
        <v>21854522</v>
      </c>
      <c r="G20" s="522">
        <v>21854522</v>
      </c>
    </row>
    <row r="21" spans="1:7">
      <c r="A21" s="523" t="s">
        <v>192</v>
      </c>
      <c r="B21" s="523" t="s">
        <v>1</v>
      </c>
      <c r="C21" s="524">
        <v>0</v>
      </c>
      <c r="D21" s="524">
        <v>0</v>
      </c>
      <c r="E21" s="524">
        <v>33970999</v>
      </c>
      <c r="F21" s="524">
        <v>0</v>
      </c>
      <c r="G21" s="524">
        <v>33970999</v>
      </c>
    </row>
    <row r="22" spans="1:7">
      <c r="A22" t="s">
        <v>192</v>
      </c>
      <c r="B22" t="s">
        <v>3153</v>
      </c>
      <c r="C22" s="522">
        <v>0</v>
      </c>
      <c r="D22" s="522">
        <v>16411508</v>
      </c>
      <c r="E22" s="522">
        <v>0</v>
      </c>
      <c r="F22" s="522">
        <v>0</v>
      </c>
      <c r="G22" s="522">
        <v>16411508</v>
      </c>
    </row>
    <row r="23" spans="1:7">
      <c r="A23" s="523" t="s">
        <v>192</v>
      </c>
      <c r="B23" s="523" t="s">
        <v>2430</v>
      </c>
      <c r="C23" s="524">
        <v>10655935</v>
      </c>
      <c r="D23" s="524">
        <v>0</v>
      </c>
      <c r="E23" s="524">
        <v>0</v>
      </c>
      <c r="F23" s="524">
        <v>0</v>
      </c>
      <c r="G23" s="524">
        <v>10655935</v>
      </c>
    </row>
    <row r="24" spans="1:7">
      <c r="A24" t="s">
        <v>192</v>
      </c>
      <c r="B24" t="s">
        <v>2428</v>
      </c>
      <c r="C24" s="522">
        <v>0</v>
      </c>
      <c r="D24" s="522">
        <v>0</v>
      </c>
      <c r="E24" s="522">
        <v>0</v>
      </c>
      <c r="F24" s="522">
        <v>4225153</v>
      </c>
      <c r="G24" s="522">
        <v>4225153</v>
      </c>
    </row>
    <row r="25" spans="1:7">
      <c r="A25" s="523" t="s">
        <v>1833</v>
      </c>
      <c r="B25" s="523" t="s">
        <v>1</v>
      </c>
      <c r="C25" s="524">
        <v>0</v>
      </c>
      <c r="D25" s="524">
        <v>0</v>
      </c>
      <c r="E25" s="524">
        <v>32063261</v>
      </c>
      <c r="F25" s="524">
        <v>0</v>
      </c>
      <c r="G25" s="524">
        <v>32063261</v>
      </c>
    </row>
    <row r="26" spans="1:7">
      <c r="A26" t="s">
        <v>1833</v>
      </c>
      <c r="B26" t="s">
        <v>3153</v>
      </c>
      <c r="C26" s="522">
        <v>0</v>
      </c>
      <c r="D26" s="522">
        <v>15753772</v>
      </c>
      <c r="E26" s="522">
        <v>0</v>
      </c>
      <c r="F26" s="522">
        <v>0</v>
      </c>
      <c r="G26" s="522">
        <v>15753772</v>
      </c>
    </row>
    <row r="27" spans="1:7">
      <c r="A27" s="523" t="s">
        <v>1833</v>
      </c>
      <c r="B27" s="523" t="s">
        <v>2430</v>
      </c>
      <c r="C27" s="524">
        <v>9258138</v>
      </c>
      <c r="D27" s="524">
        <v>0</v>
      </c>
      <c r="E27" s="524">
        <v>0</v>
      </c>
      <c r="F27" s="524">
        <v>0</v>
      </c>
      <c r="G27" s="524">
        <v>9258138</v>
      </c>
    </row>
    <row r="28" spans="1:7">
      <c r="A28" t="s">
        <v>1833</v>
      </c>
      <c r="B28" t="s">
        <v>2428</v>
      </c>
      <c r="C28" s="522">
        <v>0</v>
      </c>
      <c r="D28" s="522">
        <v>0</v>
      </c>
      <c r="E28" s="522">
        <v>0</v>
      </c>
      <c r="F28" s="522">
        <v>5788932</v>
      </c>
      <c r="G28" s="522">
        <v>5788932</v>
      </c>
    </row>
    <row r="29" spans="1:7">
      <c r="A29" s="523" t="s">
        <v>1831</v>
      </c>
      <c r="B29" s="523" t="s">
        <v>1</v>
      </c>
      <c r="C29" s="524">
        <v>0</v>
      </c>
      <c r="D29" s="524">
        <v>0</v>
      </c>
      <c r="E29" s="524">
        <v>25311005</v>
      </c>
      <c r="F29" s="524">
        <v>0</v>
      </c>
      <c r="G29" s="524">
        <v>25311005</v>
      </c>
    </row>
    <row r="30" spans="1:7">
      <c r="A30" t="s">
        <v>1831</v>
      </c>
      <c r="B30" t="s">
        <v>3153</v>
      </c>
      <c r="C30" s="522">
        <v>0</v>
      </c>
      <c r="D30" s="522">
        <v>12344635</v>
      </c>
      <c r="E30" s="522">
        <v>0</v>
      </c>
      <c r="F30" s="522">
        <v>0</v>
      </c>
      <c r="G30" s="522">
        <v>12344635</v>
      </c>
    </row>
    <row r="31" spans="1:7">
      <c r="A31" s="523" t="s">
        <v>1831</v>
      </c>
      <c r="B31" s="523" t="s">
        <v>2430</v>
      </c>
      <c r="C31" s="524">
        <v>6351652</v>
      </c>
      <c r="D31" s="524">
        <v>0</v>
      </c>
      <c r="E31" s="524">
        <v>0</v>
      </c>
      <c r="F31" s="524">
        <v>0</v>
      </c>
      <c r="G31" s="524">
        <v>6351652</v>
      </c>
    </row>
    <row r="32" spans="1:7">
      <c r="A32" t="s">
        <v>1831</v>
      </c>
      <c r="B32" t="s">
        <v>2428</v>
      </c>
      <c r="C32" s="522">
        <v>0</v>
      </c>
      <c r="D32" s="522">
        <v>0</v>
      </c>
      <c r="E32" s="522">
        <v>0</v>
      </c>
      <c r="F32" s="522">
        <v>9558497</v>
      </c>
      <c r="G32" s="522">
        <v>9558497</v>
      </c>
    </row>
    <row r="33" spans="1:7">
      <c r="A33" s="523" t="s">
        <v>1838</v>
      </c>
      <c r="B33" s="523" t="s">
        <v>1</v>
      </c>
      <c r="C33" s="524">
        <v>0</v>
      </c>
      <c r="D33" s="524">
        <v>0</v>
      </c>
      <c r="E33" s="524">
        <v>23507725</v>
      </c>
      <c r="F33" s="524">
        <v>0</v>
      </c>
      <c r="G33" s="524">
        <v>23507725</v>
      </c>
    </row>
    <row r="34" spans="1:7">
      <c r="A34" t="s">
        <v>1838</v>
      </c>
      <c r="B34" t="s">
        <v>3153</v>
      </c>
      <c r="C34" s="522">
        <v>0</v>
      </c>
      <c r="D34" s="522">
        <v>11664761</v>
      </c>
      <c r="E34" s="522">
        <v>0</v>
      </c>
      <c r="F34" s="522">
        <v>0</v>
      </c>
      <c r="G34" s="522">
        <v>11664761</v>
      </c>
    </row>
    <row r="35" spans="1:7">
      <c r="A35" s="523" t="s">
        <v>1838</v>
      </c>
      <c r="B35" s="523" t="s">
        <v>2430</v>
      </c>
      <c r="C35" s="524">
        <v>6427701</v>
      </c>
      <c r="D35" s="524">
        <v>0</v>
      </c>
      <c r="E35" s="524">
        <v>0</v>
      </c>
      <c r="F35" s="524">
        <v>0</v>
      </c>
      <c r="G35" s="524">
        <v>6427701</v>
      </c>
    </row>
    <row r="36" spans="1:7">
      <c r="A36" t="s">
        <v>1838</v>
      </c>
      <c r="B36" t="s">
        <v>2428</v>
      </c>
      <c r="C36" s="522">
        <v>0</v>
      </c>
      <c r="D36" s="522">
        <v>0</v>
      </c>
      <c r="E36" s="522">
        <v>0</v>
      </c>
      <c r="F36" s="522">
        <v>6259828</v>
      </c>
      <c r="G36" s="522">
        <v>6259828</v>
      </c>
    </row>
    <row r="37" spans="1:7">
      <c r="A37" s="523" t="s">
        <v>229</v>
      </c>
      <c r="B37" s="523" t="s">
        <v>1</v>
      </c>
      <c r="C37" s="524">
        <v>0</v>
      </c>
      <c r="D37" s="524">
        <v>0</v>
      </c>
      <c r="E37" s="524">
        <v>21085655</v>
      </c>
      <c r="F37" s="524">
        <v>0</v>
      </c>
      <c r="G37" s="524">
        <v>21085655</v>
      </c>
    </row>
    <row r="38" spans="1:7">
      <c r="A38" t="s">
        <v>229</v>
      </c>
      <c r="B38" t="s">
        <v>3153</v>
      </c>
      <c r="C38" s="522">
        <v>0</v>
      </c>
      <c r="D38" s="522">
        <v>8889657</v>
      </c>
      <c r="E38" s="522">
        <v>0</v>
      </c>
      <c r="F38" s="522">
        <v>0</v>
      </c>
      <c r="G38" s="522">
        <v>8889657</v>
      </c>
    </row>
    <row r="39" spans="1:7">
      <c r="A39" s="523" t="s">
        <v>229</v>
      </c>
      <c r="B39" s="523" t="s">
        <v>2430</v>
      </c>
      <c r="C39" s="524">
        <v>5537475</v>
      </c>
      <c r="D39" s="524">
        <v>0</v>
      </c>
      <c r="E39" s="524">
        <v>0</v>
      </c>
      <c r="F39" s="524">
        <v>0</v>
      </c>
      <c r="G39" s="524">
        <v>5537475</v>
      </c>
    </row>
    <row r="40" spans="1:7">
      <c r="A40" t="s">
        <v>229</v>
      </c>
      <c r="B40" t="s">
        <v>2428</v>
      </c>
      <c r="C40" s="522">
        <v>0</v>
      </c>
      <c r="D40" s="522">
        <v>0</v>
      </c>
      <c r="E40" s="522">
        <v>0</v>
      </c>
      <c r="F40" s="522">
        <v>1952392</v>
      </c>
      <c r="G40" s="522">
        <v>1952392</v>
      </c>
    </row>
    <row r="41" spans="1:7">
      <c r="A41" s="523" t="s">
        <v>3822</v>
      </c>
      <c r="B41" s="523" t="s">
        <v>1</v>
      </c>
      <c r="C41" s="524">
        <v>0</v>
      </c>
      <c r="D41" s="524">
        <v>0</v>
      </c>
      <c r="E41" s="524">
        <v>20567902</v>
      </c>
      <c r="F41" s="524">
        <v>0</v>
      </c>
      <c r="G41" s="524">
        <v>20567902</v>
      </c>
    </row>
    <row r="42" spans="1:7">
      <c r="A42" t="s">
        <v>3822</v>
      </c>
      <c r="B42" t="s">
        <v>6527</v>
      </c>
      <c r="C42" s="522">
        <v>0</v>
      </c>
      <c r="D42" s="522">
        <v>10275639</v>
      </c>
      <c r="E42" s="522">
        <v>0</v>
      </c>
      <c r="F42" s="522">
        <v>0</v>
      </c>
      <c r="G42" s="522">
        <v>10275639</v>
      </c>
    </row>
    <row r="43" spans="1:7">
      <c r="A43" s="523" t="s">
        <v>3822</v>
      </c>
      <c r="B43" s="523" t="s">
        <v>2430</v>
      </c>
      <c r="C43" s="524">
        <v>5924234</v>
      </c>
      <c r="D43" s="524">
        <v>0</v>
      </c>
      <c r="E43" s="524">
        <v>0</v>
      </c>
      <c r="F43" s="524">
        <v>0</v>
      </c>
      <c r="G43" s="524">
        <v>5924234</v>
      </c>
    </row>
    <row r="44" spans="1:7">
      <c r="A44" t="s">
        <v>3822</v>
      </c>
      <c r="B44" t="s">
        <v>2428</v>
      </c>
      <c r="C44" s="522">
        <v>0</v>
      </c>
      <c r="D44" s="522">
        <v>0</v>
      </c>
      <c r="E44" s="522">
        <v>0</v>
      </c>
      <c r="F44" s="522">
        <v>664342</v>
      </c>
      <c r="G44" s="522">
        <v>664342</v>
      </c>
    </row>
    <row r="45" spans="1:7">
      <c r="A45" s="523" t="s">
        <v>102</v>
      </c>
      <c r="B45" s="523" t="s">
        <v>1</v>
      </c>
      <c r="C45" s="524">
        <v>0</v>
      </c>
      <c r="D45" s="524">
        <v>0</v>
      </c>
      <c r="E45" s="524">
        <v>15317939</v>
      </c>
      <c r="F45" s="524">
        <v>0</v>
      </c>
      <c r="G45" s="524">
        <v>15317939</v>
      </c>
    </row>
    <row r="46" spans="1:7">
      <c r="A46" t="s">
        <v>102</v>
      </c>
      <c r="B46" t="s">
        <v>3150</v>
      </c>
      <c r="C46" s="522">
        <v>0</v>
      </c>
      <c r="D46" s="522">
        <v>7650174</v>
      </c>
      <c r="E46" s="522">
        <v>0</v>
      </c>
      <c r="F46" s="522">
        <v>0</v>
      </c>
      <c r="G46" s="522">
        <v>7650174</v>
      </c>
    </row>
    <row r="47" spans="1:7">
      <c r="A47" s="523" t="s">
        <v>102</v>
      </c>
      <c r="B47" s="523" t="s">
        <v>2430</v>
      </c>
      <c r="C47" s="524">
        <v>4156638</v>
      </c>
      <c r="D47" s="524">
        <v>0</v>
      </c>
      <c r="E47" s="524">
        <v>0</v>
      </c>
      <c r="F47" s="524">
        <v>0</v>
      </c>
      <c r="G47" s="524">
        <v>4156638</v>
      </c>
    </row>
    <row r="48" spans="1:7">
      <c r="A48" t="s">
        <v>102</v>
      </c>
      <c r="B48" t="s">
        <v>2428</v>
      </c>
      <c r="C48" s="522">
        <v>0</v>
      </c>
      <c r="D48" s="522">
        <v>0</v>
      </c>
      <c r="E48" s="522">
        <v>0</v>
      </c>
      <c r="F48" s="522">
        <v>8804074</v>
      </c>
      <c r="G48" s="522">
        <v>8804074</v>
      </c>
    </row>
    <row r="49" spans="1:7">
      <c r="A49" s="523" t="s">
        <v>1834</v>
      </c>
      <c r="B49" s="523" t="s">
        <v>1</v>
      </c>
      <c r="C49" s="524">
        <v>0</v>
      </c>
      <c r="D49" s="524">
        <v>0</v>
      </c>
      <c r="E49" s="524">
        <v>15218896</v>
      </c>
      <c r="F49" s="524">
        <v>0</v>
      </c>
      <c r="G49" s="524">
        <v>15218896</v>
      </c>
    </row>
    <row r="50" spans="1:7">
      <c r="A50" t="s">
        <v>1834</v>
      </c>
      <c r="B50" t="s">
        <v>3150</v>
      </c>
      <c r="C50" s="522">
        <v>0</v>
      </c>
      <c r="D50" s="522">
        <v>6707289</v>
      </c>
      <c r="E50" s="522">
        <v>0</v>
      </c>
      <c r="F50" s="522">
        <v>0</v>
      </c>
      <c r="G50" s="522">
        <v>6707289</v>
      </c>
    </row>
    <row r="51" spans="1:7">
      <c r="A51" s="523" t="s">
        <v>1834</v>
      </c>
      <c r="B51" s="523" t="s">
        <v>2430</v>
      </c>
      <c r="C51" s="524">
        <v>4089931</v>
      </c>
      <c r="D51" s="524">
        <v>0</v>
      </c>
      <c r="E51" s="524">
        <v>0</v>
      </c>
      <c r="F51" s="524">
        <v>0</v>
      </c>
      <c r="G51" s="524">
        <v>4089931</v>
      </c>
    </row>
    <row r="52" spans="1:7">
      <c r="A52" t="s">
        <v>1834</v>
      </c>
      <c r="B52" t="s">
        <v>2428</v>
      </c>
      <c r="C52" s="522">
        <v>0</v>
      </c>
      <c r="D52" s="522">
        <v>0</v>
      </c>
      <c r="E52" s="522">
        <v>0</v>
      </c>
      <c r="F52" s="522">
        <v>8809502</v>
      </c>
      <c r="G52" s="522">
        <v>8809502</v>
      </c>
    </row>
    <row r="53" spans="1:7">
      <c r="A53" s="523" t="s">
        <v>1836</v>
      </c>
      <c r="B53" s="523" t="s">
        <v>1</v>
      </c>
      <c r="C53" s="524">
        <v>0</v>
      </c>
      <c r="D53" s="524">
        <v>0</v>
      </c>
      <c r="E53" s="524">
        <v>19540168</v>
      </c>
      <c r="F53" s="524">
        <v>0</v>
      </c>
      <c r="G53" s="524">
        <v>19540168</v>
      </c>
    </row>
    <row r="54" spans="1:7">
      <c r="A54" t="s">
        <v>1836</v>
      </c>
      <c r="B54" t="s">
        <v>3150</v>
      </c>
      <c r="C54" s="522">
        <v>0</v>
      </c>
      <c r="D54" s="522">
        <v>2756695</v>
      </c>
      <c r="E54" s="522">
        <v>0</v>
      </c>
      <c r="F54" s="522">
        <v>0</v>
      </c>
      <c r="G54" s="522">
        <v>2756695</v>
      </c>
    </row>
    <row r="55" spans="1:7">
      <c r="A55" s="523" t="s">
        <v>1836</v>
      </c>
      <c r="B55" s="523" t="s">
        <v>2430</v>
      </c>
      <c r="C55" s="524">
        <v>4901695</v>
      </c>
      <c r="D55" s="524">
        <v>0</v>
      </c>
      <c r="E55" s="524">
        <v>0</v>
      </c>
      <c r="F55" s="524">
        <v>0</v>
      </c>
      <c r="G55" s="524">
        <v>4901695</v>
      </c>
    </row>
    <row r="56" spans="1:7">
      <c r="A56" t="s">
        <v>1836</v>
      </c>
      <c r="B56" t="s">
        <v>2428</v>
      </c>
      <c r="C56" s="522">
        <v>0</v>
      </c>
      <c r="D56" s="522">
        <v>0</v>
      </c>
      <c r="E56" s="522">
        <v>0</v>
      </c>
      <c r="F56" s="522">
        <v>7477</v>
      </c>
      <c r="G56" s="522">
        <v>7477</v>
      </c>
    </row>
    <row r="57" spans="1:7">
      <c r="A57" s="523" t="s">
        <v>1843</v>
      </c>
      <c r="B57" s="523" t="s">
        <v>1</v>
      </c>
      <c r="C57" s="524">
        <v>0</v>
      </c>
      <c r="D57" s="524">
        <v>0</v>
      </c>
      <c r="E57" s="524">
        <v>13500381</v>
      </c>
      <c r="F57" s="524">
        <v>0</v>
      </c>
      <c r="G57" s="524">
        <v>13500381</v>
      </c>
    </row>
    <row r="58" spans="1:7">
      <c r="A58" t="s">
        <v>1843</v>
      </c>
      <c r="B58" t="s">
        <v>3150</v>
      </c>
      <c r="C58" s="522">
        <v>0</v>
      </c>
      <c r="D58" s="522">
        <v>6207617</v>
      </c>
      <c r="E58" s="522">
        <v>0</v>
      </c>
      <c r="F58" s="522">
        <v>0</v>
      </c>
      <c r="G58" s="522">
        <v>6207617</v>
      </c>
    </row>
    <row r="59" spans="1:7">
      <c r="A59" s="523" t="s">
        <v>1843</v>
      </c>
      <c r="B59" s="523" t="s">
        <v>2430</v>
      </c>
      <c r="C59" s="524">
        <v>4041521</v>
      </c>
      <c r="D59" s="524">
        <v>0</v>
      </c>
      <c r="E59" s="524">
        <v>0</v>
      </c>
      <c r="F59" s="524">
        <v>0</v>
      </c>
      <c r="G59" s="524">
        <v>4041521</v>
      </c>
    </row>
    <row r="60" spans="1:7">
      <c r="A60" t="s">
        <v>1843</v>
      </c>
      <c r="B60" t="s">
        <v>2428</v>
      </c>
      <c r="C60" s="522">
        <v>0</v>
      </c>
      <c r="D60" s="522">
        <v>0</v>
      </c>
      <c r="E60" s="522">
        <v>0</v>
      </c>
      <c r="F60" s="522">
        <v>1848793</v>
      </c>
      <c r="G60" s="522">
        <v>1848793</v>
      </c>
    </row>
    <row r="61" spans="1:7">
      <c r="A61" s="523" t="s">
        <v>99</v>
      </c>
      <c r="B61" s="523" t="s">
        <v>1</v>
      </c>
      <c r="C61" s="524">
        <v>0</v>
      </c>
      <c r="D61" s="524">
        <v>0</v>
      </c>
      <c r="E61" s="524">
        <v>15317137</v>
      </c>
      <c r="F61" s="524">
        <v>0</v>
      </c>
      <c r="G61" s="524">
        <v>15317137</v>
      </c>
    </row>
    <row r="62" spans="1:7">
      <c r="A62" t="s">
        <v>99</v>
      </c>
      <c r="B62" t="s">
        <v>3150</v>
      </c>
      <c r="C62" s="522">
        <v>0</v>
      </c>
      <c r="D62" s="522">
        <v>6115340</v>
      </c>
      <c r="E62" s="522">
        <v>0</v>
      </c>
      <c r="F62" s="522">
        <v>0</v>
      </c>
      <c r="G62" s="522">
        <v>6115340</v>
      </c>
    </row>
    <row r="63" spans="1:7">
      <c r="A63" s="523" t="s">
        <v>99</v>
      </c>
      <c r="B63" s="523" t="s">
        <v>2430</v>
      </c>
      <c r="C63" s="524">
        <v>2652536</v>
      </c>
      <c r="D63" s="524">
        <v>0</v>
      </c>
      <c r="E63" s="524">
        <v>0</v>
      </c>
      <c r="F63" s="524">
        <v>0</v>
      </c>
      <c r="G63" s="524">
        <v>2652536</v>
      </c>
    </row>
    <row r="64" spans="1:7">
      <c r="A64" t="s">
        <v>99</v>
      </c>
      <c r="B64" t="s">
        <v>2428</v>
      </c>
      <c r="C64" s="522">
        <v>0</v>
      </c>
      <c r="D64" s="522">
        <v>0</v>
      </c>
      <c r="E64" s="522">
        <v>0</v>
      </c>
      <c r="F64" s="522">
        <v>1283935</v>
      </c>
      <c r="G64" s="522">
        <v>1283935</v>
      </c>
    </row>
    <row r="65" spans="1:7">
      <c r="A65" s="523" t="s">
        <v>1845</v>
      </c>
      <c r="B65" s="523" t="s">
        <v>1</v>
      </c>
      <c r="C65" s="524">
        <v>0</v>
      </c>
      <c r="D65" s="524">
        <v>0</v>
      </c>
      <c r="E65" s="524">
        <v>8540071</v>
      </c>
      <c r="F65" s="524">
        <v>0</v>
      </c>
      <c r="G65" s="524">
        <v>8540071</v>
      </c>
    </row>
    <row r="66" spans="1:7">
      <c r="A66" t="s">
        <v>1845</v>
      </c>
      <c r="B66" t="s">
        <v>3150</v>
      </c>
      <c r="C66" s="522">
        <v>0</v>
      </c>
      <c r="D66" s="522">
        <v>9576194</v>
      </c>
      <c r="E66" s="522">
        <v>0</v>
      </c>
      <c r="F66" s="522">
        <v>0</v>
      </c>
      <c r="G66" s="522">
        <v>9576194</v>
      </c>
    </row>
    <row r="67" spans="1:7">
      <c r="A67" s="523" t="s">
        <v>1845</v>
      </c>
      <c r="B67" s="523" t="s">
        <v>2430</v>
      </c>
      <c r="C67" s="524">
        <v>2208076</v>
      </c>
      <c r="D67" s="524">
        <v>0</v>
      </c>
      <c r="E67" s="524">
        <v>0</v>
      </c>
      <c r="F67" s="524">
        <v>0</v>
      </c>
      <c r="G67" s="524">
        <v>2208076</v>
      </c>
    </row>
    <row r="68" spans="1:7">
      <c r="A68" t="s">
        <v>1845</v>
      </c>
      <c r="B68" t="s">
        <v>2428</v>
      </c>
      <c r="C68" s="522">
        <v>0</v>
      </c>
      <c r="D68" s="522">
        <v>0</v>
      </c>
      <c r="E68" s="522">
        <v>0</v>
      </c>
      <c r="F68" s="522">
        <v>3921426</v>
      </c>
      <c r="G68" s="522">
        <v>3921426</v>
      </c>
    </row>
    <row r="69" spans="1:7">
      <c r="A69" s="523" t="s">
        <v>1844</v>
      </c>
      <c r="B69" s="523" t="s">
        <v>1</v>
      </c>
      <c r="C69" s="524">
        <v>0</v>
      </c>
      <c r="D69" s="524">
        <v>0</v>
      </c>
      <c r="E69" s="524">
        <v>11534465</v>
      </c>
      <c r="F69" s="524">
        <v>0</v>
      </c>
      <c r="G69" s="524">
        <v>11534465</v>
      </c>
    </row>
    <row r="70" spans="1:7">
      <c r="A70" t="s">
        <v>1844</v>
      </c>
      <c r="B70" t="s">
        <v>3150</v>
      </c>
      <c r="C70" s="522">
        <v>0</v>
      </c>
      <c r="D70" s="522">
        <v>4439163</v>
      </c>
      <c r="E70" s="522">
        <v>0</v>
      </c>
      <c r="F70" s="522">
        <v>0</v>
      </c>
      <c r="G70" s="522">
        <v>4439163</v>
      </c>
    </row>
    <row r="71" spans="1:7">
      <c r="A71" s="523" t="s">
        <v>1844</v>
      </c>
      <c r="B71" s="523" t="s">
        <v>2430</v>
      </c>
      <c r="C71" s="524">
        <v>3142078</v>
      </c>
      <c r="D71" s="524">
        <v>0</v>
      </c>
      <c r="E71" s="524">
        <v>0</v>
      </c>
      <c r="F71" s="524">
        <v>0</v>
      </c>
      <c r="G71" s="524">
        <v>3142078</v>
      </c>
    </row>
    <row r="72" spans="1:7">
      <c r="A72" t="s">
        <v>1844</v>
      </c>
      <c r="B72" t="s">
        <v>2428</v>
      </c>
      <c r="C72" s="522">
        <v>0</v>
      </c>
      <c r="D72" s="522">
        <v>0</v>
      </c>
      <c r="E72" s="522">
        <v>0</v>
      </c>
      <c r="F72" s="522">
        <v>3558330</v>
      </c>
      <c r="G72" s="522">
        <v>3558330</v>
      </c>
    </row>
    <row r="73" spans="1:7">
      <c r="A73" s="523" t="s">
        <v>139</v>
      </c>
      <c r="B73" s="523" t="s">
        <v>1</v>
      </c>
      <c r="C73" s="524">
        <v>0</v>
      </c>
      <c r="D73" s="524">
        <v>0</v>
      </c>
      <c r="E73" s="524">
        <v>9644304</v>
      </c>
      <c r="F73" s="524">
        <v>0</v>
      </c>
      <c r="G73" s="524">
        <v>9644304</v>
      </c>
    </row>
    <row r="74" spans="1:7">
      <c r="A74" t="s">
        <v>139</v>
      </c>
      <c r="B74" t="s">
        <v>3150</v>
      </c>
      <c r="C74" s="522">
        <v>0</v>
      </c>
      <c r="D74" s="522">
        <v>4038112</v>
      </c>
      <c r="E74" s="522">
        <v>0</v>
      </c>
      <c r="F74" s="522">
        <v>0</v>
      </c>
      <c r="G74" s="522">
        <v>4038112</v>
      </c>
    </row>
    <row r="75" spans="1:7">
      <c r="A75" s="523" t="s">
        <v>139</v>
      </c>
      <c r="B75" s="523" t="s">
        <v>2430</v>
      </c>
      <c r="C75" s="524">
        <v>2489628</v>
      </c>
      <c r="D75" s="524">
        <v>0</v>
      </c>
      <c r="E75" s="524">
        <v>0</v>
      </c>
      <c r="F75" s="524">
        <v>0</v>
      </c>
      <c r="G75" s="524">
        <v>2489628</v>
      </c>
    </row>
    <row r="76" spans="1:7">
      <c r="A76" t="s">
        <v>139</v>
      </c>
      <c r="B76" t="s">
        <v>2428</v>
      </c>
      <c r="C76" s="522">
        <v>0</v>
      </c>
      <c r="D76" s="522">
        <v>0</v>
      </c>
      <c r="E76" s="522">
        <v>0</v>
      </c>
      <c r="F76" s="522">
        <v>4278663</v>
      </c>
      <c r="G76" s="522">
        <v>4278663</v>
      </c>
    </row>
    <row r="77" spans="1:7">
      <c r="A77" s="523" t="s">
        <v>717</v>
      </c>
      <c r="B77" s="523" t="s">
        <v>1</v>
      </c>
      <c r="C77" s="524">
        <v>0</v>
      </c>
      <c r="D77" s="524">
        <v>0</v>
      </c>
      <c r="E77" s="524">
        <v>8746282</v>
      </c>
      <c r="F77" s="524">
        <v>0</v>
      </c>
      <c r="G77" s="524">
        <v>8746282</v>
      </c>
    </row>
    <row r="78" spans="1:7">
      <c r="A78" t="s">
        <v>717</v>
      </c>
      <c r="B78" t="s">
        <v>3150</v>
      </c>
      <c r="C78" s="522">
        <v>0</v>
      </c>
      <c r="D78" s="522">
        <v>3461043</v>
      </c>
      <c r="E78" s="522">
        <v>0</v>
      </c>
      <c r="F78" s="522">
        <v>0</v>
      </c>
      <c r="G78" s="522">
        <v>3461043</v>
      </c>
    </row>
    <row r="79" spans="1:7">
      <c r="A79" s="523" t="s">
        <v>717</v>
      </c>
      <c r="B79" s="523" t="s">
        <v>2430</v>
      </c>
      <c r="C79" s="524">
        <v>2373587</v>
      </c>
      <c r="D79" s="524">
        <v>0</v>
      </c>
      <c r="E79" s="524">
        <v>0</v>
      </c>
      <c r="F79" s="524">
        <v>0</v>
      </c>
      <c r="G79" s="524">
        <v>2373587</v>
      </c>
    </row>
    <row r="80" spans="1:7">
      <c r="A80" t="s">
        <v>717</v>
      </c>
      <c r="B80" t="s">
        <v>2428</v>
      </c>
      <c r="C80" s="522">
        <v>0</v>
      </c>
      <c r="D80" s="522">
        <v>0</v>
      </c>
      <c r="E80" s="522">
        <v>0</v>
      </c>
      <c r="F80" s="522">
        <v>3867227</v>
      </c>
      <c r="G80" s="522">
        <v>3867227</v>
      </c>
    </row>
    <row r="81" spans="1:7">
      <c r="A81" s="523" t="s">
        <v>62</v>
      </c>
      <c r="B81" s="523" t="s">
        <v>1</v>
      </c>
      <c r="C81" s="524">
        <v>0</v>
      </c>
      <c r="D81" s="524">
        <v>0</v>
      </c>
      <c r="E81" s="524">
        <v>9123383</v>
      </c>
      <c r="F81" s="524">
        <v>0</v>
      </c>
      <c r="G81" s="524">
        <v>9123383</v>
      </c>
    </row>
    <row r="82" spans="1:7">
      <c r="A82" t="s">
        <v>62</v>
      </c>
      <c r="B82" t="s">
        <v>3150</v>
      </c>
      <c r="C82" s="522">
        <v>0</v>
      </c>
      <c r="D82" s="522">
        <v>3366320</v>
      </c>
      <c r="E82" s="522">
        <v>0</v>
      </c>
      <c r="F82" s="522">
        <v>0</v>
      </c>
      <c r="G82" s="522">
        <v>3366320</v>
      </c>
    </row>
    <row r="83" spans="1:7">
      <c r="A83" s="523" t="s">
        <v>62</v>
      </c>
      <c r="B83" s="523" t="s">
        <v>2430</v>
      </c>
      <c r="C83" s="524">
        <v>882235</v>
      </c>
      <c r="D83" s="524">
        <v>0</v>
      </c>
      <c r="E83" s="524">
        <v>0</v>
      </c>
      <c r="F83" s="524">
        <v>0</v>
      </c>
      <c r="G83" s="524">
        <v>882235</v>
      </c>
    </row>
    <row r="84" spans="1:7">
      <c r="A84" t="s">
        <v>62</v>
      </c>
      <c r="B84" t="s">
        <v>2428</v>
      </c>
      <c r="C84" s="522">
        <v>0</v>
      </c>
      <c r="D84" s="522">
        <v>0</v>
      </c>
      <c r="E84" s="522">
        <v>0</v>
      </c>
      <c r="F84" s="522">
        <v>4515175</v>
      </c>
      <c r="G84" s="522">
        <v>4515175</v>
      </c>
    </row>
    <row r="85" spans="1:7">
      <c r="A85" s="523" t="s">
        <v>1840</v>
      </c>
      <c r="B85" s="523" t="s">
        <v>1</v>
      </c>
      <c r="C85" s="524">
        <v>0</v>
      </c>
      <c r="D85" s="524">
        <v>0</v>
      </c>
      <c r="E85" s="524">
        <v>9931215</v>
      </c>
      <c r="F85" s="524">
        <v>0</v>
      </c>
      <c r="G85" s="524">
        <v>9931215</v>
      </c>
    </row>
    <row r="86" spans="1:7">
      <c r="A86" t="s">
        <v>1840</v>
      </c>
      <c r="B86" t="s">
        <v>3839</v>
      </c>
      <c r="C86" s="522">
        <v>0</v>
      </c>
      <c r="D86" s="522">
        <v>14873</v>
      </c>
      <c r="E86" s="522">
        <v>0</v>
      </c>
      <c r="F86" s="522">
        <v>0</v>
      </c>
      <c r="G86" s="522">
        <v>14873</v>
      </c>
    </row>
    <row r="87" spans="1:7">
      <c r="A87" s="523" t="s">
        <v>1840</v>
      </c>
      <c r="B87" s="523" t="s">
        <v>3150</v>
      </c>
      <c r="C87" s="524">
        <v>0</v>
      </c>
      <c r="D87" s="524">
        <v>3830340</v>
      </c>
      <c r="E87" s="524">
        <v>0</v>
      </c>
      <c r="F87" s="524">
        <v>0</v>
      </c>
      <c r="G87" s="524">
        <v>3830340</v>
      </c>
    </row>
    <row r="88" spans="1:7">
      <c r="A88" t="s">
        <v>1840</v>
      </c>
      <c r="B88" t="s">
        <v>2430</v>
      </c>
      <c r="C88" s="522">
        <v>2702675</v>
      </c>
      <c r="D88" s="522">
        <v>0</v>
      </c>
      <c r="E88" s="522">
        <v>0</v>
      </c>
      <c r="F88" s="522">
        <v>0</v>
      </c>
      <c r="G88" s="522">
        <v>2702675</v>
      </c>
    </row>
    <row r="89" spans="1:7">
      <c r="A89" s="523" t="s">
        <v>1840</v>
      </c>
      <c r="B89" s="523" t="s">
        <v>2428</v>
      </c>
      <c r="C89" s="524">
        <v>0</v>
      </c>
      <c r="D89" s="524">
        <v>0</v>
      </c>
      <c r="E89" s="524">
        <v>0</v>
      </c>
      <c r="F89" s="524">
        <v>1358173</v>
      </c>
      <c r="G89" s="524">
        <v>1358173</v>
      </c>
    </row>
    <row r="90" spans="1:7">
      <c r="A90" t="s">
        <v>1848</v>
      </c>
      <c r="B90" t="s">
        <v>1</v>
      </c>
      <c r="C90" s="522">
        <v>0</v>
      </c>
      <c r="D90" s="522">
        <v>0</v>
      </c>
      <c r="E90" s="522">
        <v>9472300</v>
      </c>
      <c r="F90" s="522">
        <v>0</v>
      </c>
      <c r="G90" s="522">
        <v>9472300</v>
      </c>
    </row>
    <row r="91" spans="1:7">
      <c r="A91" s="523" t="s">
        <v>1848</v>
      </c>
      <c r="B91" s="523" t="s">
        <v>3153</v>
      </c>
      <c r="C91" s="524">
        <v>0</v>
      </c>
      <c r="D91" s="524">
        <v>3271408</v>
      </c>
      <c r="E91" s="524">
        <v>0</v>
      </c>
      <c r="F91" s="524">
        <v>0</v>
      </c>
      <c r="G91" s="524">
        <v>3271408</v>
      </c>
    </row>
    <row r="92" spans="1:7">
      <c r="A92" t="s">
        <v>1848</v>
      </c>
      <c r="B92" t="s">
        <v>2430</v>
      </c>
      <c r="C92" s="522">
        <v>2543541</v>
      </c>
      <c r="D92" s="522">
        <v>0</v>
      </c>
      <c r="E92" s="522">
        <v>0</v>
      </c>
      <c r="F92" s="522">
        <v>0</v>
      </c>
      <c r="G92" s="522">
        <v>2543541</v>
      </c>
    </row>
    <row r="93" spans="1:7">
      <c r="A93" s="523" t="s">
        <v>1848</v>
      </c>
      <c r="B93" s="523" t="s">
        <v>2428</v>
      </c>
      <c r="C93" s="524">
        <v>0</v>
      </c>
      <c r="D93" s="524">
        <v>0</v>
      </c>
      <c r="E93" s="524">
        <v>0</v>
      </c>
      <c r="F93" s="524">
        <v>1815296</v>
      </c>
      <c r="G93" s="524">
        <v>1815296</v>
      </c>
    </row>
    <row r="94" spans="1:7">
      <c r="A94" t="s">
        <v>3659</v>
      </c>
      <c r="B94" t="s">
        <v>1</v>
      </c>
      <c r="C94" s="522">
        <v>0</v>
      </c>
      <c r="D94" s="522">
        <v>0</v>
      </c>
      <c r="E94" s="522">
        <v>8233074</v>
      </c>
      <c r="F94" s="522">
        <v>0</v>
      </c>
      <c r="G94" s="522">
        <v>8233074</v>
      </c>
    </row>
    <row r="95" spans="1:7">
      <c r="A95" s="523" t="s">
        <v>3659</v>
      </c>
      <c r="B95" s="523" t="s">
        <v>3150</v>
      </c>
      <c r="C95" s="524">
        <v>0</v>
      </c>
      <c r="D95" s="524">
        <v>4132899</v>
      </c>
      <c r="E95" s="524">
        <v>0</v>
      </c>
      <c r="F95" s="524">
        <v>0</v>
      </c>
      <c r="G95" s="524">
        <v>4132899</v>
      </c>
    </row>
    <row r="96" spans="1:7">
      <c r="A96" t="s">
        <v>3659</v>
      </c>
      <c r="B96" t="s">
        <v>2430</v>
      </c>
      <c r="C96" s="522">
        <v>2528310</v>
      </c>
      <c r="D96" s="522">
        <v>0</v>
      </c>
      <c r="E96" s="522">
        <v>0</v>
      </c>
      <c r="F96" s="522">
        <v>0</v>
      </c>
      <c r="G96" s="522">
        <v>2528310</v>
      </c>
    </row>
    <row r="97" spans="1:7">
      <c r="A97" s="523" t="s">
        <v>3659</v>
      </c>
      <c r="B97" s="523" t="s">
        <v>2428</v>
      </c>
      <c r="C97" s="524">
        <v>0</v>
      </c>
      <c r="D97" s="524">
        <v>0</v>
      </c>
      <c r="E97" s="524">
        <v>0</v>
      </c>
      <c r="F97" s="524">
        <v>1233822</v>
      </c>
      <c r="G97" s="524">
        <v>1233822</v>
      </c>
    </row>
    <row r="98" spans="1:7">
      <c r="A98" t="s">
        <v>721</v>
      </c>
      <c r="B98" t="s">
        <v>1</v>
      </c>
      <c r="C98" s="522">
        <v>0</v>
      </c>
      <c r="D98" s="522">
        <v>0</v>
      </c>
      <c r="E98" s="522">
        <v>6297805</v>
      </c>
      <c r="F98" s="522">
        <v>0</v>
      </c>
      <c r="G98" s="522">
        <v>6297805</v>
      </c>
    </row>
    <row r="99" spans="1:7">
      <c r="A99" s="523" t="s">
        <v>721</v>
      </c>
      <c r="B99" s="523" t="s">
        <v>3150</v>
      </c>
      <c r="C99" s="524">
        <v>0</v>
      </c>
      <c r="D99" s="524">
        <v>2963220</v>
      </c>
      <c r="E99" s="524">
        <v>0</v>
      </c>
      <c r="F99" s="524">
        <v>0</v>
      </c>
      <c r="G99" s="524">
        <v>2963220</v>
      </c>
    </row>
    <row r="100" spans="1:7">
      <c r="A100" t="s">
        <v>721</v>
      </c>
      <c r="B100" t="s">
        <v>2430</v>
      </c>
      <c r="C100" s="522">
        <v>2956752</v>
      </c>
      <c r="D100" s="522">
        <v>0</v>
      </c>
      <c r="E100" s="522">
        <v>0</v>
      </c>
      <c r="F100" s="522">
        <v>0</v>
      </c>
      <c r="G100" s="522">
        <v>2956752</v>
      </c>
    </row>
    <row r="101" spans="1:7">
      <c r="A101" s="523" t="s">
        <v>721</v>
      </c>
      <c r="B101" s="523" t="s">
        <v>2428</v>
      </c>
      <c r="C101" s="524">
        <v>0</v>
      </c>
      <c r="D101" s="524">
        <v>0</v>
      </c>
      <c r="E101" s="524">
        <v>0</v>
      </c>
      <c r="F101" s="524">
        <v>3780778</v>
      </c>
      <c r="G101" s="524">
        <v>3780778</v>
      </c>
    </row>
    <row r="102" spans="1:7">
      <c r="A102" t="s">
        <v>1839</v>
      </c>
      <c r="B102" t="s">
        <v>1</v>
      </c>
      <c r="C102" s="522">
        <v>0</v>
      </c>
      <c r="D102" s="522">
        <v>0</v>
      </c>
      <c r="E102" s="522">
        <v>7913996</v>
      </c>
      <c r="F102" s="522">
        <v>0</v>
      </c>
      <c r="G102" s="522">
        <v>7913996</v>
      </c>
    </row>
    <row r="103" spans="1:7">
      <c r="A103" s="523" t="s">
        <v>1839</v>
      </c>
      <c r="B103" s="523" t="s">
        <v>2430</v>
      </c>
      <c r="C103" s="524">
        <v>2430811</v>
      </c>
      <c r="D103" s="524">
        <v>0</v>
      </c>
      <c r="E103" s="524">
        <v>0</v>
      </c>
      <c r="F103" s="524">
        <v>0</v>
      </c>
      <c r="G103" s="524">
        <v>2430811</v>
      </c>
    </row>
    <row r="104" spans="1:7">
      <c r="A104" t="s">
        <v>1839</v>
      </c>
      <c r="B104" t="s">
        <v>2428</v>
      </c>
      <c r="C104" s="522">
        <v>0</v>
      </c>
      <c r="D104" s="522">
        <v>0</v>
      </c>
      <c r="E104" s="522">
        <v>0</v>
      </c>
      <c r="F104" s="522">
        <v>5257907</v>
      </c>
      <c r="G104" s="522">
        <v>5257907</v>
      </c>
    </row>
    <row r="105" spans="1:7">
      <c r="A105" s="523" t="s">
        <v>1852</v>
      </c>
      <c r="B105" s="523" t="s">
        <v>1</v>
      </c>
      <c r="C105" s="524">
        <v>0</v>
      </c>
      <c r="D105" s="524">
        <v>0</v>
      </c>
      <c r="E105" s="524">
        <v>6763498</v>
      </c>
      <c r="F105" s="524">
        <v>0</v>
      </c>
      <c r="G105" s="524">
        <v>6763498</v>
      </c>
    </row>
    <row r="106" spans="1:7">
      <c r="A106" t="s">
        <v>1852</v>
      </c>
      <c r="B106" t="s">
        <v>3153</v>
      </c>
      <c r="C106" s="522">
        <v>0</v>
      </c>
      <c r="D106" s="522">
        <v>3087804</v>
      </c>
      <c r="E106" s="522">
        <v>0</v>
      </c>
      <c r="F106" s="522">
        <v>0</v>
      </c>
      <c r="G106" s="522">
        <v>3087804</v>
      </c>
    </row>
    <row r="107" spans="1:7">
      <c r="A107" s="523" t="s">
        <v>1852</v>
      </c>
      <c r="B107" s="523" t="s">
        <v>2430</v>
      </c>
      <c r="C107" s="524">
        <v>1822805</v>
      </c>
      <c r="D107" s="524">
        <v>0</v>
      </c>
      <c r="E107" s="524">
        <v>0</v>
      </c>
      <c r="F107" s="524">
        <v>0</v>
      </c>
      <c r="G107" s="524">
        <v>1822805</v>
      </c>
    </row>
    <row r="108" spans="1:7">
      <c r="A108" t="s">
        <v>1852</v>
      </c>
      <c r="B108" t="s">
        <v>2428</v>
      </c>
      <c r="C108" s="522">
        <v>0</v>
      </c>
      <c r="D108" s="522">
        <v>0</v>
      </c>
      <c r="E108" s="522">
        <v>0</v>
      </c>
      <c r="F108" s="522">
        <v>3006767</v>
      </c>
      <c r="G108" s="522">
        <v>3006767</v>
      </c>
    </row>
    <row r="109" spans="1:7">
      <c r="A109" s="523" t="s">
        <v>96</v>
      </c>
      <c r="B109" s="523" t="s">
        <v>1</v>
      </c>
      <c r="C109" s="524">
        <v>0</v>
      </c>
      <c r="D109" s="524">
        <v>0</v>
      </c>
      <c r="E109" s="524">
        <v>7601569</v>
      </c>
      <c r="F109" s="524">
        <v>0</v>
      </c>
      <c r="G109" s="524">
        <v>7601569</v>
      </c>
    </row>
    <row r="110" spans="1:7">
      <c r="A110" t="s">
        <v>96</v>
      </c>
      <c r="B110" t="s">
        <v>3150</v>
      </c>
      <c r="C110" s="522">
        <v>0</v>
      </c>
      <c r="D110" s="522">
        <v>2767881</v>
      </c>
      <c r="E110" s="522">
        <v>0</v>
      </c>
      <c r="F110" s="522">
        <v>0</v>
      </c>
      <c r="G110" s="522">
        <v>2767881</v>
      </c>
    </row>
    <row r="111" spans="1:7">
      <c r="A111" s="523" t="s">
        <v>96</v>
      </c>
      <c r="B111" s="523" t="s">
        <v>2430</v>
      </c>
      <c r="C111" s="524">
        <v>2449713</v>
      </c>
      <c r="D111" s="524">
        <v>0</v>
      </c>
      <c r="E111" s="524">
        <v>0</v>
      </c>
      <c r="F111" s="524">
        <v>0</v>
      </c>
      <c r="G111" s="524">
        <v>2449713</v>
      </c>
    </row>
    <row r="112" spans="1:7">
      <c r="A112" t="s">
        <v>96</v>
      </c>
      <c r="B112" t="s">
        <v>2428</v>
      </c>
      <c r="C112" s="522">
        <v>0</v>
      </c>
      <c r="D112" s="522">
        <v>0</v>
      </c>
      <c r="E112" s="522">
        <v>0</v>
      </c>
      <c r="F112" s="522">
        <v>1176640</v>
      </c>
      <c r="G112" s="522">
        <v>1176640</v>
      </c>
    </row>
    <row r="113" spans="1:7">
      <c r="A113" s="523" t="s">
        <v>549</v>
      </c>
      <c r="B113" s="523" t="s">
        <v>1</v>
      </c>
      <c r="C113" s="524">
        <v>0</v>
      </c>
      <c r="D113" s="524">
        <v>0</v>
      </c>
      <c r="E113" s="524">
        <v>6645677</v>
      </c>
      <c r="F113" s="524">
        <v>0</v>
      </c>
      <c r="G113" s="524">
        <v>6645677</v>
      </c>
    </row>
    <row r="114" spans="1:7">
      <c r="A114" t="s">
        <v>549</v>
      </c>
      <c r="B114" t="s">
        <v>3153</v>
      </c>
      <c r="C114" s="522">
        <v>0</v>
      </c>
      <c r="D114" s="522">
        <v>3057796</v>
      </c>
      <c r="E114" s="522">
        <v>0</v>
      </c>
      <c r="F114" s="522">
        <v>0</v>
      </c>
      <c r="G114" s="522">
        <v>3057796</v>
      </c>
    </row>
    <row r="115" spans="1:7">
      <c r="A115" s="523" t="s">
        <v>549</v>
      </c>
      <c r="B115" s="523" t="s">
        <v>2430</v>
      </c>
      <c r="C115" s="524">
        <v>1684646</v>
      </c>
      <c r="D115" s="524">
        <v>0</v>
      </c>
      <c r="E115" s="524">
        <v>0</v>
      </c>
      <c r="F115" s="524">
        <v>0</v>
      </c>
      <c r="G115" s="524">
        <v>1684646</v>
      </c>
    </row>
    <row r="116" spans="1:7">
      <c r="A116" t="s">
        <v>549</v>
      </c>
      <c r="B116" t="s">
        <v>2428</v>
      </c>
      <c r="C116" s="522">
        <v>0</v>
      </c>
      <c r="D116" s="522">
        <v>0</v>
      </c>
      <c r="E116" s="522">
        <v>0</v>
      </c>
      <c r="F116" s="522">
        <v>2019497</v>
      </c>
      <c r="G116" s="522">
        <v>2019497</v>
      </c>
    </row>
    <row r="117" spans="1:7">
      <c r="A117" s="523" t="s">
        <v>1849</v>
      </c>
      <c r="B117" s="523" t="s">
        <v>1</v>
      </c>
      <c r="C117" s="524">
        <v>0</v>
      </c>
      <c r="D117" s="524">
        <v>0</v>
      </c>
      <c r="E117" s="524">
        <v>7518006</v>
      </c>
      <c r="F117" s="524">
        <v>0</v>
      </c>
      <c r="G117" s="524">
        <v>7518006</v>
      </c>
    </row>
    <row r="118" spans="1:7">
      <c r="A118" t="s">
        <v>1849</v>
      </c>
      <c r="B118" t="s">
        <v>3150</v>
      </c>
      <c r="C118" s="522">
        <v>0</v>
      </c>
      <c r="D118" s="522">
        <v>2594508</v>
      </c>
      <c r="E118" s="522">
        <v>0</v>
      </c>
      <c r="F118" s="522">
        <v>0</v>
      </c>
      <c r="G118" s="522">
        <v>2594508</v>
      </c>
    </row>
    <row r="119" spans="1:7">
      <c r="A119" s="523" t="s">
        <v>1849</v>
      </c>
      <c r="B119" s="523" t="s">
        <v>2430</v>
      </c>
      <c r="C119" s="524">
        <v>1920727</v>
      </c>
      <c r="D119" s="524">
        <v>0</v>
      </c>
      <c r="E119" s="524">
        <v>0</v>
      </c>
      <c r="F119" s="524">
        <v>0</v>
      </c>
      <c r="G119" s="524">
        <v>1920727</v>
      </c>
    </row>
    <row r="120" spans="1:7">
      <c r="A120" t="s">
        <v>1849</v>
      </c>
      <c r="B120" t="s">
        <v>2428</v>
      </c>
      <c r="C120" s="522">
        <v>0</v>
      </c>
      <c r="D120" s="522">
        <v>0</v>
      </c>
      <c r="E120" s="522">
        <v>0</v>
      </c>
      <c r="F120" s="522">
        <v>993938</v>
      </c>
      <c r="G120" s="522">
        <v>993938</v>
      </c>
    </row>
    <row r="121" spans="1:7">
      <c r="A121" s="523" t="s">
        <v>1853</v>
      </c>
      <c r="B121" s="523" t="s">
        <v>1</v>
      </c>
      <c r="C121" s="524">
        <v>0</v>
      </c>
      <c r="D121" s="524">
        <v>0</v>
      </c>
      <c r="E121" s="524">
        <v>4511836</v>
      </c>
      <c r="F121" s="524">
        <v>0</v>
      </c>
      <c r="G121" s="524">
        <v>4511836</v>
      </c>
    </row>
    <row r="122" spans="1:7">
      <c r="A122" t="s">
        <v>1853</v>
      </c>
      <c r="B122" t="s">
        <v>3153</v>
      </c>
      <c r="C122" s="522">
        <v>0</v>
      </c>
      <c r="D122" s="522">
        <v>2345692</v>
      </c>
      <c r="E122" s="522">
        <v>0</v>
      </c>
      <c r="F122" s="522">
        <v>0</v>
      </c>
      <c r="G122" s="522">
        <v>2345692</v>
      </c>
    </row>
    <row r="123" spans="1:7">
      <c r="A123" s="523" t="s">
        <v>1853</v>
      </c>
      <c r="B123" s="523" t="s">
        <v>2430</v>
      </c>
      <c r="C123" s="524">
        <v>1560414</v>
      </c>
      <c r="D123" s="524">
        <v>0</v>
      </c>
      <c r="E123" s="524">
        <v>0</v>
      </c>
      <c r="F123" s="524">
        <v>0</v>
      </c>
      <c r="G123" s="524">
        <v>1560414</v>
      </c>
    </row>
    <row r="124" spans="1:7">
      <c r="A124" t="s">
        <v>1853</v>
      </c>
      <c r="B124" t="s">
        <v>2428</v>
      </c>
      <c r="C124" s="522">
        <v>0</v>
      </c>
      <c r="D124" s="522">
        <v>0</v>
      </c>
      <c r="E124" s="522">
        <v>0</v>
      </c>
      <c r="F124" s="522">
        <v>3984799</v>
      </c>
      <c r="G124" s="522">
        <v>3984799</v>
      </c>
    </row>
    <row r="125" spans="1:7">
      <c r="A125" s="523" t="s">
        <v>1847</v>
      </c>
      <c r="B125" s="523" t="s">
        <v>1</v>
      </c>
      <c r="C125" s="524">
        <v>0</v>
      </c>
      <c r="D125" s="524">
        <v>0</v>
      </c>
      <c r="E125" s="524">
        <v>5879039</v>
      </c>
      <c r="F125" s="524">
        <v>0</v>
      </c>
      <c r="G125" s="524">
        <v>5879039</v>
      </c>
    </row>
    <row r="126" spans="1:7">
      <c r="A126" t="s">
        <v>1847</v>
      </c>
      <c r="B126" t="s">
        <v>3150</v>
      </c>
      <c r="C126" s="522">
        <v>0</v>
      </c>
      <c r="D126" s="522">
        <v>2110838</v>
      </c>
      <c r="E126" s="522">
        <v>0</v>
      </c>
      <c r="F126" s="522">
        <v>0</v>
      </c>
      <c r="G126" s="522">
        <v>2110838</v>
      </c>
    </row>
    <row r="127" spans="1:7">
      <c r="A127" s="523" t="s">
        <v>1847</v>
      </c>
      <c r="B127" s="523" t="s">
        <v>2430</v>
      </c>
      <c r="C127" s="524">
        <v>1063499</v>
      </c>
      <c r="D127" s="524">
        <v>0</v>
      </c>
      <c r="E127" s="524">
        <v>0</v>
      </c>
      <c r="F127" s="524">
        <v>0</v>
      </c>
      <c r="G127" s="524">
        <v>1063499</v>
      </c>
    </row>
    <row r="128" spans="1:7">
      <c r="A128" t="s">
        <v>1847</v>
      </c>
      <c r="B128" t="s">
        <v>2428</v>
      </c>
      <c r="C128" s="522">
        <v>0</v>
      </c>
      <c r="D128" s="522">
        <v>0</v>
      </c>
      <c r="E128" s="522">
        <v>0</v>
      </c>
      <c r="F128" s="522">
        <v>2425797</v>
      </c>
      <c r="G128" s="522">
        <v>2425797</v>
      </c>
    </row>
    <row r="129" spans="1:7">
      <c r="A129" s="523" t="s">
        <v>1842</v>
      </c>
      <c r="B129" s="523" t="s">
        <v>1</v>
      </c>
      <c r="C129" s="524">
        <v>0</v>
      </c>
      <c r="D129" s="524">
        <v>0</v>
      </c>
      <c r="E129" s="524">
        <v>5966709</v>
      </c>
      <c r="F129" s="524">
        <v>0</v>
      </c>
      <c r="G129" s="524">
        <v>5966709</v>
      </c>
    </row>
    <row r="130" spans="1:7">
      <c r="A130" t="s">
        <v>1842</v>
      </c>
      <c r="B130" t="s">
        <v>3150</v>
      </c>
      <c r="C130" s="522">
        <v>0</v>
      </c>
      <c r="D130" s="522">
        <v>1455421</v>
      </c>
      <c r="E130" s="522">
        <v>0</v>
      </c>
      <c r="F130" s="522">
        <v>0</v>
      </c>
      <c r="G130" s="522">
        <v>1455421</v>
      </c>
    </row>
    <row r="131" spans="1:7">
      <c r="A131" s="523" t="s">
        <v>1842</v>
      </c>
      <c r="B131" s="523" t="s">
        <v>3153</v>
      </c>
      <c r="C131" s="524">
        <v>0</v>
      </c>
      <c r="D131" s="524">
        <v>694955</v>
      </c>
      <c r="E131" s="524">
        <v>0</v>
      </c>
      <c r="F131" s="524">
        <v>0</v>
      </c>
      <c r="G131" s="524">
        <v>694955</v>
      </c>
    </row>
    <row r="132" spans="1:7">
      <c r="A132" t="s">
        <v>1842</v>
      </c>
      <c r="B132" t="s">
        <v>2430</v>
      </c>
      <c r="C132" s="522">
        <v>969306</v>
      </c>
      <c r="D132" s="522">
        <v>0</v>
      </c>
      <c r="E132" s="522">
        <v>0</v>
      </c>
      <c r="F132" s="522">
        <v>0</v>
      </c>
      <c r="G132" s="522">
        <v>969306</v>
      </c>
    </row>
    <row r="133" spans="1:7">
      <c r="A133" s="523" t="s">
        <v>1842</v>
      </c>
      <c r="B133" s="523" t="s">
        <v>2428</v>
      </c>
      <c r="C133" s="524">
        <v>0</v>
      </c>
      <c r="D133" s="524">
        <v>0</v>
      </c>
      <c r="E133" s="524">
        <v>0</v>
      </c>
      <c r="F133" s="524">
        <v>1980921</v>
      </c>
      <c r="G133" s="524">
        <v>1980921</v>
      </c>
    </row>
    <row r="134" spans="1:7">
      <c r="A134" t="s">
        <v>747</v>
      </c>
      <c r="B134" t="s">
        <v>1</v>
      </c>
      <c r="C134" s="522">
        <v>0</v>
      </c>
      <c r="D134" s="522">
        <v>0</v>
      </c>
      <c r="E134" s="522">
        <v>4859845</v>
      </c>
      <c r="F134" s="522">
        <v>0</v>
      </c>
      <c r="G134" s="522">
        <v>4859845</v>
      </c>
    </row>
    <row r="135" spans="1:7">
      <c r="A135" s="523" t="s">
        <v>747</v>
      </c>
      <c r="B135" s="523" t="s">
        <v>3150</v>
      </c>
      <c r="C135" s="524">
        <v>0</v>
      </c>
      <c r="D135" s="524">
        <v>2323345</v>
      </c>
      <c r="E135" s="524">
        <v>0</v>
      </c>
      <c r="F135" s="524">
        <v>0</v>
      </c>
      <c r="G135" s="524">
        <v>2323345</v>
      </c>
    </row>
    <row r="136" spans="1:7">
      <c r="A136" t="s">
        <v>747</v>
      </c>
      <c r="B136" t="s">
        <v>2430</v>
      </c>
      <c r="C136" s="522">
        <v>772471</v>
      </c>
      <c r="D136" s="522">
        <v>0</v>
      </c>
      <c r="E136" s="522">
        <v>0</v>
      </c>
      <c r="F136" s="522">
        <v>0</v>
      </c>
      <c r="G136" s="522">
        <v>772471</v>
      </c>
    </row>
    <row r="137" spans="1:7">
      <c r="A137" s="523" t="s">
        <v>747</v>
      </c>
      <c r="B137" s="523" t="s">
        <v>2428</v>
      </c>
      <c r="C137" s="524">
        <v>0</v>
      </c>
      <c r="D137" s="524">
        <v>0</v>
      </c>
      <c r="E137" s="524">
        <v>0</v>
      </c>
      <c r="F137" s="524">
        <v>658280</v>
      </c>
      <c r="G137" s="524">
        <v>658280</v>
      </c>
    </row>
    <row r="138" spans="1:7">
      <c r="A138" t="s">
        <v>792</v>
      </c>
      <c r="B138" t="s">
        <v>1</v>
      </c>
      <c r="C138" s="522">
        <v>0</v>
      </c>
      <c r="D138" s="522">
        <v>0</v>
      </c>
      <c r="E138" s="522">
        <v>2652562</v>
      </c>
      <c r="F138" s="522">
        <v>0</v>
      </c>
      <c r="G138" s="522">
        <v>2652562</v>
      </c>
    </row>
    <row r="139" spans="1:7">
      <c r="A139" s="523" t="s">
        <v>792</v>
      </c>
      <c r="B139" s="523" t="s">
        <v>3150</v>
      </c>
      <c r="C139" s="524">
        <v>0</v>
      </c>
      <c r="D139" s="524">
        <v>1250190</v>
      </c>
      <c r="E139" s="524">
        <v>0</v>
      </c>
      <c r="F139" s="524">
        <v>0</v>
      </c>
      <c r="G139" s="524">
        <v>1250190</v>
      </c>
    </row>
    <row r="140" spans="1:7">
      <c r="A140" t="s">
        <v>792</v>
      </c>
      <c r="B140" t="s">
        <v>2430</v>
      </c>
      <c r="C140" s="522">
        <v>2262755</v>
      </c>
      <c r="D140" s="522">
        <v>0</v>
      </c>
      <c r="E140" s="522">
        <v>0</v>
      </c>
      <c r="F140" s="522">
        <v>0</v>
      </c>
      <c r="G140" s="522">
        <v>2262755</v>
      </c>
    </row>
    <row r="141" spans="1:7">
      <c r="A141" s="523" t="s">
        <v>792</v>
      </c>
      <c r="B141" s="523" t="s">
        <v>2428</v>
      </c>
      <c r="C141" s="524">
        <v>0</v>
      </c>
      <c r="D141" s="524">
        <v>0</v>
      </c>
      <c r="E141" s="524">
        <v>0</v>
      </c>
      <c r="F141" s="524">
        <v>2092571</v>
      </c>
      <c r="G141" s="524">
        <v>2092571</v>
      </c>
    </row>
    <row r="142" spans="1:7">
      <c r="A142" t="s">
        <v>17</v>
      </c>
      <c r="B142" t="s">
        <v>1</v>
      </c>
      <c r="C142" s="522">
        <v>0</v>
      </c>
      <c r="D142" s="522">
        <v>0</v>
      </c>
      <c r="E142" s="522">
        <v>5360560</v>
      </c>
      <c r="F142" s="522">
        <v>0</v>
      </c>
      <c r="G142" s="522">
        <v>5360560</v>
      </c>
    </row>
    <row r="143" spans="1:7">
      <c r="A143" s="523" t="s">
        <v>17</v>
      </c>
      <c r="B143" s="523" t="s">
        <v>3194</v>
      </c>
      <c r="C143" s="524">
        <v>0</v>
      </c>
      <c r="D143" s="524">
        <v>2547460</v>
      </c>
      <c r="E143" s="524">
        <v>0</v>
      </c>
      <c r="F143" s="524">
        <v>0</v>
      </c>
      <c r="G143" s="524">
        <v>2547460</v>
      </c>
    </row>
    <row r="144" spans="1:7">
      <c r="A144" t="s">
        <v>1862</v>
      </c>
      <c r="B144" t="s">
        <v>1</v>
      </c>
      <c r="C144" s="522">
        <v>0</v>
      </c>
      <c r="D144" s="522">
        <v>0</v>
      </c>
      <c r="E144" s="522">
        <v>3859957</v>
      </c>
      <c r="F144" s="522">
        <v>0</v>
      </c>
      <c r="G144" s="522">
        <v>3859957</v>
      </c>
    </row>
    <row r="145" spans="1:7">
      <c r="A145" s="523" t="s">
        <v>1862</v>
      </c>
      <c r="B145" s="523" t="s">
        <v>3150</v>
      </c>
      <c r="C145" s="524">
        <v>0</v>
      </c>
      <c r="D145" s="524">
        <v>1363189</v>
      </c>
      <c r="E145" s="524">
        <v>0</v>
      </c>
      <c r="F145" s="524">
        <v>0</v>
      </c>
      <c r="G145" s="524">
        <v>1363189</v>
      </c>
    </row>
    <row r="146" spans="1:7">
      <c r="A146" t="s">
        <v>1862</v>
      </c>
      <c r="B146" t="s">
        <v>2430</v>
      </c>
      <c r="C146" s="522">
        <v>823398</v>
      </c>
      <c r="D146" s="522">
        <v>0</v>
      </c>
      <c r="E146" s="522">
        <v>0</v>
      </c>
      <c r="F146" s="522">
        <v>0</v>
      </c>
      <c r="G146" s="522">
        <v>823398</v>
      </c>
    </row>
    <row r="147" spans="1:7">
      <c r="A147" s="523" t="s">
        <v>1862</v>
      </c>
      <c r="B147" s="523" t="s">
        <v>2428</v>
      </c>
      <c r="C147" s="524">
        <v>0</v>
      </c>
      <c r="D147" s="524">
        <v>0</v>
      </c>
      <c r="E147" s="524">
        <v>0</v>
      </c>
      <c r="F147" s="524">
        <v>871243</v>
      </c>
      <c r="G147" s="524">
        <v>871243</v>
      </c>
    </row>
    <row r="148" spans="1:7">
      <c r="A148" t="s">
        <v>1837</v>
      </c>
      <c r="B148" t="s">
        <v>3150</v>
      </c>
      <c r="C148" s="522">
        <v>0</v>
      </c>
      <c r="D148" s="522">
        <v>1130462</v>
      </c>
      <c r="E148" s="522">
        <v>0</v>
      </c>
      <c r="F148" s="522">
        <v>0</v>
      </c>
      <c r="G148" s="522">
        <v>1130462</v>
      </c>
    </row>
    <row r="149" spans="1:7">
      <c r="A149" s="523" t="s">
        <v>1837</v>
      </c>
      <c r="B149" s="523" t="s">
        <v>3153</v>
      </c>
      <c r="C149" s="524">
        <v>0</v>
      </c>
      <c r="D149" s="524">
        <v>4109</v>
      </c>
      <c r="E149" s="524">
        <v>0</v>
      </c>
      <c r="F149" s="524">
        <v>0</v>
      </c>
      <c r="G149" s="524">
        <v>4109</v>
      </c>
    </row>
    <row r="150" spans="1:7">
      <c r="A150" t="s">
        <v>1837</v>
      </c>
      <c r="B150" t="s">
        <v>2430</v>
      </c>
      <c r="C150" s="522">
        <v>2406903</v>
      </c>
      <c r="D150" s="522">
        <v>0</v>
      </c>
      <c r="E150" s="522">
        <v>0</v>
      </c>
      <c r="F150" s="522">
        <v>0</v>
      </c>
      <c r="G150" s="522">
        <v>2406903</v>
      </c>
    </row>
    <row r="151" spans="1:7">
      <c r="A151" s="523" t="s">
        <v>1837</v>
      </c>
      <c r="B151" s="523" t="s">
        <v>2428</v>
      </c>
      <c r="C151" s="524">
        <v>0</v>
      </c>
      <c r="D151" s="524">
        <v>0</v>
      </c>
      <c r="E151" s="524">
        <v>0</v>
      </c>
      <c r="F151" s="524">
        <v>2900368</v>
      </c>
      <c r="G151" s="524">
        <v>2900368</v>
      </c>
    </row>
    <row r="152" spans="1:7">
      <c r="A152" t="s">
        <v>158</v>
      </c>
      <c r="B152" t="s">
        <v>1</v>
      </c>
      <c r="C152" s="522">
        <v>0</v>
      </c>
      <c r="D152" s="522">
        <v>0</v>
      </c>
      <c r="E152" s="522">
        <v>2491084</v>
      </c>
      <c r="F152" s="522">
        <v>0</v>
      </c>
      <c r="G152" s="522">
        <v>2491084</v>
      </c>
    </row>
    <row r="153" spans="1:7">
      <c r="A153" s="523" t="s">
        <v>158</v>
      </c>
      <c r="B153" s="523" t="s">
        <v>3150</v>
      </c>
      <c r="C153" s="524">
        <v>0</v>
      </c>
      <c r="D153" s="524">
        <v>667602</v>
      </c>
      <c r="E153" s="524">
        <v>0</v>
      </c>
      <c r="F153" s="524">
        <v>0</v>
      </c>
      <c r="G153" s="524">
        <v>667602</v>
      </c>
    </row>
    <row r="154" spans="1:7">
      <c r="A154" t="s">
        <v>158</v>
      </c>
      <c r="B154" t="s">
        <v>2430</v>
      </c>
      <c r="C154" s="522">
        <v>726067</v>
      </c>
      <c r="D154" s="522">
        <v>0</v>
      </c>
      <c r="E154" s="522">
        <v>0</v>
      </c>
      <c r="F154" s="522">
        <v>0</v>
      </c>
      <c r="G154" s="522">
        <v>726067</v>
      </c>
    </row>
    <row r="155" spans="1:7">
      <c r="A155" s="523" t="s">
        <v>158</v>
      </c>
      <c r="B155" s="523" t="s">
        <v>2428</v>
      </c>
      <c r="C155" s="524">
        <v>0</v>
      </c>
      <c r="D155" s="524">
        <v>0</v>
      </c>
      <c r="E155" s="524">
        <v>0</v>
      </c>
      <c r="F155" s="524">
        <v>1054997</v>
      </c>
      <c r="G155" s="524">
        <v>1054997</v>
      </c>
    </row>
    <row r="156" spans="1:7">
      <c r="A156" t="s">
        <v>189</v>
      </c>
      <c r="B156" t="s">
        <v>1</v>
      </c>
      <c r="C156" s="522">
        <v>0</v>
      </c>
      <c r="D156" s="522">
        <v>0</v>
      </c>
      <c r="E156" s="522">
        <v>2677685</v>
      </c>
      <c r="F156" s="522">
        <v>0</v>
      </c>
      <c r="G156" s="522">
        <v>2677685</v>
      </c>
    </row>
    <row r="157" spans="1:7">
      <c r="A157" s="523" t="s">
        <v>189</v>
      </c>
      <c r="B157" s="523" t="s">
        <v>3150</v>
      </c>
      <c r="C157" s="524">
        <v>0</v>
      </c>
      <c r="D157" s="524">
        <v>735071</v>
      </c>
      <c r="E157" s="524">
        <v>0</v>
      </c>
      <c r="F157" s="524">
        <v>0</v>
      </c>
      <c r="G157" s="524">
        <v>735071</v>
      </c>
    </row>
    <row r="158" spans="1:7">
      <c r="A158" t="s">
        <v>189</v>
      </c>
      <c r="B158" t="s">
        <v>2430</v>
      </c>
      <c r="C158" s="522">
        <v>457972</v>
      </c>
      <c r="D158" s="522">
        <v>0</v>
      </c>
      <c r="E158" s="522">
        <v>0</v>
      </c>
      <c r="F158" s="522">
        <v>0</v>
      </c>
      <c r="G158" s="522">
        <v>457972</v>
      </c>
    </row>
    <row r="159" spans="1:7">
      <c r="A159" s="523" t="s">
        <v>189</v>
      </c>
      <c r="B159" s="523" t="s">
        <v>2428</v>
      </c>
      <c r="C159" s="524">
        <v>0</v>
      </c>
      <c r="D159" s="524">
        <v>0</v>
      </c>
      <c r="E159" s="524">
        <v>0</v>
      </c>
      <c r="F159" s="524">
        <v>948331</v>
      </c>
      <c r="G159" s="524">
        <v>948331</v>
      </c>
    </row>
    <row r="160" spans="1:7">
      <c r="A160" t="s">
        <v>215</v>
      </c>
      <c r="B160" t="s">
        <v>1</v>
      </c>
      <c r="C160" s="522">
        <v>0</v>
      </c>
      <c r="D160" s="522">
        <v>0</v>
      </c>
      <c r="E160" s="522">
        <v>3336659</v>
      </c>
      <c r="F160" s="522">
        <v>0</v>
      </c>
      <c r="G160" s="522">
        <v>3336659</v>
      </c>
    </row>
    <row r="161" spans="1:7">
      <c r="A161" s="523" t="s">
        <v>215</v>
      </c>
      <c r="B161" s="523" t="s">
        <v>3153</v>
      </c>
      <c r="C161" s="524">
        <v>0</v>
      </c>
      <c r="D161" s="524">
        <v>257670</v>
      </c>
      <c r="E161" s="524">
        <v>0</v>
      </c>
      <c r="F161" s="524">
        <v>0</v>
      </c>
      <c r="G161" s="524">
        <v>257670</v>
      </c>
    </row>
    <row r="162" spans="1:7">
      <c r="A162" t="s">
        <v>215</v>
      </c>
      <c r="B162" t="s">
        <v>2430</v>
      </c>
      <c r="C162" s="522">
        <v>909869</v>
      </c>
      <c r="D162" s="522">
        <v>0</v>
      </c>
      <c r="E162" s="522">
        <v>0</v>
      </c>
      <c r="F162" s="522">
        <v>0</v>
      </c>
      <c r="G162" s="522">
        <v>909869</v>
      </c>
    </row>
    <row r="163" spans="1:7">
      <c r="A163" s="523" t="s">
        <v>215</v>
      </c>
      <c r="B163" s="523" t="s">
        <v>2428</v>
      </c>
      <c r="C163" s="524">
        <v>0</v>
      </c>
      <c r="D163" s="524">
        <v>0</v>
      </c>
      <c r="E163" s="524">
        <v>0</v>
      </c>
      <c r="F163" s="524">
        <v>295007</v>
      </c>
      <c r="G163" s="524">
        <v>295007</v>
      </c>
    </row>
    <row r="164" spans="1:7">
      <c r="A164" t="s">
        <v>1851</v>
      </c>
      <c r="B164" t="s">
        <v>1</v>
      </c>
      <c r="C164" s="522">
        <v>0</v>
      </c>
      <c r="D164" s="522">
        <v>0</v>
      </c>
      <c r="E164" s="522">
        <v>3912792</v>
      </c>
      <c r="F164" s="522">
        <v>0</v>
      </c>
      <c r="G164" s="522">
        <v>3912792</v>
      </c>
    </row>
    <row r="165" spans="1:7">
      <c r="A165" s="523" t="s">
        <v>1851</v>
      </c>
      <c r="B165" s="523" t="s">
        <v>2428</v>
      </c>
      <c r="C165" s="524">
        <v>0</v>
      </c>
      <c r="D165" s="524">
        <v>0</v>
      </c>
      <c r="E165" s="524">
        <v>0</v>
      </c>
      <c r="F165" s="524">
        <v>464192</v>
      </c>
      <c r="G165" s="524">
        <v>464192</v>
      </c>
    </row>
    <row r="166" spans="1:7">
      <c r="A166" t="s">
        <v>126</v>
      </c>
      <c r="B166" t="s">
        <v>1</v>
      </c>
      <c r="C166" s="522">
        <v>0</v>
      </c>
      <c r="D166" s="522">
        <v>0</v>
      </c>
      <c r="E166" s="522">
        <v>2131313</v>
      </c>
      <c r="F166" s="522">
        <v>0</v>
      </c>
      <c r="G166" s="522">
        <v>2131313</v>
      </c>
    </row>
    <row r="167" spans="1:7">
      <c r="A167" s="523" t="s">
        <v>126</v>
      </c>
      <c r="B167" s="523" t="s">
        <v>3150</v>
      </c>
      <c r="C167" s="524">
        <v>0</v>
      </c>
      <c r="D167" s="524">
        <v>521299</v>
      </c>
      <c r="E167" s="524">
        <v>0</v>
      </c>
      <c r="F167" s="524">
        <v>0</v>
      </c>
      <c r="G167" s="524">
        <v>521299</v>
      </c>
    </row>
    <row r="168" spans="1:7">
      <c r="A168" t="s">
        <v>126</v>
      </c>
      <c r="B168" t="s">
        <v>2430</v>
      </c>
      <c r="C168" s="522">
        <v>621987</v>
      </c>
      <c r="D168" s="522">
        <v>0</v>
      </c>
      <c r="E168" s="522">
        <v>0</v>
      </c>
      <c r="F168" s="522">
        <v>0</v>
      </c>
      <c r="G168" s="522">
        <v>621987</v>
      </c>
    </row>
    <row r="169" spans="1:7">
      <c r="A169" s="523" t="s">
        <v>126</v>
      </c>
      <c r="B169" s="523" t="s">
        <v>2428</v>
      </c>
      <c r="C169" s="524">
        <v>0</v>
      </c>
      <c r="D169" s="524">
        <v>0</v>
      </c>
      <c r="E169" s="524">
        <v>0</v>
      </c>
      <c r="F169" s="524">
        <v>1075858</v>
      </c>
      <c r="G169" s="524">
        <v>1075858</v>
      </c>
    </row>
    <row r="170" spans="1:7">
      <c r="A170" t="s">
        <v>3840</v>
      </c>
      <c r="B170" t="s">
        <v>2430</v>
      </c>
      <c r="C170" s="522">
        <v>248171</v>
      </c>
      <c r="D170" s="522">
        <v>0</v>
      </c>
      <c r="E170" s="522">
        <v>0</v>
      </c>
      <c r="F170" s="522">
        <v>0</v>
      </c>
      <c r="G170" s="522">
        <v>248171</v>
      </c>
    </row>
    <row r="171" spans="1:7">
      <c r="A171" s="523" t="s">
        <v>3840</v>
      </c>
      <c r="B171" s="523" t="s">
        <v>2428</v>
      </c>
      <c r="C171" s="524">
        <v>0</v>
      </c>
      <c r="D171" s="524">
        <v>0</v>
      </c>
      <c r="E171" s="524">
        <v>0</v>
      </c>
      <c r="F171" s="524">
        <v>3702552</v>
      </c>
      <c r="G171" s="524">
        <v>3702552</v>
      </c>
    </row>
    <row r="172" spans="1:7">
      <c r="A172" t="s">
        <v>827</v>
      </c>
      <c r="B172" t="s">
        <v>1</v>
      </c>
      <c r="C172" s="522">
        <v>0</v>
      </c>
      <c r="D172" s="522">
        <v>0</v>
      </c>
      <c r="E172" s="522">
        <v>1691885</v>
      </c>
      <c r="F172" s="522">
        <v>0</v>
      </c>
      <c r="G172" s="522">
        <v>1691885</v>
      </c>
    </row>
    <row r="173" spans="1:7">
      <c r="A173" s="523" t="s">
        <v>827</v>
      </c>
      <c r="B173" s="523" t="s">
        <v>3150</v>
      </c>
      <c r="C173" s="524">
        <v>0</v>
      </c>
      <c r="D173" s="524">
        <v>906564</v>
      </c>
      <c r="E173" s="524">
        <v>0</v>
      </c>
      <c r="F173" s="524">
        <v>0</v>
      </c>
      <c r="G173" s="524">
        <v>906564</v>
      </c>
    </row>
    <row r="174" spans="1:7">
      <c r="A174" t="s">
        <v>827</v>
      </c>
      <c r="B174" t="s">
        <v>2430</v>
      </c>
      <c r="C174" s="522">
        <v>505840</v>
      </c>
      <c r="D174" s="522">
        <v>0</v>
      </c>
      <c r="E174" s="522">
        <v>0</v>
      </c>
      <c r="F174" s="522">
        <v>0</v>
      </c>
      <c r="G174" s="522">
        <v>505840</v>
      </c>
    </row>
    <row r="175" spans="1:7">
      <c r="A175" s="523" t="s">
        <v>827</v>
      </c>
      <c r="B175" s="523" t="s">
        <v>2428</v>
      </c>
      <c r="C175" s="524">
        <v>0</v>
      </c>
      <c r="D175" s="524">
        <v>0</v>
      </c>
      <c r="E175" s="524">
        <v>0</v>
      </c>
      <c r="F175" s="524">
        <v>691560</v>
      </c>
      <c r="G175" s="524">
        <v>691560</v>
      </c>
    </row>
    <row r="176" spans="1:7">
      <c r="A176" t="s">
        <v>6528</v>
      </c>
      <c r="B176" t="s">
        <v>3150</v>
      </c>
      <c r="C176" s="522">
        <v>0</v>
      </c>
      <c r="D176" s="522">
        <v>3780635</v>
      </c>
      <c r="E176" s="522">
        <v>0</v>
      </c>
      <c r="F176" s="522">
        <v>0</v>
      </c>
      <c r="G176" s="522">
        <v>3780635</v>
      </c>
    </row>
    <row r="177" spans="1:7">
      <c r="A177" s="523" t="s">
        <v>1865</v>
      </c>
      <c r="B177" s="523" t="s">
        <v>1</v>
      </c>
      <c r="C177" s="524">
        <v>0</v>
      </c>
      <c r="D177" s="524">
        <v>0</v>
      </c>
      <c r="E177" s="524">
        <v>1902857</v>
      </c>
      <c r="F177" s="524">
        <v>0</v>
      </c>
      <c r="G177" s="524">
        <v>1902857</v>
      </c>
    </row>
    <row r="178" spans="1:7">
      <c r="A178" t="s">
        <v>1865</v>
      </c>
      <c r="B178" t="s">
        <v>3194</v>
      </c>
      <c r="C178" s="522">
        <v>0</v>
      </c>
      <c r="D178" s="522">
        <v>854763</v>
      </c>
      <c r="E178" s="522">
        <v>0</v>
      </c>
      <c r="F178" s="522">
        <v>0</v>
      </c>
      <c r="G178" s="522">
        <v>854763</v>
      </c>
    </row>
    <row r="179" spans="1:7">
      <c r="A179" s="523" t="s">
        <v>1865</v>
      </c>
      <c r="B179" s="523" t="s">
        <v>3839</v>
      </c>
      <c r="C179" s="524">
        <v>0</v>
      </c>
      <c r="D179" s="524">
        <v>52518</v>
      </c>
      <c r="E179" s="524">
        <v>0</v>
      </c>
      <c r="F179" s="524">
        <v>0</v>
      </c>
      <c r="G179" s="524">
        <v>52518</v>
      </c>
    </row>
    <row r="180" spans="1:7">
      <c r="A180" t="s">
        <v>1865</v>
      </c>
      <c r="B180" t="s">
        <v>3154</v>
      </c>
      <c r="C180" s="522">
        <v>0</v>
      </c>
      <c r="D180" s="522">
        <v>102151</v>
      </c>
      <c r="E180" s="522">
        <v>0</v>
      </c>
      <c r="F180" s="522">
        <v>0</v>
      </c>
      <c r="G180" s="522">
        <v>102151</v>
      </c>
    </row>
    <row r="181" spans="1:7">
      <c r="A181" s="523" t="s">
        <v>1865</v>
      </c>
      <c r="B181" s="523" t="s">
        <v>2430</v>
      </c>
      <c r="C181" s="524">
        <v>447213</v>
      </c>
      <c r="D181" s="524">
        <v>0</v>
      </c>
      <c r="E181" s="524">
        <v>0</v>
      </c>
      <c r="F181" s="524">
        <v>0</v>
      </c>
      <c r="G181" s="524">
        <v>447213</v>
      </c>
    </row>
    <row r="182" spans="1:7">
      <c r="A182" t="s">
        <v>1865</v>
      </c>
      <c r="B182" t="s">
        <v>2428</v>
      </c>
      <c r="C182" s="522">
        <v>0</v>
      </c>
      <c r="D182" s="522">
        <v>0</v>
      </c>
      <c r="E182" s="522">
        <v>0</v>
      </c>
      <c r="F182" s="522">
        <v>278430</v>
      </c>
      <c r="G182" s="522">
        <v>278430</v>
      </c>
    </row>
    <row r="183" spans="1:7">
      <c r="A183" s="523" t="s">
        <v>1863</v>
      </c>
      <c r="B183" s="523" t="s">
        <v>1</v>
      </c>
      <c r="C183" s="524">
        <v>0</v>
      </c>
      <c r="D183" s="524">
        <v>0</v>
      </c>
      <c r="E183" s="524">
        <v>2299216</v>
      </c>
      <c r="F183" s="524">
        <v>0</v>
      </c>
      <c r="G183" s="524">
        <v>2299216</v>
      </c>
    </row>
    <row r="184" spans="1:7">
      <c r="A184" t="s">
        <v>1863</v>
      </c>
      <c r="B184" t="s">
        <v>3152</v>
      </c>
      <c r="C184" s="522">
        <v>0</v>
      </c>
      <c r="D184" s="522">
        <v>921671</v>
      </c>
      <c r="E184" s="522">
        <v>0</v>
      </c>
      <c r="F184" s="522">
        <v>0</v>
      </c>
      <c r="G184" s="522">
        <v>921671</v>
      </c>
    </row>
    <row r="185" spans="1:7">
      <c r="A185" s="523" t="s">
        <v>1863</v>
      </c>
      <c r="B185" s="523" t="s">
        <v>2430</v>
      </c>
      <c r="C185" s="524">
        <v>172520</v>
      </c>
      <c r="D185" s="524">
        <v>0</v>
      </c>
      <c r="E185" s="524">
        <v>0</v>
      </c>
      <c r="F185" s="524">
        <v>0</v>
      </c>
      <c r="G185" s="524">
        <v>172520</v>
      </c>
    </row>
    <row r="186" spans="1:7">
      <c r="A186" t="s">
        <v>1863</v>
      </c>
      <c r="B186" t="s">
        <v>2428</v>
      </c>
      <c r="C186" s="522">
        <v>0</v>
      </c>
      <c r="D186" s="522">
        <v>0</v>
      </c>
      <c r="E186" s="522">
        <v>0</v>
      </c>
      <c r="F186" s="522">
        <v>227173</v>
      </c>
      <c r="G186" s="522">
        <v>227173</v>
      </c>
    </row>
    <row r="187" spans="1:7">
      <c r="A187" s="523" t="s">
        <v>227</v>
      </c>
      <c r="B187" s="523" t="s">
        <v>1</v>
      </c>
      <c r="C187" s="524">
        <v>0</v>
      </c>
      <c r="D187" s="524">
        <v>0</v>
      </c>
      <c r="E187" s="524">
        <v>1844549</v>
      </c>
      <c r="F187" s="524">
        <v>0</v>
      </c>
      <c r="G187" s="524">
        <v>1844549</v>
      </c>
    </row>
    <row r="188" spans="1:7">
      <c r="A188" t="s">
        <v>227</v>
      </c>
      <c r="B188" t="s">
        <v>3153</v>
      </c>
      <c r="C188" s="522">
        <v>0</v>
      </c>
      <c r="D188" s="522">
        <v>1161173</v>
      </c>
      <c r="E188" s="522">
        <v>0</v>
      </c>
      <c r="F188" s="522">
        <v>0</v>
      </c>
      <c r="G188" s="522">
        <v>1161173</v>
      </c>
    </row>
    <row r="189" spans="1:7">
      <c r="A189" s="523" t="s">
        <v>227</v>
      </c>
      <c r="B189" s="523" t="s">
        <v>2430</v>
      </c>
      <c r="C189" s="524">
        <v>250499</v>
      </c>
      <c r="D189" s="524">
        <v>0</v>
      </c>
      <c r="E189" s="524">
        <v>0</v>
      </c>
      <c r="F189" s="524">
        <v>0</v>
      </c>
      <c r="G189" s="524">
        <v>250499</v>
      </c>
    </row>
    <row r="190" spans="1:7">
      <c r="A190" t="s">
        <v>177</v>
      </c>
      <c r="B190" t="s">
        <v>1</v>
      </c>
      <c r="C190" s="522">
        <v>0</v>
      </c>
      <c r="D190" s="522">
        <v>0</v>
      </c>
      <c r="E190" s="522">
        <v>896100</v>
      </c>
      <c r="F190" s="522">
        <v>0</v>
      </c>
      <c r="G190" s="522">
        <v>896100</v>
      </c>
    </row>
    <row r="191" spans="1:7">
      <c r="A191" s="523" t="s">
        <v>177</v>
      </c>
      <c r="B191" s="523" t="s">
        <v>3839</v>
      </c>
      <c r="C191" s="524">
        <v>0</v>
      </c>
      <c r="D191" s="524">
        <v>106420</v>
      </c>
      <c r="E191" s="524">
        <v>0</v>
      </c>
      <c r="F191" s="524">
        <v>0</v>
      </c>
      <c r="G191" s="524">
        <v>106420</v>
      </c>
    </row>
    <row r="192" spans="1:7">
      <c r="A192" t="s">
        <v>177</v>
      </c>
      <c r="B192" t="s">
        <v>3150</v>
      </c>
      <c r="C192" s="522">
        <v>0</v>
      </c>
      <c r="D192" s="522">
        <v>127396</v>
      </c>
      <c r="E192" s="522">
        <v>0</v>
      </c>
      <c r="F192" s="522">
        <v>0</v>
      </c>
      <c r="G192" s="522">
        <v>127396</v>
      </c>
    </row>
    <row r="193" spans="1:7">
      <c r="A193" s="523" t="s">
        <v>177</v>
      </c>
      <c r="B193" s="523" t="s">
        <v>3826</v>
      </c>
      <c r="C193" s="524">
        <v>0</v>
      </c>
      <c r="D193" s="524">
        <v>597330</v>
      </c>
      <c r="E193" s="524">
        <v>0</v>
      </c>
      <c r="F193" s="524">
        <v>0</v>
      </c>
      <c r="G193" s="524">
        <v>597330</v>
      </c>
    </row>
    <row r="194" spans="1:7">
      <c r="A194" t="s">
        <v>177</v>
      </c>
      <c r="B194" t="s">
        <v>2430</v>
      </c>
      <c r="C194" s="522">
        <v>7232</v>
      </c>
      <c r="D194" s="522">
        <v>0</v>
      </c>
      <c r="E194" s="522">
        <v>0</v>
      </c>
      <c r="F194" s="522">
        <v>0</v>
      </c>
      <c r="G194" s="522">
        <v>7232</v>
      </c>
    </row>
    <row r="195" spans="1:7">
      <c r="A195" s="523" t="s">
        <v>177</v>
      </c>
      <c r="B195" s="523" t="s">
        <v>2428</v>
      </c>
      <c r="C195" s="524">
        <v>0</v>
      </c>
      <c r="D195" s="524">
        <v>0</v>
      </c>
      <c r="E195" s="524">
        <v>0</v>
      </c>
      <c r="F195" s="524">
        <v>395114</v>
      </c>
      <c r="G195" s="524">
        <v>395114</v>
      </c>
    </row>
    <row r="196" spans="1:7">
      <c r="A196" t="s">
        <v>95</v>
      </c>
      <c r="B196" t="s">
        <v>1</v>
      </c>
      <c r="C196" s="522">
        <v>0</v>
      </c>
      <c r="D196" s="522">
        <v>0</v>
      </c>
      <c r="E196" s="522">
        <v>1361443</v>
      </c>
      <c r="F196" s="522">
        <v>0</v>
      </c>
      <c r="G196" s="522">
        <v>1361443</v>
      </c>
    </row>
    <row r="197" spans="1:7">
      <c r="A197" s="523" t="s">
        <v>95</v>
      </c>
      <c r="B197" s="523" t="s">
        <v>3150</v>
      </c>
      <c r="C197" s="524">
        <v>0</v>
      </c>
      <c r="D197" s="524">
        <v>92172</v>
      </c>
      <c r="E197" s="524">
        <v>0</v>
      </c>
      <c r="F197" s="524">
        <v>0</v>
      </c>
      <c r="G197" s="524">
        <v>92172</v>
      </c>
    </row>
    <row r="198" spans="1:7">
      <c r="A198" t="s">
        <v>95</v>
      </c>
      <c r="B198" t="s">
        <v>2430</v>
      </c>
      <c r="C198" s="522">
        <v>255289</v>
      </c>
      <c r="D198" s="522">
        <v>0</v>
      </c>
      <c r="E198" s="522">
        <v>0</v>
      </c>
      <c r="F198" s="522">
        <v>0</v>
      </c>
      <c r="G198" s="522">
        <v>255289</v>
      </c>
    </row>
    <row r="199" spans="1:7">
      <c r="A199" s="523" t="s">
        <v>95</v>
      </c>
      <c r="B199" s="523" t="s">
        <v>2428</v>
      </c>
      <c r="C199" s="524">
        <v>0</v>
      </c>
      <c r="D199" s="524">
        <v>0</v>
      </c>
      <c r="E199" s="524">
        <v>0</v>
      </c>
      <c r="F199" s="524">
        <v>265729</v>
      </c>
      <c r="G199" s="524">
        <v>265729</v>
      </c>
    </row>
    <row r="200" spans="1:7">
      <c r="A200" t="s">
        <v>1871</v>
      </c>
      <c r="B200" t="s">
        <v>1</v>
      </c>
      <c r="C200" s="522">
        <v>0</v>
      </c>
      <c r="D200" s="522">
        <v>0</v>
      </c>
      <c r="E200" s="522">
        <v>1046751</v>
      </c>
      <c r="F200" s="522">
        <v>0</v>
      </c>
      <c r="G200" s="522">
        <v>1046751</v>
      </c>
    </row>
    <row r="201" spans="1:7">
      <c r="A201" s="523" t="s">
        <v>1871</v>
      </c>
      <c r="B201" s="523" t="s">
        <v>3193</v>
      </c>
      <c r="C201" s="524">
        <v>0</v>
      </c>
      <c r="D201" s="524">
        <v>27329</v>
      </c>
      <c r="E201" s="524">
        <v>0</v>
      </c>
      <c r="F201" s="524">
        <v>0</v>
      </c>
      <c r="G201" s="524">
        <v>27329</v>
      </c>
    </row>
    <row r="202" spans="1:7">
      <c r="A202" t="s">
        <v>1871</v>
      </c>
      <c r="B202" t="s">
        <v>3194</v>
      </c>
      <c r="C202" s="522">
        <v>0</v>
      </c>
      <c r="D202" s="522">
        <v>403457</v>
      </c>
      <c r="E202" s="522">
        <v>0</v>
      </c>
      <c r="F202" s="522">
        <v>0</v>
      </c>
      <c r="G202" s="522">
        <v>403457</v>
      </c>
    </row>
    <row r="203" spans="1:7">
      <c r="A203" s="523" t="s">
        <v>1871</v>
      </c>
      <c r="B203" s="523" t="s">
        <v>3154</v>
      </c>
      <c r="C203" s="524">
        <v>0</v>
      </c>
      <c r="D203" s="524">
        <v>68905</v>
      </c>
      <c r="E203" s="524">
        <v>0</v>
      </c>
      <c r="F203" s="524">
        <v>0</v>
      </c>
      <c r="G203" s="524">
        <v>68905</v>
      </c>
    </row>
    <row r="204" spans="1:7">
      <c r="A204" t="s">
        <v>1871</v>
      </c>
      <c r="B204" t="s">
        <v>2430</v>
      </c>
      <c r="C204" s="522">
        <v>226543</v>
      </c>
      <c r="D204" s="522">
        <v>0</v>
      </c>
      <c r="E204" s="522">
        <v>0</v>
      </c>
      <c r="F204" s="522">
        <v>0</v>
      </c>
      <c r="G204" s="522">
        <v>226543</v>
      </c>
    </row>
    <row r="205" spans="1:7">
      <c r="A205" s="523" t="s">
        <v>1871</v>
      </c>
      <c r="B205" s="523" t="s">
        <v>2428</v>
      </c>
      <c r="C205" s="524">
        <v>0</v>
      </c>
      <c r="D205" s="524">
        <v>0</v>
      </c>
      <c r="E205" s="524">
        <v>0</v>
      </c>
      <c r="F205" s="524">
        <v>165077</v>
      </c>
      <c r="G205" s="524">
        <v>165077</v>
      </c>
    </row>
    <row r="206" spans="1:7">
      <c r="A206" t="s">
        <v>1856</v>
      </c>
      <c r="B206" t="s">
        <v>1</v>
      </c>
      <c r="C206" s="522">
        <v>0</v>
      </c>
      <c r="D206" s="522">
        <v>0</v>
      </c>
      <c r="E206" s="522">
        <v>1102898</v>
      </c>
      <c r="F206" s="522">
        <v>0</v>
      </c>
      <c r="G206" s="522">
        <v>1102898</v>
      </c>
    </row>
    <row r="207" spans="1:7">
      <c r="A207" s="523" t="s">
        <v>1856</v>
      </c>
      <c r="B207" s="523" t="s">
        <v>3153</v>
      </c>
      <c r="C207" s="524">
        <v>0</v>
      </c>
      <c r="D207" s="524">
        <v>382478</v>
      </c>
      <c r="E207" s="524">
        <v>0</v>
      </c>
      <c r="F207" s="524">
        <v>0</v>
      </c>
      <c r="G207" s="524">
        <v>382478</v>
      </c>
    </row>
    <row r="208" spans="1:7">
      <c r="A208" t="s">
        <v>1856</v>
      </c>
      <c r="B208" t="s">
        <v>2430</v>
      </c>
      <c r="C208" s="522">
        <v>331267</v>
      </c>
      <c r="D208" s="522">
        <v>0</v>
      </c>
      <c r="E208" s="522">
        <v>0</v>
      </c>
      <c r="F208" s="522">
        <v>0</v>
      </c>
      <c r="G208" s="522">
        <v>331267</v>
      </c>
    </row>
    <row r="209" spans="1:7">
      <c r="A209" s="523" t="s">
        <v>1856</v>
      </c>
      <c r="B209" s="523" t="s">
        <v>2428</v>
      </c>
      <c r="C209" s="524">
        <v>0</v>
      </c>
      <c r="D209" s="524">
        <v>0</v>
      </c>
      <c r="E209" s="524">
        <v>0</v>
      </c>
      <c r="F209" s="524">
        <v>98057</v>
      </c>
      <c r="G209" s="524">
        <v>98057</v>
      </c>
    </row>
    <row r="210" spans="1:7">
      <c r="A210" t="s">
        <v>1894</v>
      </c>
      <c r="B210" t="s">
        <v>1</v>
      </c>
      <c r="C210" s="522">
        <v>0</v>
      </c>
      <c r="D210" s="522">
        <v>0</v>
      </c>
      <c r="E210" s="522">
        <v>995795</v>
      </c>
      <c r="F210" s="522">
        <v>0</v>
      </c>
      <c r="G210" s="522">
        <v>995795</v>
      </c>
    </row>
    <row r="211" spans="1:7">
      <c r="A211" s="523" t="s">
        <v>1894</v>
      </c>
      <c r="B211" s="523" t="s">
        <v>3150</v>
      </c>
      <c r="C211" s="524">
        <v>0</v>
      </c>
      <c r="D211" s="524">
        <v>264053</v>
      </c>
      <c r="E211" s="524">
        <v>0</v>
      </c>
      <c r="F211" s="524">
        <v>0</v>
      </c>
      <c r="G211" s="524">
        <v>264053</v>
      </c>
    </row>
    <row r="212" spans="1:7">
      <c r="A212" t="s">
        <v>1894</v>
      </c>
      <c r="B212" t="s">
        <v>2430</v>
      </c>
      <c r="C212" s="522">
        <v>249997</v>
      </c>
      <c r="D212" s="522">
        <v>0</v>
      </c>
      <c r="E212" s="522">
        <v>0</v>
      </c>
      <c r="F212" s="522">
        <v>0</v>
      </c>
      <c r="G212" s="522">
        <v>249997</v>
      </c>
    </row>
    <row r="213" spans="1:7">
      <c r="A213" s="523" t="s">
        <v>1894</v>
      </c>
      <c r="B213" s="523" t="s">
        <v>2428</v>
      </c>
      <c r="C213" s="524">
        <v>0</v>
      </c>
      <c r="D213" s="524">
        <v>0</v>
      </c>
      <c r="E213" s="524">
        <v>0</v>
      </c>
      <c r="F213" s="524">
        <v>89729</v>
      </c>
      <c r="G213" s="524">
        <v>89729</v>
      </c>
    </row>
    <row r="214" spans="1:7">
      <c r="A214" t="s">
        <v>818</v>
      </c>
      <c r="B214" t="s">
        <v>1</v>
      </c>
      <c r="C214" s="522">
        <v>0</v>
      </c>
      <c r="D214" s="522">
        <v>0</v>
      </c>
      <c r="E214" s="522">
        <v>1098638</v>
      </c>
      <c r="F214" s="522">
        <v>0</v>
      </c>
      <c r="G214" s="522">
        <v>1098638</v>
      </c>
    </row>
    <row r="215" spans="1:7">
      <c r="A215" s="523" t="s">
        <v>818</v>
      </c>
      <c r="B215" s="523" t="s">
        <v>3150</v>
      </c>
      <c r="C215" s="524">
        <v>0</v>
      </c>
      <c r="D215" s="524">
        <v>182433</v>
      </c>
      <c r="E215" s="524">
        <v>0</v>
      </c>
      <c r="F215" s="524">
        <v>0</v>
      </c>
      <c r="G215" s="524">
        <v>182433</v>
      </c>
    </row>
    <row r="216" spans="1:7">
      <c r="A216" t="s">
        <v>818</v>
      </c>
      <c r="B216" t="s">
        <v>2428</v>
      </c>
      <c r="C216" s="522">
        <v>0</v>
      </c>
      <c r="D216" s="522">
        <v>0</v>
      </c>
      <c r="E216" s="522">
        <v>0</v>
      </c>
      <c r="F216" s="522">
        <v>42803</v>
      </c>
      <c r="G216" s="522">
        <v>42803</v>
      </c>
    </row>
    <row r="217" spans="1:7">
      <c r="A217" s="523" t="s">
        <v>1878</v>
      </c>
      <c r="B217" s="523" t="s">
        <v>1</v>
      </c>
      <c r="C217" s="524">
        <v>0</v>
      </c>
      <c r="D217" s="524">
        <v>0</v>
      </c>
      <c r="E217" s="524">
        <v>774575</v>
      </c>
      <c r="F217" s="524">
        <v>0</v>
      </c>
      <c r="G217" s="524">
        <v>774575</v>
      </c>
    </row>
    <row r="218" spans="1:7">
      <c r="A218" t="s">
        <v>1878</v>
      </c>
      <c r="B218" t="s">
        <v>3193</v>
      </c>
      <c r="C218" s="522">
        <v>0</v>
      </c>
      <c r="D218" s="522">
        <v>76339</v>
      </c>
      <c r="E218" s="522">
        <v>0</v>
      </c>
      <c r="F218" s="522">
        <v>0</v>
      </c>
      <c r="G218" s="522">
        <v>76339</v>
      </c>
    </row>
    <row r="219" spans="1:7">
      <c r="A219" s="523" t="s">
        <v>1878</v>
      </c>
      <c r="B219" s="523" t="s">
        <v>3839</v>
      </c>
      <c r="C219" s="524">
        <v>0</v>
      </c>
      <c r="D219" s="524">
        <v>150938</v>
      </c>
      <c r="E219" s="524">
        <v>0</v>
      </c>
      <c r="F219" s="524">
        <v>0</v>
      </c>
      <c r="G219" s="524">
        <v>150938</v>
      </c>
    </row>
    <row r="220" spans="1:7">
      <c r="A220" t="s">
        <v>1878</v>
      </c>
      <c r="B220" t="s">
        <v>3154</v>
      </c>
      <c r="C220" s="522">
        <v>0</v>
      </c>
      <c r="D220" s="522">
        <v>133721</v>
      </c>
      <c r="E220" s="522">
        <v>0</v>
      </c>
      <c r="F220" s="522">
        <v>0</v>
      </c>
      <c r="G220" s="522">
        <v>133721</v>
      </c>
    </row>
    <row r="221" spans="1:7">
      <c r="A221" s="523" t="s">
        <v>1878</v>
      </c>
      <c r="B221" s="523" t="s">
        <v>2430</v>
      </c>
      <c r="C221" s="524">
        <v>70983</v>
      </c>
      <c r="D221" s="524">
        <v>0</v>
      </c>
      <c r="E221" s="524">
        <v>0</v>
      </c>
      <c r="F221" s="524">
        <v>0</v>
      </c>
      <c r="G221" s="524">
        <v>70983</v>
      </c>
    </row>
    <row r="222" spans="1:7">
      <c r="A222" t="s">
        <v>1878</v>
      </c>
      <c r="B222" t="s">
        <v>2428</v>
      </c>
      <c r="C222" s="522">
        <v>0</v>
      </c>
      <c r="D222" s="522">
        <v>0</v>
      </c>
      <c r="E222" s="522">
        <v>0</v>
      </c>
      <c r="F222" s="522">
        <v>104446</v>
      </c>
      <c r="G222" s="522">
        <v>104446</v>
      </c>
    </row>
    <row r="223" spans="1:7">
      <c r="A223" s="523" t="s">
        <v>459</v>
      </c>
      <c r="B223" s="523" t="s">
        <v>1</v>
      </c>
      <c r="C223" s="524">
        <v>0</v>
      </c>
      <c r="D223" s="524">
        <v>0</v>
      </c>
      <c r="E223" s="524">
        <v>373856</v>
      </c>
      <c r="F223" s="524">
        <v>0</v>
      </c>
      <c r="G223" s="524">
        <v>373856</v>
      </c>
    </row>
    <row r="224" spans="1:7">
      <c r="A224" t="s">
        <v>459</v>
      </c>
      <c r="B224" t="s">
        <v>3150</v>
      </c>
      <c r="C224" s="522">
        <v>0</v>
      </c>
      <c r="D224" s="522">
        <v>2164</v>
      </c>
      <c r="E224" s="522">
        <v>0</v>
      </c>
      <c r="F224" s="522">
        <v>0</v>
      </c>
      <c r="G224" s="522">
        <v>2164</v>
      </c>
    </row>
    <row r="225" spans="1:7">
      <c r="A225" s="523" t="s">
        <v>459</v>
      </c>
      <c r="B225" s="523" t="s">
        <v>3153</v>
      </c>
      <c r="C225" s="524">
        <v>0</v>
      </c>
      <c r="D225" s="524">
        <v>362786</v>
      </c>
      <c r="E225" s="524">
        <v>0</v>
      </c>
      <c r="F225" s="524">
        <v>0</v>
      </c>
      <c r="G225" s="524">
        <v>362786</v>
      </c>
    </row>
    <row r="226" spans="1:7">
      <c r="A226" t="s">
        <v>459</v>
      </c>
      <c r="B226" t="s">
        <v>2430</v>
      </c>
      <c r="C226" s="522">
        <v>89985</v>
      </c>
      <c r="D226" s="522">
        <v>0</v>
      </c>
      <c r="E226" s="522">
        <v>0</v>
      </c>
      <c r="F226" s="522">
        <v>0</v>
      </c>
      <c r="G226" s="522">
        <v>89985</v>
      </c>
    </row>
    <row r="227" spans="1:7">
      <c r="A227" s="523" t="s">
        <v>459</v>
      </c>
      <c r="B227" s="523" t="s">
        <v>2428</v>
      </c>
      <c r="C227" s="524">
        <v>0</v>
      </c>
      <c r="D227" s="524">
        <v>0</v>
      </c>
      <c r="E227" s="524">
        <v>0</v>
      </c>
      <c r="F227" s="524">
        <v>123</v>
      </c>
      <c r="G227" s="524">
        <v>123</v>
      </c>
    </row>
    <row r="228" spans="1:7">
      <c r="A228" t="s">
        <v>1869</v>
      </c>
      <c r="B228" t="s">
        <v>1</v>
      </c>
      <c r="C228" s="522">
        <v>0</v>
      </c>
      <c r="D228" s="522">
        <v>0</v>
      </c>
      <c r="E228" s="522">
        <v>332293</v>
      </c>
      <c r="F228" s="522">
        <v>0</v>
      </c>
      <c r="G228" s="522">
        <v>332293</v>
      </c>
    </row>
    <row r="229" spans="1:7">
      <c r="A229" s="523" t="s">
        <v>1869</v>
      </c>
      <c r="B229" s="523" t="s">
        <v>3193</v>
      </c>
      <c r="C229" s="524">
        <v>0</v>
      </c>
      <c r="D229" s="524">
        <v>14687</v>
      </c>
      <c r="E229" s="524">
        <v>0</v>
      </c>
      <c r="F229" s="524">
        <v>0</v>
      </c>
      <c r="G229" s="524">
        <v>14687</v>
      </c>
    </row>
    <row r="230" spans="1:7">
      <c r="A230" t="s">
        <v>1869</v>
      </c>
      <c r="B230" t="s">
        <v>3194</v>
      </c>
      <c r="C230" s="522">
        <v>0</v>
      </c>
      <c r="D230" s="522">
        <v>145330</v>
      </c>
      <c r="E230" s="522">
        <v>0</v>
      </c>
      <c r="F230" s="522">
        <v>0</v>
      </c>
      <c r="G230" s="522">
        <v>145330</v>
      </c>
    </row>
    <row r="231" spans="1:7">
      <c r="A231" s="523" t="s">
        <v>1869</v>
      </c>
      <c r="B231" s="523" t="s">
        <v>3154</v>
      </c>
      <c r="C231" s="524">
        <v>0</v>
      </c>
      <c r="D231" s="524">
        <v>31764</v>
      </c>
      <c r="E231" s="524">
        <v>0</v>
      </c>
      <c r="F231" s="524">
        <v>0</v>
      </c>
      <c r="G231" s="524">
        <v>31764</v>
      </c>
    </row>
    <row r="232" spans="1:7">
      <c r="A232" t="s">
        <v>1869</v>
      </c>
      <c r="B232" t="s">
        <v>2430</v>
      </c>
      <c r="C232" s="522">
        <v>30838</v>
      </c>
      <c r="D232" s="522">
        <v>0</v>
      </c>
      <c r="E232" s="522">
        <v>0</v>
      </c>
      <c r="F232" s="522">
        <v>0</v>
      </c>
      <c r="G232" s="522">
        <v>30838</v>
      </c>
    </row>
    <row r="233" spans="1:7">
      <c r="A233" s="523" t="s">
        <v>1869</v>
      </c>
      <c r="B233" s="523" t="s">
        <v>2428</v>
      </c>
      <c r="C233" s="524">
        <v>0</v>
      </c>
      <c r="D233" s="524">
        <v>0</v>
      </c>
      <c r="E233" s="524">
        <v>0</v>
      </c>
      <c r="F233" s="524">
        <v>11616</v>
      </c>
      <c r="G233" s="524">
        <v>11616</v>
      </c>
    </row>
    <row r="234" spans="1:7">
      <c r="A234" t="s">
        <v>1904</v>
      </c>
      <c r="B234" t="s">
        <v>3193</v>
      </c>
      <c r="C234" s="522">
        <v>0</v>
      </c>
      <c r="D234" s="522">
        <v>3947</v>
      </c>
      <c r="E234" s="522">
        <v>0</v>
      </c>
      <c r="F234" s="522">
        <v>0</v>
      </c>
      <c r="G234" s="522">
        <v>3947</v>
      </c>
    </row>
    <row r="235" spans="1:7">
      <c r="A235" s="523" t="s">
        <v>1904</v>
      </c>
      <c r="B235" s="523" t="s">
        <v>3194</v>
      </c>
      <c r="C235" s="524">
        <v>0</v>
      </c>
      <c r="D235" s="524">
        <v>311685</v>
      </c>
      <c r="E235" s="524">
        <v>0</v>
      </c>
      <c r="F235" s="524">
        <v>0</v>
      </c>
      <c r="G235" s="524">
        <v>311685</v>
      </c>
    </row>
    <row r="236" spans="1:7">
      <c r="A236" t="s">
        <v>1904</v>
      </c>
      <c r="B236" t="s">
        <v>3154</v>
      </c>
      <c r="C236" s="522">
        <v>0</v>
      </c>
      <c r="D236" s="522">
        <v>67141</v>
      </c>
      <c r="E236" s="522">
        <v>0</v>
      </c>
      <c r="F236" s="522">
        <v>0</v>
      </c>
      <c r="G236" s="522">
        <v>67141</v>
      </c>
    </row>
    <row r="237" spans="1:7">
      <c r="A237" s="523" t="s">
        <v>1904</v>
      </c>
      <c r="B237" s="523" t="s">
        <v>2430</v>
      </c>
      <c r="C237" s="524">
        <v>21973</v>
      </c>
      <c r="D237" s="524">
        <v>0</v>
      </c>
      <c r="E237" s="524">
        <v>0</v>
      </c>
      <c r="F237" s="524">
        <v>0</v>
      </c>
      <c r="G237" s="524">
        <v>21973</v>
      </c>
    </row>
    <row r="238" spans="1:7">
      <c r="A238" t="s">
        <v>1904</v>
      </c>
      <c r="B238" t="s">
        <v>2428</v>
      </c>
      <c r="C238" s="522">
        <v>0</v>
      </c>
      <c r="D238" s="522">
        <v>0</v>
      </c>
      <c r="E238" s="522">
        <v>0</v>
      </c>
      <c r="F238" s="522">
        <v>160094</v>
      </c>
      <c r="G238" s="522">
        <v>160094</v>
      </c>
    </row>
    <row r="239" spans="1:7">
      <c r="A239" s="523" t="s">
        <v>204</v>
      </c>
      <c r="B239" s="523" t="s">
        <v>3150</v>
      </c>
      <c r="C239" s="524">
        <v>0</v>
      </c>
      <c r="D239" s="524">
        <v>94847</v>
      </c>
      <c r="E239" s="524">
        <v>0</v>
      </c>
      <c r="F239" s="524">
        <v>0</v>
      </c>
      <c r="G239" s="524">
        <v>94847</v>
      </c>
    </row>
    <row r="240" spans="1:7">
      <c r="A240" t="s">
        <v>204</v>
      </c>
      <c r="B240" t="s">
        <v>2428</v>
      </c>
      <c r="C240" s="522">
        <v>0</v>
      </c>
      <c r="D240" s="522">
        <v>0</v>
      </c>
      <c r="E240" s="522">
        <v>0</v>
      </c>
      <c r="F240" s="522">
        <v>400479</v>
      </c>
      <c r="G240" s="522">
        <v>400479</v>
      </c>
    </row>
    <row r="241" spans="1:7">
      <c r="A241" s="523" t="s">
        <v>3844</v>
      </c>
      <c r="B241" s="523" t="s">
        <v>2428</v>
      </c>
      <c r="C241" s="524">
        <v>0</v>
      </c>
      <c r="D241" s="524">
        <v>0</v>
      </c>
      <c r="E241" s="524">
        <v>0</v>
      </c>
      <c r="F241" s="524">
        <v>403928</v>
      </c>
      <c r="G241" s="524">
        <v>403928</v>
      </c>
    </row>
    <row r="242" spans="1:7">
      <c r="A242" t="s">
        <v>3845</v>
      </c>
      <c r="B242" t="s">
        <v>2428</v>
      </c>
      <c r="C242" s="522">
        <v>0</v>
      </c>
      <c r="D242" s="522">
        <v>0</v>
      </c>
      <c r="E242" s="522">
        <v>0</v>
      </c>
      <c r="F242" s="522">
        <v>394144</v>
      </c>
      <c r="G242" s="522">
        <v>394144</v>
      </c>
    </row>
    <row r="243" spans="1:7">
      <c r="A243" s="523" t="s">
        <v>109</v>
      </c>
      <c r="B243" s="523" t="s">
        <v>1</v>
      </c>
      <c r="C243" s="524">
        <v>0</v>
      </c>
      <c r="D243" s="524">
        <v>0</v>
      </c>
      <c r="E243" s="524">
        <v>227446</v>
      </c>
      <c r="F243" s="524">
        <v>0</v>
      </c>
      <c r="G243" s="524">
        <v>227446</v>
      </c>
    </row>
    <row r="244" spans="1:7">
      <c r="A244" t="s">
        <v>109</v>
      </c>
      <c r="B244" t="s">
        <v>3150</v>
      </c>
      <c r="C244" s="522">
        <v>0</v>
      </c>
      <c r="D244" s="522">
        <v>44494</v>
      </c>
      <c r="E244" s="522">
        <v>0</v>
      </c>
      <c r="F244" s="522">
        <v>0</v>
      </c>
      <c r="G244" s="522">
        <v>44494</v>
      </c>
    </row>
    <row r="245" spans="1:7">
      <c r="A245" s="523" t="s">
        <v>109</v>
      </c>
      <c r="B245" s="523" t="s">
        <v>2428</v>
      </c>
      <c r="C245" s="524">
        <v>0</v>
      </c>
      <c r="D245" s="524">
        <v>0</v>
      </c>
      <c r="E245" s="524">
        <v>0</v>
      </c>
      <c r="F245" s="524">
        <v>55005</v>
      </c>
      <c r="G245" s="524">
        <v>55005</v>
      </c>
    </row>
    <row r="246" spans="1:7">
      <c r="A246" t="s">
        <v>129</v>
      </c>
      <c r="B246" t="s">
        <v>1</v>
      </c>
      <c r="C246" s="522">
        <v>0</v>
      </c>
      <c r="D246" s="522">
        <v>0</v>
      </c>
      <c r="E246" s="522">
        <v>219022</v>
      </c>
      <c r="F246" s="522">
        <v>0</v>
      </c>
      <c r="G246" s="522">
        <v>219022</v>
      </c>
    </row>
    <row r="247" spans="1:7">
      <c r="A247" s="523" t="s">
        <v>129</v>
      </c>
      <c r="B247" s="523" t="s">
        <v>3194</v>
      </c>
      <c r="C247" s="524">
        <v>0</v>
      </c>
      <c r="D247" s="524">
        <v>78836</v>
      </c>
      <c r="E247" s="524">
        <v>0</v>
      </c>
      <c r="F247" s="524">
        <v>0</v>
      </c>
      <c r="G247" s="524">
        <v>78836</v>
      </c>
    </row>
    <row r="248" spans="1:7">
      <c r="A248" t="s">
        <v>1887</v>
      </c>
      <c r="B248" t="s">
        <v>1</v>
      </c>
      <c r="C248" s="522">
        <v>0</v>
      </c>
      <c r="D248" s="522">
        <v>0</v>
      </c>
      <c r="E248" s="522">
        <v>185598</v>
      </c>
      <c r="F248" s="522">
        <v>0</v>
      </c>
      <c r="G248" s="522">
        <v>185598</v>
      </c>
    </row>
    <row r="249" spans="1:7">
      <c r="A249" s="523" t="s">
        <v>1887</v>
      </c>
      <c r="B249" s="523" t="s">
        <v>3193</v>
      </c>
      <c r="C249" s="524">
        <v>0</v>
      </c>
      <c r="D249" s="524">
        <v>77070</v>
      </c>
      <c r="E249" s="524">
        <v>0</v>
      </c>
      <c r="F249" s="524">
        <v>0</v>
      </c>
      <c r="G249" s="524">
        <v>77070</v>
      </c>
    </row>
    <row r="250" spans="1:7">
      <c r="A250" t="s">
        <v>1887</v>
      </c>
      <c r="B250" t="s">
        <v>3839</v>
      </c>
      <c r="C250" s="522">
        <v>0</v>
      </c>
      <c r="D250" s="522">
        <v>3436</v>
      </c>
      <c r="E250" s="522">
        <v>0</v>
      </c>
      <c r="F250" s="522">
        <v>0</v>
      </c>
      <c r="G250" s="522">
        <v>3436</v>
      </c>
    </row>
    <row r="251" spans="1:7">
      <c r="A251" s="523" t="s">
        <v>1887</v>
      </c>
      <c r="B251" s="523" t="s">
        <v>3154</v>
      </c>
      <c r="C251" s="524">
        <v>0</v>
      </c>
      <c r="D251" s="524">
        <v>3367</v>
      </c>
      <c r="E251" s="524">
        <v>0</v>
      </c>
      <c r="F251" s="524">
        <v>0</v>
      </c>
      <c r="G251" s="524">
        <v>3367</v>
      </c>
    </row>
    <row r="252" spans="1:7">
      <c r="A252" t="s">
        <v>1887</v>
      </c>
      <c r="B252" t="s">
        <v>2430</v>
      </c>
      <c r="C252" s="522">
        <v>20546</v>
      </c>
      <c r="D252" s="522">
        <v>0</v>
      </c>
      <c r="E252" s="522">
        <v>0</v>
      </c>
      <c r="F252" s="522">
        <v>0</v>
      </c>
      <c r="G252" s="522">
        <v>20546</v>
      </c>
    </row>
    <row r="253" spans="1:7">
      <c r="A253" s="523" t="s">
        <v>1887</v>
      </c>
      <c r="B253" s="523" t="s">
        <v>2428</v>
      </c>
      <c r="C253" s="524">
        <v>0</v>
      </c>
      <c r="D253" s="524">
        <v>0</v>
      </c>
      <c r="E253" s="524">
        <v>0</v>
      </c>
      <c r="F253" s="524">
        <v>7030</v>
      </c>
      <c r="G253" s="524">
        <v>7030</v>
      </c>
    </row>
    <row r="254" spans="1:7">
      <c r="A254" t="s">
        <v>1884</v>
      </c>
      <c r="B254" t="s">
        <v>1</v>
      </c>
      <c r="C254" s="522">
        <v>0</v>
      </c>
      <c r="D254" s="522">
        <v>0</v>
      </c>
      <c r="E254" s="522">
        <v>147620</v>
      </c>
      <c r="F254" s="522">
        <v>0</v>
      </c>
      <c r="G254" s="522">
        <v>147620</v>
      </c>
    </row>
    <row r="255" spans="1:7">
      <c r="A255" s="523" t="s">
        <v>1884</v>
      </c>
      <c r="B255" s="523" t="s">
        <v>3154</v>
      </c>
      <c r="C255" s="524">
        <v>0</v>
      </c>
      <c r="D255" s="524">
        <v>125436</v>
      </c>
      <c r="E255" s="524">
        <v>0</v>
      </c>
      <c r="F255" s="524">
        <v>0</v>
      </c>
      <c r="G255" s="524">
        <v>125436</v>
      </c>
    </row>
    <row r="256" spans="1:7">
      <c r="A256" t="s">
        <v>1884</v>
      </c>
      <c r="B256" t="s">
        <v>2430</v>
      </c>
      <c r="C256" s="522">
        <v>2588</v>
      </c>
      <c r="D256" s="522">
        <v>0</v>
      </c>
      <c r="E256" s="522">
        <v>0</v>
      </c>
      <c r="F256" s="522">
        <v>0</v>
      </c>
      <c r="G256" s="522">
        <v>2588</v>
      </c>
    </row>
    <row r="257" spans="1:7">
      <c r="A257" s="523" t="s">
        <v>1884</v>
      </c>
      <c r="B257" s="523" t="s">
        <v>2428</v>
      </c>
      <c r="C257" s="524">
        <v>0</v>
      </c>
      <c r="D257" s="524">
        <v>0</v>
      </c>
      <c r="E257" s="524">
        <v>0</v>
      </c>
      <c r="F257" s="524">
        <v>8751</v>
      </c>
      <c r="G257" s="524">
        <v>8751</v>
      </c>
    </row>
    <row r="258" spans="1:7">
      <c r="A258" t="s">
        <v>2488</v>
      </c>
      <c r="B258" t="s">
        <v>1</v>
      </c>
      <c r="C258" s="522">
        <v>0</v>
      </c>
      <c r="D258" s="522">
        <v>0</v>
      </c>
      <c r="E258" s="522">
        <v>194974</v>
      </c>
      <c r="F258" s="522">
        <v>0</v>
      </c>
      <c r="G258" s="522">
        <v>194974</v>
      </c>
    </row>
    <row r="259" spans="1:7">
      <c r="A259" s="523" t="s">
        <v>2488</v>
      </c>
      <c r="B259" s="523" t="s">
        <v>2430</v>
      </c>
      <c r="C259" s="524">
        <v>44550</v>
      </c>
      <c r="D259" s="524">
        <v>0</v>
      </c>
      <c r="E259" s="524">
        <v>0</v>
      </c>
      <c r="F259" s="524">
        <v>0</v>
      </c>
      <c r="G259" s="524">
        <v>44550</v>
      </c>
    </row>
    <row r="260" spans="1:7">
      <c r="A260" t="s">
        <v>2488</v>
      </c>
      <c r="B260" t="s">
        <v>2428</v>
      </c>
      <c r="C260" s="522">
        <v>0</v>
      </c>
      <c r="D260" s="522">
        <v>0</v>
      </c>
      <c r="E260" s="522">
        <v>0</v>
      </c>
      <c r="F260" s="522">
        <v>4691</v>
      </c>
      <c r="G260" s="522">
        <v>4691</v>
      </c>
    </row>
    <row r="261" spans="1:7">
      <c r="A261" s="523" t="s">
        <v>197</v>
      </c>
      <c r="B261" s="523" t="s">
        <v>1</v>
      </c>
      <c r="C261" s="524">
        <v>0</v>
      </c>
      <c r="D261" s="524">
        <v>0</v>
      </c>
      <c r="E261" s="524">
        <v>145739</v>
      </c>
      <c r="F261" s="524">
        <v>0</v>
      </c>
      <c r="G261" s="524">
        <v>145739</v>
      </c>
    </row>
    <row r="262" spans="1:7">
      <c r="A262" t="s">
        <v>197</v>
      </c>
      <c r="B262" t="s">
        <v>3826</v>
      </c>
      <c r="C262" s="522">
        <v>0</v>
      </c>
      <c r="D262" s="522">
        <v>71294</v>
      </c>
      <c r="E262" s="522">
        <v>0</v>
      </c>
      <c r="F262" s="522">
        <v>0</v>
      </c>
      <c r="G262" s="522">
        <v>71294</v>
      </c>
    </row>
    <row r="263" spans="1:7">
      <c r="A263" s="523" t="s">
        <v>197</v>
      </c>
      <c r="B263" s="523" t="s">
        <v>2428</v>
      </c>
      <c r="C263" s="524">
        <v>0</v>
      </c>
      <c r="D263" s="524">
        <v>0</v>
      </c>
      <c r="E263" s="524">
        <v>0</v>
      </c>
      <c r="F263" s="524">
        <v>12082</v>
      </c>
      <c r="G263" s="524">
        <v>12082</v>
      </c>
    </row>
    <row r="264" spans="1:7">
      <c r="A264" t="s">
        <v>1846</v>
      </c>
      <c r="B264" t="s">
        <v>2430</v>
      </c>
      <c r="C264" s="522">
        <v>186605</v>
      </c>
      <c r="D264" s="522">
        <v>0</v>
      </c>
      <c r="E264" s="522">
        <v>0</v>
      </c>
      <c r="F264" s="522">
        <v>0</v>
      </c>
      <c r="G264" s="522">
        <v>186605</v>
      </c>
    </row>
    <row r="265" spans="1:7">
      <c r="A265" s="523" t="s">
        <v>2071</v>
      </c>
      <c r="B265" s="523" t="s">
        <v>1</v>
      </c>
      <c r="C265" s="524">
        <v>0</v>
      </c>
      <c r="D265" s="524">
        <v>0</v>
      </c>
      <c r="E265" s="524">
        <v>131616</v>
      </c>
      <c r="F265" s="524">
        <v>0</v>
      </c>
      <c r="G265" s="524">
        <v>131616</v>
      </c>
    </row>
    <row r="266" spans="1:7">
      <c r="A266" t="s">
        <v>2071</v>
      </c>
      <c r="B266" t="s">
        <v>3193</v>
      </c>
      <c r="C266" s="522">
        <v>0</v>
      </c>
      <c r="D266" s="522">
        <v>37599</v>
      </c>
      <c r="E266" s="522">
        <v>0</v>
      </c>
      <c r="F266" s="522">
        <v>0</v>
      </c>
      <c r="G266" s="522">
        <v>37599</v>
      </c>
    </row>
    <row r="267" spans="1:7">
      <c r="A267" s="523" t="s">
        <v>2071</v>
      </c>
      <c r="B267" s="523" t="s">
        <v>2430</v>
      </c>
      <c r="C267" s="524">
        <v>4214</v>
      </c>
      <c r="D267" s="524">
        <v>0</v>
      </c>
      <c r="E267" s="524">
        <v>0</v>
      </c>
      <c r="F267" s="524">
        <v>0</v>
      </c>
      <c r="G267" s="524">
        <v>4214</v>
      </c>
    </row>
    <row r="268" spans="1:7">
      <c r="A268" t="s">
        <v>2071</v>
      </c>
      <c r="B268" t="s">
        <v>2428</v>
      </c>
      <c r="C268" s="522">
        <v>0</v>
      </c>
      <c r="D268" s="522">
        <v>0</v>
      </c>
      <c r="E268" s="522">
        <v>0</v>
      </c>
      <c r="F268" s="522">
        <v>704</v>
      </c>
      <c r="G268" s="522">
        <v>704</v>
      </c>
    </row>
    <row r="269" spans="1:7">
      <c r="A269" s="523" t="s">
        <v>1880</v>
      </c>
      <c r="B269" s="523" t="s">
        <v>1</v>
      </c>
      <c r="C269" s="524">
        <v>0</v>
      </c>
      <c r="D269" s="524">
        <v>0</v>
      </c>
      <c r="E269" s="524">
        <v>88361</v>
      </c>
      <c r="F269" s="524">
        <v>0</v>
      </c>
      <c r="G269" s="524">
        <v>88361</v>
      </c>
    </row>
    <row r="270" spans="1:7">
      <c r="A270" t="s">
        <v>1880</v>
      </c>
      <c r="B270" t="s">
        <v>3839</v>
      </c>
      <c r="C270" s="522">
        <v>0</v>
      </c>
      <c r="D270" s="522">
        <v>4031</v>
      </c>
      <c r="E270" s="522">
        <v>0</v>
      </c>
      <c r="F270" s="522">
        <v>0</v>
      </c>
      <c r="G270" s="522">
        <v>4031</v>
      </c>
    </row>
    <row r="271" spans="1:7">
      <c r="A271" s="523" t="s">
        <v>1880</v>
      </c>
      <c r="B271" s="523" t="s">
        <v>3150</v>
      </c>
      <c r="C271" s="524">
        <v>0</v>
      </c>
      <c r="D271" s="524">
        <v>3332</v>
      </c>
      <c r="E271" s="524">
        <v>0</v>
      </c>
      <c r="F271" s="524">
        <v>0</v>
      </c>
      <c r="G271" s="524">
        <v>3332</v>
      </c>
    </row>
    <row r="272" spans="1:7">
      <c r="A272" t="s">
        <v>1880</v>
      </c>
      <c r="B272" t="s">
        <v>3826</v>
      </c>
      <c r="C272" s="522">
        <v>0</v>
      </c>
      <c r="D272" s="522">
        <v>31196</v>
      </c>
      <c r="E272" s="522">
        <v>0</v>
      </c>
      <c r="F272" s="522">
        <v>0</v>
      </c>
      <c r="G272" s="522">
        <v>31196</v>
      </c>
    </row>
    <row r="273" spans="1:7">
      <c r="A273" s="523" t="s">
        <v>1880</v>
      </c>
      <c r="B273" s="523" t="s">
        <v>2428</v>
      </c>
      <c r="C273" s="524">
        <v>0</v>
      </c>
      <c r="D273" s="524">
        <v>0</v>
      </c>
      <c r="E273" s="524">
        <v>0</v>
      </c>
      <c r="F273" s="524">
        <v>2442</v>
      </c>
      <c r="G273" s="524">
        <v>2442</v>
      </c>
    </row>
    <row r="274" spans="1:7">
      <c r="A274" t="s">
        <v>119</v>
      </c>
      <c r="B274" t="s">
        <v>1</v>
      </c>
      <c r="C274" s="522">
        <v>0</v>
      </c>
      <c r="D274" s="522">
        <v>0</v>
      </c>
      <c r="E274" s="522">
        <v>127753</v>
      </c>
      <c r="F274" s="522">
        <v>0</v>
      </c>
      <c r="G274" s="522">
        <v>127753</v>
      </c>
    </row>
    <row r="275" spans="1:7">
      <c r="A275" s="523" t="s">
        <v>3850</v>
      </c>
      <c r="B275" s="523" t="s">
        <v>2428</v>
      </c>
      <c r="C275" s="524">
        <v>0</v>
      </c>
      <c r="D275" s="524">
        <v>0</v>
      </c>
      <c r="E275" s="524">
        <v>0</v>
      </c>
      <c r="F275" s="524">
        <v>127513</v>
      </c>
      <c r="G275" s="524">
        <v>127513</v>
      </c>
    </row>
    <row r="276" spans="1:7">
      <c r="A276" t="s">
        <v>1907</v>
      </c>
      <c r="B276" t="s">
        <v>1</v>
      </c>
      <c r="C276" s="522">
        <v>0</v>
      </c>
      <c r="D276" s="522">
        <v>0</v>
      </c>
      <c r="E276" s="522">
        <v>62599</v>
      </c>
      <c r="F276" s="522">
        <v>0</v>
      </c>
      <c r="G276" s="522">
        <v>62599</v>
      </c>
    </row>
    <row r="277" spans="1:7">
      <c r="A277" s="523" t="s">
        <v>1907</v>
      </c>
      <c r="B277" s="523" t="s">
        <v>3154</v>
      </c>
      <c r="C277" s="524">
        <v>0</v>
      </c>
      <c r="D277" s="524">
        <v>59636</v>
      </c>
      <c r="E277" s="524">
        <v>0</v>
      </c>
      <c r="F277" s="524">
        <v>0</v>
      </c>
      <c r="G277" s="524">
        <v>59636</v>
      </c>
    </row>
    <row r="278" spans="1:7">
      <c r="A278" t="s">
        <v>1907</v>
      </c>
      <c r="B278" t="s">
        <v>2428</v>
      </c>
      <c r="C278" s="522">
        <v>0</v>
      </c>
      <c r="D278" s="522">
        <v>0</v>
      </c>
      <c r="E278" s="522">
        <v>0</v>
      </c>
      <c r="F278" s="522">
        <v>4081</v>
      </c>
      <c r="G278" s="522">
        <v>4081</v>
      </c>
    </row>
    <row r="279" spans="1:7">
      <c r="A279" s="523" t="s">
        <v>375</v>
      </c>
      <c r="B279" s="523" t="s">
        <v>1</v>
      </c>
      <c r="C279" s="524">
        <v>0</v>
      </c>
      <c r="D279" s="524">
        <v>0</v>
      </c>
      <c r="E279" s="524">
        <v>83930</v>
      </c>
      <c r="F279" s="524">
        <v>0</v>
      </c>
      <c r="G279" s="524">
        <v>83930</v>
      </c>
    </row>
    <row r="280" spans="1:7">
      <c r="A280" t="s">
        <v>375</v>
      </c>
      <c r="B280" t="s">
        <v>2428</v>
      </c>
      <c r="C280" s="522">
        <v>0</v>
      </c>
      <c r="D280" s="522">
        <v>0</v>
      </c>
      <c r="E280" s="522">
        <v>0</v>
      </c>
      <c r="F280" s="522">
        <v>21368</v>
      </c>
      <c r="G280" s="522">
        <v>21368</v>
      </c>
    </row>
    <row r="281" spans="1:7">
      <c r="A281" s="523" t="s">
        <v>1913</v>
      </c>
      <c r="B281" s="523" t="s">
        <v>2430</v>
      </c>
      <c r="C281" s="524">
        <v>91116</v>
      </c>
      <c r="D281" s="524">
        <v>0</v>
      </c>
      <c r="E281" s="524">
        <v>0</v>
      </c>
      <c r="F281" s="524">
        <v>0</v>
      </c>
      <c r="G281" s="524">
        <v>91116</v>
      </c>
    </row>
    <row r="282" spans="1:7">
      <c r="A282" t="s">
        <v>3856</v>
      </c>
      <c r="B282" t="s">
        <v>2428</v>
      </c>
      <c r="C282" s="522">
        <v>0</v>
      </c>
      <c r="D282" s="522">
        <v>0</v>
      </c>
      <c r="E282" s="522">
        <v>0</v>
      </c>
      <c r="F282" s="522">
        <v>82536</v>
      </c>
      <c r="G282" s="522">
        <v>82536</v>
      </c>
    </row>
    <row r="283" spans="1:7">
      <c r="A283" s="523" t="s">
        <v>3857</v>
      </c>
      <c r="B283" s="523" t="s">
        <v>2428</v>
      </c>
      <c r="C283" s="524">
        <v>0</v>
      </c>
      <c r="D283" s="524">
        <v>0</v>
      </c>
      <c r="E283" s="524">
        <v>0</v>
      </c>
      <c r="F283" s="524">
        <v>80232</v>
      </c>
      <c r="G283" s="524">
        <v>80232</v>
      </c>
    </row>
    <row r="284" spans="1:7">
      <c r="A284" t="s">
        <v>1891</v>
      </c>
      <c r="B284" t="s">
        <v>3153</v>
      </c>
      <c r="C284" s="522">
        <v>0</v>
      </c>
      <c r="D284" s="522">
        <v>75522</v>
      </c>
      <c r="E284" s="522">
        <v>0</v>
      </c>
      <c r="F284" s="522">
        <v>0</v>
      </c>
      <c r="G284" s="522">
        <v>75522</v>
      </c>
    </row>
    <row r="285" spans="1:7">
      <c r="A285" s="523" t="s">
        <v>1921</v>
      </c>
      <c r="B285" s="523" t="s">
        <v>2430</v>
      </c>
      <c r="C285" s="524">
        <v>72672</v>
      </c>
      <c r="D285" s="524">
        <v>0</v>
      </c>
      <c r="E285" s="524">
        <v>0</v>
      </c>
      <c r="F285" s="524">
        <v>0</v>
      </c>
      <c r="G285" s="524">
        <v>72672</v>
      </c>
    </row>
    <row r="286" spans="1:7">
      <c r="A286" t="s">
        <v>3863</v>
      </c>
      <c r="B286" t="s">
        <v>2428</v>
      </c>
      <c r="C286" s="522">
        <v>0</v>
      </c>
      <c r="D286" s="522">
        <v>0</v>
      </c>
      <c r="E286" s="522">
        <v>0</v>
      </c>
      <c r="F286" s="522">
        <v>57667</v>
      </c>
      <c r="G286" s="522">
        <v>57667</v>
      </c>
    </row>
    <row r="287" spans="1:7">
      <c r="A287" s="523" t="s">
        <v>1908</v>
      </c>
      <c r="B287" s="523" t="s">
        <v>1</v>
      </c>
      <c r="C287" s="524">
        <v>0</v>
      </c>
      <c r="D287" s="524">
        <v>0</v>
      </c>
      <c r="E287" s="524">
        <v>32607</v>
      </c>
      <c r="F287" s="524">
        <v>0</v>
      </c>
      <c r="G287" s="524">
        <v>32607</v>
      </c>
    </row>
    <row r="288" spans="1:7">
      <c r="A288" t="s">
        <v>1908</v>
      </c>
      <c r="B288" t="s">
        <v>3154</v>
      </c>
      <c r="C288" s="522">
        <v>0</v>
      </c>
      <c r="D288" s="522">
        <v>20223</v>
      </c>
      <c r="E288" s="522">
        <v>0</v>
      </c>
      <c r="F288" s="522">
        <v>0</v>
      </c>
      <c r="G288" s="522">
        <v>20223</v>
      </c>
    </row>
    <row r="289" spans="1:7">
      <c r="A289" s="523" t="s">
        <v>1908</v>
      </c>
      <c r="B289" s="523" t="s">
        <v>2430</v>
      </c>
      <c r="C289" s="524">
        <v>1297</v>
      </c>
      <c r="D289" s="524">
        <v>0</v>
      </c>
      <c r="E289" s="524">
        <v>0</v>
      </c>
      <c r="F289" s="524">
        <v>0</v>
      </c>
      <c r="G289" s="524">
        <v>1297</v>
      </c>
    </row>
    <row r="290" spans="1:7">
      <c r="A290" t="s">
        <v>1937</v>
      </c>
      <c r="B290" t="s">
        <v>1</v>
      </c>
      <c r="C290" s="522">
        <v>0</v>
      </c>
      <c r="D290" s="522">
        <v>0</v>
      </c>
      <c r="E290" s="522">
        <v>49911</v>
      </c>
      <c r="F290" s="522">
        <v>0</v>
      </c>
      <c r="G290" s="522">
        <v>49911</v>
      </c>
    </row>
    <row r="291" spans="1:7">
      <c r="A291" s="523" t="s">
        <v>1951</v>
      </c>
      <c r="B291" s="523" t="s">
        <v>1</v>
      </c>
      <c r="C291" s="524">
        <v>0</v>
      </c>
      <c r="D291" s="524">
        <v>0</v>
      </c>
      <c r="E291" s="524">
        <v>29434</v>
      </c>
      <c r="F291" s="524">
        <v>0</v>
      </c>
      <c r="G291" s="524">
        <v>29434</v>
      </c>
    </row>
    <row r="292" spans="1:7">
      <c r="A292" t="s">
        <v>1951</v>
      </c>
      <c r="B292" t="s">
        <v>2428</v>
      </c>
      <c r="C292" s="522">
        <v>0</v>
      </c>
      <c r="D292" s="522">
        <v>0</v>
      </c>
      <c r="E292" s="522">
        <v>0</v>
      </c>
      <c r="F292" s="522">
        <v>13938</v>
      </c>
      <c r="G292" s="522">
        <v>13938</v>
      </c>
    </row>
    <row r="293" spans="1:7">
      <c r="A293" s="523" t="s">
        <v>1896</v>
      </c>
      <c r="B293" s="523" t="s">
        <v>1</v>
      </c>
      <c r="C293" s="524">
        <v>0</v>
      </c>
      <c r="D293" s="524">
        <v>0</v>
      </c>
      <c r="E293" s="524">
        <v>32086</v>
      </c>
      <c r="F293" s="524">
        <v>0</v>
      </c>
      <c r="G293" s="524">
        <v>32086</v>
      </c>
    </row>
    <row r="294" spans="1:7">
      <c r="A294" t="s">
        <v>1979</v>
      </c>
      <c r="B294" t="s">
        <v>1</v>
      </c>
      <c r="C294" s="522">
        <v>0</v>
      </c>
      <c r="D294" s="522">
        <v>0</v>
      </c>
      <c r="E294" s="522">
        <v>31000</v>
      </c>
      <c r="F294" s="522">
        <v>0</v>
      </c>
      <c r="G294" s="522">
        <v>31000</v>
      </c>
    </row>
    <row r="295" spans="1:7">
      <c r="A295" s="523" t="s">
        <v>1959</v>
      </c>
      <c r="B295" s="523" t="s">
        <v>1</v>
      </c>
      <c r="C295" s="524">
        <v>0</v>
      </c>
      <c r="D295" s="524">
        <v>0</v>
      </c>
      <c r="E295" s="524">
        <v>26388</v>
      </c>
      <c r="F295" s="524">
        <v>0</v>
      </c>
      <c r="G295" s="524">
        <v>26388</v>
      </c>
    </row>
    <row r="296" spans="1:7">
      <c r="A296" t="s">
        <v>1958</v>
      </c>
      <c r="B296" t="s">
        <v>1</v>
      </c>
      <c r="C296" s="522">
        <v>0</v>
      </c>
      <c r="D296" s="522">
        <v>0</v>
      </c>
      <c r="E296" s="522">
        <v>24734</v>
      </c>
      <c r="F296" s="522">
        <v>0</v>
      </c>
      <c r="G296" s="522">
        <v>24734</v>
      </c>
    </row>
    <row r="297" spans="1:7">
      <c r="A297" s="523" t="s">
        <v>1958</v>
      </c>
      <c r="B297" s="523" t="s">
        <v>2428</v>
      </c>
      <c r="C297" s="524">
        <v>0</v>
      </c>
      <c r="D297" s="524">
        <v>0</v>
      </c>
      <c r="E297" s="524">
        <v>0</v>
      </c>
      <c r="F297" s="524">
        <v>1353</v>
      </c>
      <c r="G297" s="524">
        <v>1353</v>
      </c>
    </row>
    <row r="298" spans="1:7">
      <c r="A298" t="s">
        <v>269</v>
      </c>
      <c r="B298" t="s">
        <v>2428</v>
      </c>
      <c r="C298" s="522">
        <v>0</v>
      </c>
      <c r="D298" s="522">
        <v>0</v>
      </c>
      <c r="E298" s="522">
        <v>0</v>
      </c>
      <c r="F298" s="522">
        <v>21071</v>
      </c>
      <c r="G298" s="522">
        <v>21071</v>
      </c>
    </row>
    <row r="299" spans="1:7">
      <c r="A299" s="523" t="s">
        <v>1915</v>
      </c>
      <c r="B299" s="523" t="s">
        <v>3193</v>
      </c>
      <c r="C299" s="524">
        <v>0</v>
      </c>
      <c r="D299" s="524">
        <v>11048</v>
      </c>
      <c r="E299" s="524">
        <v>0</v>
      </c>
      <c r="F299" s="524">
        <v>0</v>
      </c>
      <c r="G299" s="524">
        <v>11048</v>
      </c>
    </row>
    <row r="300" spans="1:7">
      <c r="A300" t="s">
        <v>1915</v>
      </c>
      <c r="B300" t="s">
        <v>2428</v>
      </c>
      <c r="C300" s="522">
        <v>0</v>
      </c>
      <c r="D300" s="522">
        <v>0</v>
      </c>
      <c r="E300" s="522">
        <v>0</v>
      </c>
      <c r="F300" s="522">
        <v>5230</v>
      </c>
      <c r="G300" s="522">
        <v>5230</v>
      </c>
    </row>
    <row r="301" spans="1:7">
      <c r="A301" s="523" t="s">
        <v>2059</v>
      </c>
      <c r="B301" s="523" t="s">
        <v>3193</v>
      </c>
      <c r="C301" s="524">
        <v>0</v>
      </c>
      <c r="D301" s="524">
        <v>9150</v>
      </c>
      <c r="E301" s="524">
        <v>0</v>
      </c>
      <c r="F301" s="524">
        <v>0</v>
      </c>
      <c r="G301" s="524">
        <v>9150</v>
      </c>
    </row>
    <row r="302" spans="1:7">
      <c r="A302" t="s">
        <v>2059</v>
      </c>
      <c r="B302" t="s">
        <v>2430</v>
      </c>
      <c r="C302" s="522">
        <v>5280</v>
      </c>
      <c r="D302" s="522">
        <v>0</v>
      </c>
      <c r="E302" s="522">
        <v>0</v>
      </c>
      <c r="F302" s="522">
        <v>0</v>
      </c>
      <c r="G302" s="522">
        <v>5280</v>
      </c>
    </row>
    <row r="303" spans="1:7">
      <c r="A303" s="523" t="s">
        <v>3823</v>
      </c>
      <c r="B303" s="523" t="s">
        <v>3194</v>
      </c>
      <c r="C303" s="524">
        <v>0</v>
      </c>
      <c r="D303" s="524">
        <v>10532</v>
      </c>
      <c r="E303" s="524">
        <v>0</v>
      </c>
      <c r="F303" s="524">
        <v>0</v>
      </c>
      <c r="G303" s="524">
        <v>10532</v>
      </c>
    </row>
    <row r="304" spans="1:7">
      <c r="A304" t="s">
        <v>3823</v>
      </c>
      <c r="B304" t="s">
        <v>2430</v>
      </c>
      <c r="C304" s="522">
        <v>530</v>
      </c>
      <c r="D304" s="522">
        <v>0</v>
      </c>
      <c r="E304" s="522">
        <v>0</v>
      </c>
      <c r="F304" s="522">
        <v>0</v>
      </c>
      <c r="G304" s="522">
        <v>530</v>
      </c>
    </row>
    <row r="305" spans="1:7">
      <c r="A305" s="523" t="s">
        <v>3823</v>
      </c>
      <c r="B305" s="523" t="s">
        <v>2428</v>
      </c>
      <c r="C305" s="524">
        <v>0</v>
      </c>
      <c r="D305" s="524">
        <v>0</v>
      </c>
      <c r="E305" s="524">
        <v>0</v>
      </c>
      <c r="F305" s="524">
        <v>1943</v>
      </c>
      <c r="G305" s="524">
        <v>1943</v>
      </c>
    </row>
    <row r="306" spans="1:7">
      <c r="A306" t="s">
        <v>3902</v>
      </c>
      <c r="B306" t="s">
        <v>2428</v>
      </c>
      <c r="C306" s="522">
        <v>0</v>
      </c>
      <c r="D306" s="522">
        <v>0</v>
      </c>
      <c r="E306" s="522">
        <v>0</v>
      </c>
      <c r="F306" s="522">
        <v>11547</v>
      </c>
      <c r="G306" s="522">
        <v>11547</v>
      </c>
    </row>
    <row r="307" spans="1:7">
      <c r="A307" s="523" t="s">
        <v>486</v>
      </c>
      <c r="B307" s="523" t="s">
        <v>2428</v>
      </c>
      <c r="C307" s="524">
        <v>0</v>
      </c>
      <c r="D307" s="524">
        <v>0</v>
      </c>
      <c r="E307" s="524">
        <v>0</v>
      </c>
      <c r="F307" s="524">
        <v>9405</v>
      </c>
      <c r="G307" s="524">
        <v>9405</v>
      </c>
    </row>
    <row r="308" spans="1:7">
      <c r="A308" t="s">
        <v>1953</v>
      </c>
      <c r="B308" t="s">
        <v>3839</v>
      </c>
      <c r="C308" s="522">
        <v>0</v>
      </c>
      <c r="D308" s="522">
        <v>8985</v>
      </c>
      <c r="E308" s="522">
        <v>0</v>
      </c>
      <c r="F308" s="522">
        <v>0</v>
      </c>
      <c r="G308" s="522">
        <v>8985</v>
      </c>
    </row>
    <row r="309" spans="1:7">
      <c r="A309" s="523" t="s">
        <v>3913</v>
      </c>
      <c r="B309" s="523" t="s">
        <v>2428</v>
      </c>
      <c r="C309" s="524">
        <v>0</v>
      </c>
      <c r="D309" s="524">
        <v>0</v>
      </c>
      <c r="E309" s="524">
        <v>0</v>
      </c>
      <c r="F309" s="524">
        <v>8586</v>
      </c>
      <c r="G309" s="524">
        <v>8586</v>
      </c>
    </row>
    <row r="310" spans="1:7">
      <c r="A310" t="s">
        <v>1954</v>
      </c>
      <c r="B310" t="s">
        <v>1</v>
      </c>
      <c r="C310" s="522">
        <v>0</v>
      </c>
      <c r="D310" s="522">
        <v>0</v>
      </c>
      <c r="E310" s="522">
        <v>8250</v>
      </c>
      <c r="F310" s="522">
        <v>0</v>
      </c>
      <c r="G310" s="522">
        <v>8250</v>
      </c>
    </row>
    <row r="311" spans="1:7">
      <c r="A311" s="523" t="s">
        <v>3917</v>
      </c>
      <c r="B311" s="523" t="s">
        <v>2428</v>
      </c>
      <c r="C311" s="524">
        <v>0</v>
      </c>
      <c r="D311" s="524">
        <v>0</v>
      </c>
      <c r="E311" s="524">
        <v>0</v>
      </c>
      <c r="F311" s="524">
        <v>7572</v>
      </c>
      <c r="G311" s="524">
        <v>7572</v>
      </c>
    </row>
    <row r="312" spans="1:7">
      <c r="A312" t="s">
        <v>1095</v>
      </c>
      <c r="B312" t="s">
        <v>3150</v>
      </c>
      <c r="C312" s="522">
        <v>0</v>
      </c>
      <c r="D312" s="522">
        <v>6483</v>
      </c>
      <c r="E312" s="522">
        <v>0</v>
      </c>
      <c r="F312" s="522">
        <v>0</v>
      </c>
      <c r="G312" s="522">
        <v>6483</v>
      </c>
    </row>
    <row r="313" spans="1:7">
      <c r="A313" s="523" t="s">
        <v>1095</v>
      </c>
      <c r="B313" s="523" t="s">
        <v>2428</v>
      </c>
      <c r="C313" s="524">
        <v>0</v>
      </c>
      <c r="D313" s="524">
        <v>0</v>
      </c>
      <c r="E313" s="524">
        <v>0</v>
      </c>
      <c r="F313" s="524">
        <v>492</v>
      </c>
      <c r="G313" s="524">
        <v>492</v>
      </c>
    </row>
    <row r="314" spans="1:7">
      <c r="A314" t="s">
        <v>3926</v>
      </c>
      <c r="B314" t="s">
        <v>2428</v>
      </c>
      <c r="C314" s="522">
        <v>0</v>
      </c>
      <c r="D314" s="522">
        <v>0</v>
      </c>
      <c r="E314" s="522">
        <v>0</v>
      </c>
      <c r="F314" s="522">
        <v>6864</v>
      </c>
      <c r="G314" s="522">
        <v>6864</v>
      </c>
    </row>
    <row r="315" spans="1:7">
      <c r="A315" s="523" t="s">
        <v>114</v>
      </c>
      <c r="B315" s="523" t="s">
        <v>1</v>
      </c>
      <c r="C315" s="524">
        <v>0</v>
      </c>
      <c r="D315" s="524">
        <v>0</v>
      </c>
      <c r="E315" s="524">
        <v>6332</v>
      </c>
      <c r="F315" s="524">
        <v>0</v>
      </c>
      <c r="G315" s="524">
        <v>6332</v>
      </c>
    </row>
    <row r="316" spans="1:7">
      <c r="A316" t="s">
        <v>114</v>
      </c>
      <c r="B316" t="s">
        <v>3150</v>
      </c>
      <c r="C316" s="522">
        <v>0</v>
      </c>
      <c r="D316" s="522">
        <v>0</v>
      </c>
      <c r="E316" s="522">
        <v>0</v>
      </c>
      <c r="F316" s="522">
        <v>0</v>
      </c>
      <c r="G316" s="522">
        <v>0</v>
      </c>
    </row>
    <row r="317" spans="1:7">
      <c r="A317" s="523" t="s">
        <v>114</v>
      </c>
      <c r="B317" s="523" t="s">
        <v>2428</v>
      </c>
      <c r="C317" s="524">
        <v>0</v>
      </c>
      <c r="D317" s="524">
        <v>0</v>
      </c>
      <c r="E317" s="524">
        <v>0</v>
      </c>
      <c r="F317" s="524">
        <v>166</v>
      </c>
      <c r="G317" s="524">
        <v>166</v>
      </c>
    </row>
    <row r="318" spans="1:7">
      <c r="A318" t="s">
        <v>315</v>
      </c>
      <c r="B318" t="s">
        <v>1</v>
      </c>
      <c r="C318" s="522">
        <v>0</v>
      </c>
      <c r="D318" s="522">
        <v>0</v>
      </c>
      <c r="E318" s="522">
        <v>6342</v>
      </c>
      <c r="F318" s="522">
        <v>0</v>
      </c>
      <c r="G318" s="522">
        <v>6342</v>
      </c>
    </row>
    <row r="319" spans="1:7">
      <c r="A319" s="523" t="s">
        <v>3928</v>
      </c>
      <c r="B319" s="523" t="s">
        <v>2428</v>
      </c>
      <c r="C319" s="524">
        <v>0</v>
      </c>
      <c r="D319" s="524">
        <v>0</v>
      </c>
      <c r="E319" s="524">
        <v>0</v>
      </c>
      <c r="F319" s="524">
        <v>6300</v>
      </c>
      <c r="G319" s="524">
        <v>6300</v>
      </c>
    </row>
    <row r="320" spans="1:7">
      <c r="A320" t="s">
        <v>3936</v>
      </c>
      <c r="B320" t="s">
        <v>2428</v>
      </c>
      <c r="C320" s="522">
        <v>0</v>
      </c>
      <c r="D320" s="522">
        <v>0</v>
      </c>
      <c r="E320" s="522">
        <v>0</v>
      </c>
      <c r="F320" s="522">
        <v>5230</v>
      </c>
      <c r="G320" s="522">
        <v>5230</v>
      </c>
    </row>
    <row r="321" spans="1:7">
      <c r="A321" s="523" t="s">
        <v>3938</v>
      </c>
      <c r="B321" s="523" t="s">
        <v>2428</v>
      </c>
      <c r="C321" s="524">
        <v>0</v>
      </c>
      <c r="D321" s="524">
        <v>0</v>
      </c>
      <c r="E321" s="524">
        <v>0</v>
      </c>
      <c r="F321" s="524">
        <v>4435</v>
      </c>
      <c r="G321" s="524">
        <v>4435</v>
      </c>
    </row>
    <row r="322" spans="1:7">
      <c r="A322" t="s">
        <v>2005</v>
      </c>
      <c r="B322" t="s">
        <v>1</v>
      </c>
      <c r="C322" s="522">
        <v>0</v>
      </c>
      <c r="D322" s="522">
        <v>0</v>
      </c>
      <c r="E322" s="522">
        <v>3679</v>
      </c>
      <c r="F322" s="522">
        <v>0</v>
      </c>
      <c r="G322" s="522">
        <v>3679</v>
      </c>
    </row>
    <row r="323" spans="1:7">
      <c r="A323" s="523" t="s">
        <v>3945</v>
      </c>
      <c r="B323" s="523" t="s">
        <v>2428</v>
      </c>
      <c r="C323" s="524">
        <v>0</v>
      </c>
      <c r="D323" s="524">
        <v>0</v>
      </c>
      <c r="E323" s="524">
        <v>0</v>
      </c>
      <c r="F323" s="524">
        <v>3401</v>
      </c>
      <c r="G323" s="524">
        <v>3401</v>
      </c>
    </row>
    <row r="324" spans="1:7">
      <c r="A324" t="s">
        <v>691</v>
      </c>
      <c r="B324" t="s">
        <v>2428</v>
      </c>
      <c r="C324" s="522">
        <v>0</v>
      </c>
      <c r="D324" s="522">
        <v>0</v>
      </c>
      <c r="E324" s="522">
        <v>0</v>
      </c>
      <c r="F324" s="522">
        <v>3139</v>
      </c>
      <c r="G324" s="522">
        <v>3139</v>
      </c>
    </row>
    <row r="325" spans="1:7">
      <c r="A325" s="523" t="s">
        <v>2760</v>
      </c>
      <c r="B325" s="523" t="s">
        <v>3154</v>
      </c>
      <c r="C325" s="524">
        <v>0</v>
      </c>
      <c r="D325" s="524">
        <v>2842</v>
      </c>
      <c r="E325" s="524">
        <v>0</v>
      </c>
      <c r="F325" s="524">
        <v>0</v>
      </c>
      <c r="G325" s="524">
        <v>2842</v>
      </c>
    </row>
    <row r="326" spans="1:7">
      <c r="A326" t="s">
        <v>1972</v>
      </c>
      <c r="B326" t="s">
        <v>3154</v>
      </c>
      <c r="C326" s="522">
        <v>0</v>
      </c>
      <c r="D326" s="522">
        <v>2682</v>
      </c>
      <c r="E326" s="522">
        <v>0</v>
      </c>
      <c r="F326" s="522">
        <v>0</v>
      </c>
      <c r="G326" s="522">
        <v>2682</v>
      </c>
    </row>
    <row r="327" spans="1:7">
      <c r="A327" s="523" t="s">
        <v>110</v>
      </c>
      <c r="B327" s="523" t="s">
        <v>1</v>
      </c>
      <c r="C327" s="524">
        <v>0</v>
      </c>
      <c r="D327" s="524">
        <v>0</v>
      </c>
      <c r="E327" s="524">
        <v>1566</v>
      </c>
      <c r="F327" s="524">
        <v>0</v>
      </c>
      <c r="G327" s="524">
        <v>1566</v>
      </c>
    </row>
    <row r="328" spans="1:7">
      <c r="A328" t="s">
        <v>110</v>
      </c>
      <c r="B328" t="s">
        <v>3150</v>
      </c>
      <c r="C328" s="522">
        <v>0</v>
      </c>
      <c r="D328" s="522">
        <v>0</v>
      </c>
      <c r="E328" s="522">
        <v>0</v>
      </c>
      <c r="F328" s="522">
        <v>0</v>
      </c>
      <c r="G328" s="522">
        <v>0</v>
      </c>
    </row>
    <row r="329" spans="1:7">
      <c r="A329" s="523" t="s">
        <v>110</v>
      </c>
      <c r="B329" s="523" t="s">
        <v>2430</v>
      </c>
      <c r="C329" s="524">
        <v>787</v>
      </c>
      <c r="D329" s="524">
        <v>0</v>
      </c>
      <c r="E329" s="524">
        <v>0</v>
      </c>
      <c r="F329" s="524">
        <v>0</v>
      </c>
      <c r="G329" s="524">
        <v>787</v>
      </c>
    </row>
    <row r="330" spans="1:7">
      <c r="A330" t="s">
        <v>110</v>
      </c>
      <c r="B330" t="s">
        <v>2428</v>
      </c>
      <c r="C330" s="522">
        <v>0</v>
      </c>
      <c r="D330" s="522">
        <v>0</v>
      </c>
      <c r="E330" s="522">
        <v>0</v>
      </c>
      <c r="F330" s="522">
        <v>314</v>
      </c>
      <c r="G330" s="522">
        <v>314</v>
      </c>
    </row>
    <row r="331" spans="1:7">
      <c r="A331" s="523" t="s">
        <v>3963</v>
      </c>
      <c r="B331" s="523" t="s">
        <v>2428</v>
      </c>
      <c r="C331" s="524">
        <v>0</v>
      </c>
      <c r="D331" s="524">
        <v>0</v>
      </c>
      <c r="E331" s="524">
        <v>0</v>
      </c>
      <c r="F331" s="524">
        <v>1498</v>
      </c>
      <c r="G331" s="524">
        <v>1498</v>
      </c>
    </row>
    <row r="332" spans="1:7">
      <c r="A332" t="s">
        <v>3246</v>
      </c>
      <c r="B332" t="s">
        <v>2428</v>
      </c>
      <c r="C332" s="522">
        <v>0</v>
      </c>
      <c r="D332" s="522">
        <v>0</v>
      </c>
      <c r="E332" s="522">
        <v>0</v>
      </c>
      <c r="F332" s="522">
        <v>1457</v>
      </c>
      <c r="G332" s="522">
        <v>1457</v>
      </c>
    </row>
    <row r="333" spans="1:7">
      <c r="A333" s="523" t="s">
        <v>2006</v>
      </c>
      <c r="B333" s="523" t="s">
        <v>2428</v>
      </c>
      <c r="C333" s="524">
        <v>0</v>
      </c>
      <c r="D333" s="524">
        <v>0</v>
      </c>
      <c r="E333" s="524">
        <v>0</v>
      </c>
      <c r="F333" s="524">
        <v>1026</v>
      </c>
      <c r="G333" s="524">
        <v>1026</v>
      </c>
    </row>
    <row r="334" spans="1:7">
      <c r="A334" t="s">
        <v>3970</v>
      </c>
      <c r="B334" t="s">
        <v>2428</v>
      </c>
      <c r="C334" s="522">
        <v>0</v>
      </c>
      <c r="D334" s="522">
        <v>0</v>
      </c>
      <c r="E334" s="522">
        <v>0</v>
      </c>
      <c r="F334" s="522">
        <v>867</v>
      </c>
      <c r="G334" s="522">
        <v>867</v>
      </c>
    </row>
    <row r="335" spans="1:7">
      <c r="A335" s="523" t="s">
        <v>3972</v>
      </c>
      <c r="B335" s="523" t="s">
        <v>2428</v>
      </c>
      <c r="C335" s="524">
        <v>0</v>
      </c>
      <c r="D335" s="524">
        <v>0</v>
      </c>
      <c r="E335" s="524">
        <v>0</v>
      </c>
      <c r="F335" s="524">
        <v>813</v>
      </c>
      <c r="G335" s="524">
        <v>813</v>
      </c>
    </row>
    <row r="336" spans="1:7">
      <c r="A336" t="s">
        <v>3973</v>
      </c>
      <c r="B336" t="s">
        <v>2428</v>
      </c>
      <c r="C336" s="522">
        <v>0</v>
      </c>
      <c r="D336" s="522">
        <v>0</v>
      </c>
      <c r="E336" s="522">
        <v>0</v>
      </c>
      <c r="F336" s="522">
        <v>792</v>
      </c>
      <c r="G336" s="522">
        <v>792</v>
      </c>
    </row>
    <row r="337" spans="1:7">
      <c r="A337" s="523" t="s">
        <v>3974</v>
      </c>
      <c r="B337" s="523" t="s">
        <v>2428</v>
      </c>
      <c r="C337" s="524">
        <v>0</v>
      </c>
      <c r="D337" s="524">
        <v>0</v>
      </c>
      <c r="E337" s="524">
        <v>0</v>
      </c>
      <c r="F337" s="524">
        <v>792</v>
      </c>
      <c r="G337" s="524">
        <v>792</v>
      </c>
    </row>
    <row r="338" spans="1:7">
      <c r="A338" t="s">
        <v>3975</v>
      </c>
      <c r="B338" t="s">
        <v>2428</v>
      </c>
      <c r="C338" s="522">
        <v>0</v>
      </c>
      <c r="D338" s="522">
        <v>0</v>
      </c>
      <c r="E338" s="522">
        <v>0</v>
      </c>
      <c r="F338" s="522">
        <v>764</v>
      </c>
      <c r="G338" s="522">
        <v>764</v>
      </c>
    </row>
    <row r="339" spans="1:7">
      <c r="A339" s="523" t="s">
        <v>3976</v>
      </c>
      <c r="B339" s="523" t="s">
        <v>2428</v>
      </c>
      <c r="C339" s="524">
        <v>0</v>
      </c>
      <c r="D339" s="524">
        <v>0</v>
      </c>
      <c r="E339" s="524">
        <v>0</v>
      </c>
      <c r="F339" s="524">
        <v>732</v>
      </c>
      <c r="G339" s="524">
        <v>732</v>
      </c>
    </row>
    <row r="340" spans="1:7">
      <c r="A340" t="s">
        <v>3978</v>
      </c>
      <c r="B340" t="s">
        <v>2428</v>
      </c>
      <c r="C340" s="522">
        <v>0</v>
      </c>
      <c r="D340" s="522">
        <v>0</v>
      </c>
      <c r="E340" s="522">
        <v>0</v>
      </c>
      <c r="F340" s="522">
        <v>669</v>
      </c>
      <c r="G340" s="522">
        <v>669</v>
      </c>
    </row>
    <row r="341" spans="1:7">
      <c r="A341" s="494" t="s">
        <v>6526</v>
      </c>
      <c r="B341" s="494"/>
      <c r="C341" s="525">
        <f t="shared" ref="C341:F341" si="0">SUM(C5:C340)</f>
        <v>172982713</v>
      </c>
      <c r="D341" s="525">
        <f t="shared" si="0"/>
        <v>261160079</v>
      </c>
      <c r="E341" s="525">
        <f t="shared" si="0"/>
        <v>684893846</v>
      </c>
      <c r="F341" s="525">
        <f t="shared" si="0"/>
        <v>214628564</v>
      </c>
      <c r="G341" s="525">
        <f>SUM(G5:G340)</f>
        <v>1333665202</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1"/>
  <sheetViews>
    <sheetView zoomScale="90" zoomScaleNormal="90" workbookViewId="0">
      <selection activeCell="B4" sqref="B4"/>
    </sheetView>
  </sheetViews>
  <sheetFormatPr baseColWidth="10" defaultRowHeight="13.8"/>
  <cols>
    <col min="2" max="2" width="38.69921875" bestFit="1" customWidth="1"/>
    <col min="7" max="7" width="30.59765625" bestFit="1" customWidth="1"/>
    <col min="9" max="9" width="12.3984375" bestFit="1" customWidth="1"/>
  </cols>
  <sheetData>
    <row r="2" spans="1:9" ht="14.4">
      <c r="A2" s="483" t="s">
        <v>6381</v>
      </c>
    </row>
    <row r="4" spans="1:9">
      <c r="B4" s="514" t="s">
        <v>1387</v>
      </c>
      <c r="C4" s="514" t="s">
        <v>6516</v>
      </c>
      <c r="D4" s="515" t="s">
        <v>6390</v>
      </c>
      <c r="E4" s="514" t="s">
        <v>611</v>
      </c>
      <c r="F4" s="514" t="s">
        <v>6517</v>
      </c>
      <c r="G4" s="514" t="s">
        <v>2135</v>
      </c>
      <c r="H4" s="514" t="s">
        <v>3143</v>
      </c>
      <c r="I4" s="516" t="s">
        <v>6518</v>
      </c>
    </row>
    <row r="5" spans="1:9" ht="14.4">
      <c r="B5" s="517" t="s">
        <v>1833</v>
      </c>
      <c r="C5" s="517" t="s">
        <v>6519</v>
      </c>
      <c r="D5" s="517" t="s">
        <v>16</v>
      </c>
      <c r="E5" s="517" t="s">
        <v>644</v>
      </c>
      <c r="F5" s="518" t="s">
        <v>2331</v>
      </c>
      <c r="G5" s="518" t="s">
        <v>2140</v>
      </c>
      <c r="H5" s="518" t="s">
        <v>2333</v>
      </c>
      <c r="I5" s="519">
        <v>162000000</v>
      </c>
    </row>
    <row r="6" spans="1:9" ht="14.4">
      <c r="B6" s="222" t="s">
        <v>1833</v>
      </c>
      <c r="C6" s="222" t="s">
        <v>6519</v>
      </c>
      <c r="D6" s="222" t="s">
        <v>16</v>
      </c>
      <c r="E6" s="222" t="s">
        <v>644</v>
      </c>
      <c r="F6" s="218" t="s">
        <v>2331</v>
      </c>
      <c r="G6" s="218" t="s">
        <v>2140</v>
      </c>
      <c r="H6" s="218" t="s">
        <v>2333</v>
      </c>
      <c r="I6" s="520">
        <v>73180042</v>
      </c>
    </row>
    <row r="7" spans="1:9" ht="14.4">
      <c r="B7" s="517" t="s">
        <v>1831</v>
      </c>
      <c r="C7" s="517" t="s">
        <v>6520</v>
      </c>
      <c r="D7" s="517" t="s">
        <v>16</v>
      </c>
      <c r="E7" s="517" t="s">
        <v>630</v>
      </c>
      <c r="F7" s="518" t="s">
        <v>2331</v>
      </c>
      <c r="G7" s="518" t="s">
        <v>2140</v>
      </c>
      <c r="H7" s="518" t="s">
        <v>2333</v>
      </c>
      <c r="I7" s="519">
        <v>59285669</v>
      </c>
    </row>
    <row r="8" spans="1:9" ht="14.4">
      <c r="B8" s="222" t="s">
        <v>17</v>
      </c>
      <c r="C8" s="222" t="s">
        <v>6521</v>
      </c>
      <c r="D8" s="222" t="s">
        <v>19</v>
      </c>
      <c r="E8" s="222" t="s">
        <v>2445</v>
      </c>
      <c r="F8" s="218" t="s">
        <v>2331</v>
      </c>
      <c r="G8" s="218" t="s">
        <v>2140</v>
      </c>
      <c r="H8" s="218" t="s">
        <v>2333</v>
      </c>
      <c r="I8" s="520">
        <v>37146480</v>
      </c>
    </row>
    <row r="9" spans="1:9" ht="14.4">
      <c r="B9" s="517" t="s">
        <v>1840</v>
      </c>
      <c r="C9" s="517" t="s">
        <v>6521</v>
      </c>
      <c r="D9" s="517" t="s">
        <v>14</v>
      </c>
      <c r="E9" s="517" t="s">
        <v>701</v>
      </c>
      <c r="F9" s="518" t="s">
        <v>2331</v>
      </c>
      <c r="G9" s="518" t="s">
        <v>2140</v>
      </c>
      <c r="H9" s="518" t="s">
        <v>2333</v>
      </c>
      <c r="I9" s="519">
        <v>13627665</v>
      </c>
    </row>
    <row r="10" spans="1:9" ht="14.4">
      <c r="B10" s="222" t="s">
        <v>717</v>
      </c>
      <c r="C10" s="222" t="s">
        <v>6520</v>
      </c>
      <c r="D10" s="222" t="s">
        <v>14</v>
      </c>
      <c r="E10" s="222" t="s">
        <v>718</v>
      </c>
      <c r="F10" s="218" t="s">
        <v>2331</v>
      </c>
      <c r="G10" s="218" t="s">
        <v>2140</v>
      </c>
      <c r="H10" s="218" t="s">
        <v>2333</v>
      </c>
      <c r="I10" s="520">
        <v>5443483</v>
      </c>
    </row>
    <row r="11" spans="1:9" ht="14.4">
      <c r="B11" s="517" t="s">
        <v>99</v>
      </c>
      <c r="C11" s="517" t="s">
        <v>6522</v>
      </c>
      <c r="D11" s="517" t="s">
        <v>14</v>
      </c>
      <c r="E11" s="517" t="s">
        <v>692</v>
      </c>
      <c r="F11" s="518" t="s">
        <v>2331</v>
      </c>
      <c r="G11" s="518" t="s">
        <v>2140</v>
      </c>
      <c r="H11" s="518" t="s">
        <v>2333</v>
      </c>
      <c r="I11" s="519">
        <v>4012761</v>
      </c>
    </row>
    <row r="12" spans="1:9" ht="14.4">
      <c r="B12" s="222" t="s">
        <v>1836</v>
      </c>
      <c r="C12" s="222" t="s">
        <v>6520</v>
      </c>
      <c r="D12" s="222" t="s">
        <v>14</v>
      </c>
      <c r="E12" s="222" t="s">
        <v>671</v>
      </c>
      <c r="F12" s="218" t="s">
        <v>2331</v>
      </c>
      <c r="G12" s="218" t="s">
        <v>2140</v>
      </c>
      <c r="H12" s="218" t="s">
        <v>2333</v>
      </c>
      <c r="I12" s="520">
        <v>3557196</v>
      </c>
    </row>
    <row r="13" spans="1:9" ht="14.4">
      <c r="B13" s="517" t="s">
        <v>1838</v>
      </c>
      <c r="C13" s="517" t="s">
        <v>6521</v>
      </c>
      <c r="D13" s="517" t="s">
        <v>16</v>
      </c>
      <c r="E13" s="517" t="s">
        <v>675</v>
      </c>
      <c r="F13" s="518" t="s">
        <v>2331</v>
      </c>
      <c r="G13" s="518" t="s">
        <v>2140</v>
      </c>
      <c r="H13" s="518" t="s">
        <v>2333</v>
      </c>
      <c r="I13" s="519">
        <v>2889114</v>
      </c>
    </row>
    <row r="14" spans="1:9" ht="14.4">
      <c r="B14" s="222" t="s">
        <v>1842</v>
      </c>
      <c r="C14" s="222" t="s">
        <v>6520</v>
      </c>
      <c r="D14" s="222" t="s">
        <v>14</v>
      </c>
      <c r="E14" s="222" t="s">
        <v>730</v>
      </c>
      <c r="F14" s="218" t="s">
        <v>2331</v>
      </c>
      <c r="G14" s="218" t="s">
        <v>2140</v>
      </c>
      <c r="H14" s="218" t="s">
        <v>2333</v>
      </c>
      <c r="I14" s="520">
        <v>2781854</v>
      </c>
    </row>
    <row r="15" spans="1:9" ht="14.4">
      <c r="B15" s="517" t="s">
        <v>102</v>
      </c>
      <c r="C15" s="517" t="s">
        <v>6522</v>
      </c>
      <c r="D15" s="517" t="s">
        <v>14</v>
      </c>
      <c r="E15" s="517" t="s">
        <v>707</v>
      </c>
      <c r="F15" s="518" t="s">
        <v>2331</v>
      </c>
      <c r="G15" s="518" t="s">
        <v>2140</v>
      </c>
      <c r="H15" s="518" t="s">
        <v>2333</v>
      </c>
      <c r="I15" s="519">
        <v>842963</v>
      </c>
    </row>
    <row r="16" spans="1:9" ht="14.4">
      <c r="B16" s="222" t="s">
        <v>1840</v>
      </c>
      <c r="C16" s="222" t="s">
        <v>6521</v>
      </c>
      <c r="D16" s="222" t="s">
        <v>14</v>
      </c>
      <c r="E16" s="222" t="s">
        <v>701</v>
      </c>
      <c r="F16" s="218" t="s">
        <v>2331</v>
      </c>
      <c r="G16" s="218" t="s">
        <v>2140</v>
      </c>
      <c r="H16" s="218" t="s">
        <v>2333</v>
      </c>
      <c r="I16" s="520">
        <v>348833</v>
      </c>
    </row>
    <row r="17" spans="2:9" ht="14.4">
      <c r="B17" s="517" t="s">
        <v>747</v>
      </c>
      <c r="C17" s="517" t="s">
        <v>6520</v>
      </c>
      <c r="D17" s="517" t="s">
        <v>14</v>
      </c>
      <c r="E17" s="517" t="s">
        <v>748</v>
      </c>
      <c r="F17" s="518" t="s">
        <v>2331</v>
      </c>
      <c r="G17" s="518" t="s">
        <v>2140</v>
      </c>
      <c r="H17" s="518" t="s">
        <v>2333</v>
      </c>
      <c r="I17" s="519">
        <v>72410</v>
      </c>
    </row>
    <row r="18" spans="2:9" ht="14.4">
      <c r="B18" s="222" t="s">
        <v>1886</v>
      </c>
      <c r="C18" s="222" t="s">
        <v>6523</v>
      </c>
      <c r="D18" s="222" t="s">
        <v>6524</v>
      </c>
      <c r="E18" s="222" t="s">
        <v>1080</v>
      </c>
      <c r="F18" s="218" t="s">
        <v>2331</v>
      </c>
      <c r="G18" s="218" t="s">
        <v>2140</v>
      </c>
      <c r="H18" s="218" t="s">
        <v>2333</v>
      </c>
      <c r="I18" s="520">
        <v>53352</v>
      </c>
    </row>
    <row r="19" spans="2:9" ht="14.4">
      <c r="B19" s="517" t="s">
        <v>1848</v>
      </c>
      <c r="C19" s="517" t="s">
        <v>6521</v>
      </c>
      <c r="D19" s="517" t="s">
        <v>16</v>
      </c>
      <c r="E19" s="517" t="s">
        <v>761</v>
      </c>
      <c r="F19" s="518" t="s">
        <v>2331</v>
      </c>
      <c r="G19" s="518" t="s">
        <v>2140</v>
      </c>
      <c r="H19" s="518" t="s">
        <v>2333</v>
      </c>
      <c r="I19" s="519">
        <v>41156</v>
      </c>
    </row>
    <row r="20" spans="2:9" ht="14.4">
      <c r="B20" s="222" t="s">
        <v>62</v>
      </c>
      <c r="C20" s="222" t="s">
        <v>6520</v>
      </c>
      <c r="D20" s="222" t="s">
        <v>14</v>
      </c>
      <c r="E20" s="222" t="s">
        <v>714</v>
      </c>
      <c r="F20" s="218" t="s">
        <v>2331</v>
      </c>
      <c r="G20" s="218" t="s">
        <v>2140</v>
      </c>
      <c r="H20" s="218" t="s">
        <v>2333</v>
      </c>
      <c r="I20" s="520">
        <v>33085</v>
      </c>
    </row>
    <row r="21" spans="2:9" ht="14.4">
      <c r="B21" s="218"/>
      <c r="C21" s="218"/>
      <c r="D21" s="218"/>
      <c r="E21" s="218"/>
      <c r="F21" s="218"/>
      <c r="G21" s="218"/>
      <c r="H21" s="218"/>
      <c r="I21" s="513">
        <f>SUM(I5:I20)</f>
        <v>365316063</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150"/>
  <sheetViews>
    <sheetView zoomScale="80" zoomScaleNormal="80" workbookViewId="0">
      <selection activeCell="C5" sqref="C5"/>
    </sheetView>
  </sheetViews>
  <sheetFormatPr baseColWidth="10" defaultRowHeight="13.8"/>
  <cols>
    <col min="2" max="2" width="62.59765625" bestFit="1" customWidth="1"/>
    <col min="3" max="3" width="98.296875" bestFit="1" customWidth="1"/>
  </cols>
  <sheetData>
    <row r="2" spans="1:6" ht="14.4">
      <c r="A2" s="483" t="s">
        <v>6380</v>
      </c>
    </row>
    <row r="4" spans="1:6">
      <c r="B4" s="507" t="s">
        <v>1397</v>
      </c>
      <c r="C4" s="508" t="s">
        <v>2135</v>
      </c>
      <c r="D4" s="509" t="s">
        <v>2331</v>
      </c>
      <c r="E4" s="509" t="s">
        <v>2332</v>
      </c>
      <c r="F4" s="509" t="s">
        <v>6513</v>
      </c>
    </row>
    <row r="5" spans="1:6">
      <c r="B5" s="510" t="s">
        <v>1850</v>
      </c>
      <c r="C5" s="510" t="s">
        <v>2139</v>
      </c>
      <c r="D5" s="511">
        <v>35000000</v>
      </c>
      <c r="E5" s="511">
        <v>0</v>
      </c>
      <c r="F5" s="511">
        <v>35000000</v>
      </c>
    </row>
    <row r="6" spans="1:6">
      <c r="B6" s="269" t="s">
        <v>1855</v>
      </c>
      <c r="C6" s="269" t="s">
        <v>2137</v>
      </c>
      <c r="D6" s="512">
        <v>22529746</v>
      </c>
      <c r="E6" s="512">
        <v>0</v>
      </c>
      <c r="F6" s="512">
        <v>22529746</v>
      </c>
    </row>
    <row r="7" spans="1:6">
      <c r="B7" s="510" t="s">
        <v>1855</v>
      </c>
      <c r="C7" s="510" t="s">
        <v>2141</v>
      </c>
      <c r="D7" s="511">
        <v>155</v>
      </c>
      <c r="E7" s="511">
        <v>0</v>
      </c>
      <c r="F7" s="511">
        <v>155</v>
      </c>
    </row>
    <row r="8" spans="1:6">
      <c r="B8" s="269" t="s">
        <v>1858</v>
      </c>
      <c r="C8" s="269" t="s">
        <v>2137</v>
      </c>
      <c r="D8" s="512">
        <v>12508927</v>
      </c>
      <c r="E8" s="512">
        <v>0</v>
      </c>
      <c r="F8" s="512">
        <v>12508927</v>
      </c>
    </row>
    <row r="9" spans="1:6">
      <c r="B9" s="510" t="s">
        <v>1858</v>
      </c>
      <c r="C9" s="510" t="s">
        <v>2141</v>
      </c>
      <c r="D9" s="511">
        <v>21901</v>
      </c>
      <c r="E9" s="511">
        <v>0</v>
      </c>
      <c r="F9" s="511">
        <v>21901</v>
      </c>
    </row>
    <row r="10" spans="1:6">
      <c r="B10" s="269" t="s">
        <v>1859</v>
      </c>
      <c r="C10" s="269" t="s">
        <v>2137</v>
      </c>
      <c r="D10" s="512">
        <v>10257653</v>
      </c>
      <c r="E10" s="512">
        <v>0</v>
      </c>
      <c r="F10" s="512">
        <v>10257653</v>
      </c>
    </row>
    <row r="11" spans="1:6">
      <c r="B11" s="510" t="s">
        <v>1861</v>
      </c>
      <c r="C11" s="510" t="s">
        <v>2137</v>
      </c>
      <c r="D11" s="511">
        <v>9992216</v>
      </c>
      <c r="E11" s="511">
        <v>0</v>
      </c>
      <c r="F11" s="511">
        <v>9992216</v>
      </c>
    </row>
    <row r="12" spans="1:6">
      <c r="B12" s="269" t="s">
        <v>6514</v>
      </c>
      <c r="C12" s="269" t="s">
        <v>2198</v>
      </c>
      <c r="D12" s="512">
        <v>0</v>
      </c>
      <c r="E12" s="512">
        <v>5473919</v>
      </c>
      <c r="F12" s="512">
        <v>5473919</v>
      </c>
    </row>
    <row r="13" spans="1:6">
      <c r="B13" s="510" t="s">
        <v>6514</v>
      </c>
      <c r="C13" s="510" t="s">
        <v>2193</v>
      </c>
      <c r="D13" s="511">
        <v>0</v>
      </c>
      <c r="E13" s="511">
        <v>10922</v>
      </c>
      <c r="F13" s="511">
        <v>10922</v>
      </c>
    </row>
    <row r="14" spans="1:6">
      <c r="B14" s="269" t="s">
        <v>6515</v>
      </c>
      <c r="C14" s="269" t="s">
        <v>2154</v>
      </c>
      <c r="D14" s="512">
        <v>3705691</v>
      </c>
      <c r="E14" s="512">
        <v>0</v>
      </c>
      <c r="F14" s="512">
        <v>3705691</v>
      </c>
    </row>
    <row r="15" spans="1:6">
      <c r="B15" s="510" t="s">
        <v>6515</v>
      </c>
      <c r="C15" s="510" t="s">
        <v>2146</v>
      </c>
      <c r="D15" s="511">
        <v>248171</v>
      </c>
      <c r="E15" s="511">
        <v>0</v>
      </c>
      <c r="F15" s="511">
        <v>248171</v>
      </c>
    </row>
    <row r="16" spans="1:6">
      <c r="B16" s="269" t="s">
        <v>1867</v>
      </c>
      <c r="C16" s="269" t="s">
        <v>2147</v>
      </c>
      <c r="D16" s="512">
        <v>2186850</v>
      </c>
      <c r="E16" s="512">
        <v>0</v>
      </c>
      <c r="F16" s="512">
        <v>2186850</v>
      </c>
    </row>
    <row r="17" spans="2:6">
      <c r="B17" s="510" t="s">
        <v>1867</v>
      </c>
      <c r="C17" s="510" t="s">
        <v>2148</v>
      </c>
      <c r="D17" s="511">
        <v>493004</v>
      </c>
      <c r="E17" s="511">
        <v>0</v>
      </c>
      <c r="F17" s="511">
        <v>493004</v>
      </c>
    </row>
    <row r="18" spans="2:6">
      <c r="B18" s="269" t="s">
        <v>1867</v>
      </c>
      <c r="C18" s="269" t="s">
        <v>2180</v>
      </c>
      <c r="D18" s="512">
        <v>37500</v>
      </c>
      <c r="E18" s="512">
        <v>0</v>
      </c>
      <c r="F18" s="512">
        <v>37500</v>
      </c>
    </row>
    <row r="19" spans="2:6">
      <c r="B19" s="510" t="s">
        <v>1867</v>
      </c>
      <c r="C19" s="510" t="s">
        <v>2182</v>
      </c>
      <c r="D19" s="511">
        <v>18000</v>
      </c>
      <c r="E19" s="511">
        <v>0</v>
      </c>
      <c r="F19" s="511">
        <v>18000</v>
      </c>
    </row>
    <row r="20" spans="2:6">
      <c r="B20" s="269" t="s">
        <v>1868</v>
      </c>
      <c r="C20" s="269" t="s">
        <v>2137</v>
      </c>
      <c r="D20" s="512">
        <v>2113245</v>
      </c>
      <c r="E20" s="512">
        <v>0</v>
      </c>
      <c r="F20" s="512">
        <v>2113245</v>
      </c>
    </row>
    <row r="21" spans="2:6">
      <c r="B21" s="510" t="s">
        <v>1868</v>
      </c>
      <c r="C21" s="510" t="s">
        <v>2141</v>
      </c>
      <c r="D21" s="511">
        <v>76598</v>
      </c>
      <c r="E21" s="511">
        <v>0</v>
      </c>
      <c r="F21" s="511">
        <v>76598</v>
      </c>
    </row>
    <row r="22" spans="2:6">
      <c r="B22" s="269" t="s">
        <v>1872</v>
      </c>
      <c r="C22" s="269" t="s">
        <v>2137</v>
      </c>
      <c r="D22" s="512">
        <v>1386996</v>
      </c>
      <c r="E22" s="512">
        <v>0</v>
      </c>
      <c r="F22" s="512">
        <v>1386996</v>
      </c>
    </row>
    <row r="23" spans="2:6">
      <c r="B23" s="510" t="s">
        <v>1872</v>
      </c>
      <c r="C23" s="510" t="s">
        <v>2165</v>
      </c>
      <c r="D23" s="511">
        <v>5225</v>
      </c>
      <c r="E23" s="511">
        <v>0</v>
      </c>
      <c r="F23" s="511">
        <v>5225</v>
      </c>
    </row>
    <row r="24" spans="2:6">
      <c r="B24" s="269" t="s">
        <v>1872</v>
      </c>
      <c r="C24" s="269" t="s">
        <v>2141</v>
      </c>
      <c r="D24" s="512">
        <v>35</v>
      </c>
      <c r="E24" s="512">
        <v>0</v>
      </c>
      <c r="F24" s="512">
        <v>35</v>
      </c>
    </row>
    <row r="25" spans="2:6">
      <c r="B25" s="510" t="s">
        <v>1875</v>
      </c>
      <c r="C25" s="510" t="s">
        <v>2144</v>
      </c>
      <c r="D25" s="511">
        <v>480808</v>
      </c>
      <c r="E25" s="511">
        <v>0</v>
      </c>
      <c r="F25" s="511">
        <v>480808</v>
      </c>
    </row>
    <row r="26" spans="2:6">
      <c r="B26" s="269" t="s">
        <v>1875</v>
      </c>
      <c r="C26" s="269" t="s">
        <v>2151</v>
      </c>
      <c r="D26" s="512">
        <v>397937</v>
      </c>
      <c r="E26" s="512">
        <v>0</v>
      </c>
      <c r="F26" s="512">
        <v>397937</v>
      </c>
    </row>
    <row r="27" spans="2:6">
      <c r="B27" s="510" t="s">
        <v>1875</v>
      </c>
      <c r="C27" s="510" t="s">
        <v>2137</v>
      </c>
      <c r="D27" s="511">
        <v>67321</v>
      </c>
      <c r="E27" s="511">
        <v>0</v>
      </c>
      <c r="F27" s="511">
        <v>67321</v>
      </c>
    </row>
    <row r="28" spans="2:6">
      <c r="B28" s="269" t="s">
        <v>1875</v>
      </c>
      <c r="C28" s="269" t="s">
        <v>2165</v>
      </c>
      <c r="D28" s="512">
        <v>46211</v>
      </c>
      <c r="E28" s="512">
        <v>0</v>
      </c>
      <c r="F28" s="512">
        <v>46211</v>
      </c>
    </row>
    <row r="29" spans="2:6">
      <c r="B29" s="510" t="s">
        <v>1875</v>
      </c>
      <c r="C29" s="510" t="s">
        <v>2168</v>
      </c>
      <c r="D29" s="511">
        <v>44972</v>
      </c>
      <c r="E29" s="511">
        <v>0</v>
      </c>
      <c r="F29" s="511">
        <v>44972</v>
      </c>
    </row>
    <row r="30" spans="2:6">
      <c r="B30" s="269" t="s">
        <v>1875</v>
      </c>
      <c r="C30" s="269" t="s">
        <v>2136</v>
      </c>
      <c r="D30" s="512">
        <v>31080</v>
      </c>
      <c r="E30" s="512">
        <v>0</v>
      </c>
      <c r="F30" s="512">
        <v>31080</v>
      </c>
    </row>
    <row r="31" spans="2:6">
      <c r="B31" s="510" t="s">
        <v>1875</v>
      </c>
      <c r="C31" s="510" t="s">
        <v>2190</v>
      </c>
      <c r="D31" s="511">
        <v>27855</v>
      </c>
      <c r="E31" s="511">
        <v>0</v>
      </c>
      <c r="F31" s="511">
        <v>27855</v>
      </c>
    </row>
    <row r="32" spans="2:6">
      <c r="B32" s="269" t="s">
        <v>1875</v>
      </c>
      <c r="C32" s="269" t="s">
        <v>2141</v>
      </c>
      <c r="D32" s="512">
        <v>105</v>
      </c>
      <c r="E32" s="512">
        <v>0</v>
      </c>
      <c r="F32" s="512">
        <v>105</v>
      </c>
    </row>
    <row r="33" spans="2:6">
      <c r="B33" s="510" t="s">
        <v>1876</v>
      </c>
      <c r="C33" s="510" t="s">
        <v>2137</v>
      </c>
      <c r="D33" s="511">
        <v>922640</v>
      </c>
      <c r="E33" s="511">
        <v>0</v>
      </c>
      <c r="F33" s="511">
        <v>922640</v>
      </c>
    </row>
    <row r="34" spans="2:6">
      <c r="B34" s="269" t="s">
        <v>1904</v>
      </c>
      <c r="C34" s="269" t="s">
        <v>2143</v>
      </c>
      <c r="D34" s="512">
        <v>382773</v>
      </c>
      <c r="E34" s="512">
        <v>0</v>
      </c>
      <c r="F34" s="512">
        <v>382773</v>
      </c>
    </row>
    <row r="35" spans="2:6">
      <c r="B35" s="510" t="s">
        <v>1904</v>
      </c>
      <c r="C35" s="510" t="s">
        <v>3827</v>
      </c>
      <c r="D35" s="511">
        <v>196800</v>
      </c>
      <c r="E35" s="511">
        <v>0</v>
      </c>
      <c r="F35" s="511">
        <v>196800</v>
      </c>
    </row>
    <row r="36" spans="2:6">
      <c r="B36" s="269" t="s">
        <v>1904</v>
      </c>
      <c r="C36" s="269" t="s">
        <v>2154</v>
      </c>
      <c r="D36" s="512">
        <v>160094</v>
      </c>
      <c r="E36" s="512">
        <v>0</v>
      </c>
      <c r="F36" s="512">
        <v>160094</v>
      </c>
    </row>
    <row r="37" spans="2:6">
      <c r="B37" s="510" t="s">
        <v>1904</v>
      </c>
      <c r="C37" s="510" t="s">
        <v>2146</v>
      </c>
      <c r="D37" s="511">
        <v>21973</v>
      </c>
      <c r="E37" s="511">
        <v>0</v>
      </c>
      <c r="F37" s="511">
        <v>21973</v>
      </c>
    </row>
    <row r="38" spans="2:6">
      <c r="B38" s="269" t="s">
        <v>1904</v>
      </c>
      <c r="C38" s="269" t="s">
        <v>2167</v>
      </c>
      <c r="D38" s="512">
        <v>14700</v>
      </c>
      <c r="E38" s="512">
        <v>0</v>
      </c>
      <c r="F38" s="512">
        <v>14700</v>
      </c>
    </row>
    <row r="39" spans="2:6">
      <c r="B39" s="510" t="s">
        <v>1904</v>
      </c>
      <c r="C39" s="510" t="s">
        <v>2169</v>
      </c>
      <c r="D39" s="511">
        <v>2100</v>
      </c>
      <c r="E39" s="511">
        <v>0</v>
      </c>
      <c r="F39" s="511">
        <v>2100</v>
      </c>
    </row>
    <row r="40" spans="2:6">
      <c r="B40" s="269" t="s">
        <v>1881</v>
      </c>
      <c r="C40" s="269" t="s">
        <v>2137</v>
      </c>
      <c r="D40" s="512">
        <v>503114</v>
      </c>
      <c r="E40" s="512">
        <v>0</v>
      </c>
      <c r="F40" s="512">
        <v>503114</v>
      </c>
    </row>
    <row r="41" spans="2:6">
      <c r="B41" s="510" t="s">
        <v>1881</v>
      </c>
      <c r="C41" s="510" t="s">
        <v>2141</v>
      </c>
      <c r="D41" s="511">
        <v>7859</v>
      </c>
      <c r="E41" s="511">
        <v>0</v>
      </c>
      <c r="F41" s="511">
        <v>7859</v>
      </c>
    </row>
    <row r="42" spans="2:6">
      <c r="B42" s="269" t="s">
        <v>1882</v>
      </c>
      <c r="C42" s="269" t="s">
        <v>2149</v>
      </c>
      <c r="D42" s="512">
        <v>500000</v>
      </c>
      <c r="E42" s="512">
        <v>0</v>
      </c>
      <c r="F42" s="512">
        <v>500000</v>
      </c>
    </row>
    <row r="43" spans="2:6">
      <c r="B43" s="510" t="s">
        <v>3843</v>
      </c>
      <c r="C43" s="510" t="s">
        <v>3825</v>
      </c>
      <c r="D43" s="511">
        <v>413000</v>
      </c>
      <c r="E43" s="511">
        <v>0</v>
      </c>
      <c r="F43" s="511">
        <v>413000</v>
      </c>
    </row>
    <row r="44" spans="2:6">
      <c r="B44" s="269" t="s">
        <v>3844</v>
      </c>
      <c r="C44" s="269" t="s">
        <v>2154</v>
      </c>
      <c r="D44" s="512">
        <v>403928</v>
      </c>
      <c r="E44" s="512">
        <v>0</v>
      </c>
      <c r="F44" s="512">
        <v>403928</v>
      </c>
    </row>
    <row r="45" spans="2:6">
      <c r="B45" s="510" t="s">
        <v>3845</v>
      </c>
      <c r="C45" s="510" t="s">
        <v>2154</v>
      </c>
      <c r="D45" s="511">
        <v>394144</v>
      </c>
      <c r="E45" s="511">
        <v>0</v>
      </c>
      <c r="F45" s="511">
        <v>394144</v>
      </c>
    </row>
    <row r="46" spans="2:6">
      <c r="B46" s="269" t="s">
        <v>1888</v>
      </c>
      <c r="C46" s="269" t="s">
        <v>2137</v>
      </c>
      <c r="D46" s="512">
        <v>381299</v>
      </c>
      <c r="E46" s="512">
        <v>0</v>
      </c>
      <c r="F46" s="512">
        <v>381299</v>
      </c>
    </row>
    <row r="47" spans="2:6">
      <c r="B47" s="510" t="s">
        <v>1960</v>
      </c>
      <c r="C47" s="510" t="s">
        <v>3827</v>
      </c>
      <c r="D47" s="511">
        <v>323916</v>
      </c>
      <c r="E47" s="511">
        <v>0</v>
      </c>
      <c r="F47" s="511">
        <v>323916</v>
      </c>
    </row>
    <row r="48" spans="2:6">
      <c r="B48" s="269" t="s">
        <v>1960</v>
      </c>
      <c r="C48" s="269" t="s">
        <v>2157</v>
      </c>
      <c r="D48" s="512">
        <v>26363</v>
      </c>
      <c r="E48" s="512">
        <v>0</v>
      </c>
      <c r="F48" s="512">
        <v>26363</v>
      </c>
    </row>
    <row r="49" spans="2:6">
      <c r="B49" s="510" t="s">
        <v>1960</v>
      </c>
      <c r="C49" s="510" t="s">
        <v>2167</v>
      </c>
      <c r="D49" s="511">
        <v>9450</v>
      </c>
      <c r="E49" s="511">
        <v>0</v>
      </c>
      <c r="F49" s="511">
        <v>9450</v>
      </c>
    </row>
    <row r="50" spans="2:6">
      <c r="B50" s="269" t="s">
        <v>1960</v>
      </c>
      <c r="C50" s="269" t="s">
        <v>2169</v>
      </c>
      <c r="D50" s="512">
        <v>1575</v>
      </c>
      <c r="E50" s="512">
        <v>0</v>
      </c>
      <c r="F50" s="512">
        <v>1575</v>
      </c>
    </row>
    <row r="51" spans="2:6">
      <c r="B51" s="510" t="s">
        <v>1892</v>
      </c>
      <c r="C51" s="510" t="s">
        <v>2137</v>
      </c>
      <c r="D51" s="511">
        <v>300885</v>
      </c>
      <c r="E51" s="511">
        <v>0</v>
      </c>
      <c r="F51" s="511">
        <v>300885</v>
      </c>
    </row>
    <row r="52" spans="2:6">
      <c r="B52" s="269" t="s">
        <v>3846</v>
      </c>
      <c r="C52" s="269" t="s">
        <v>3827</v>
      </c>
      <c r="D52" s="512">
        <v>273461</v>
      </c>
      <c r="E52" s="512">
        <v>0</v>
      </c>
      <c r="F52" s="512">
        <v>273461</v>
      </c>
    </row>
    <row r="53" spans="2:6">
      <c r="B53" s="510" t="s">
        <v>3846</v>
      </c>
      <c r="C53" s="510" t="s">
        <v>2167</v>
      </c>
      <c r="D53" s="511">
        <v>12000</v>
      </c>
      <c r="E53" s="511">
        <v>0</v>
      </c>
      <c r="F53" s="511">
        <v>12000</v>
      </c>
    </row>
    <row r="54" spans="2:6">
      <c r="B54" s="269" t="s">
        <v>3846</v>
      </c>
      <c r="C54" s="269" t="s">
        <v>2169</v>
      </c>
      <c r="D54" s="512">
        <v>2000</v>
      </c>
      <c r="E54" s="512">
        <v>0</v>
      </c>
      <c r="F54" s="512">
        <v>2000</v>
      </c>
    </row>
    <row r="55" spans="2:6">
      <c r="B55" s="510" t="s">
        <v>184</v>
      </c>
      <c r="C55" s="510" t="s">
        <v>2168</v>
      </c>
      <c r="D55" s="511">
        <v>126937</v>
      </c>
      <c r="E55" s="511">
        <v>0</v>
      </c>
      <c r="F55" s="511">
        <v>126937</v>
      </c>
    </row>
    <row r="56" spans="2:6">
      <c r="B56" s="269" t="s">
        <v>184</v>
      </c>
      <c r="C56" s="269" t="s">
        <v>2165</v>
      </c>
      <c r="D56" s="512">
        <v>126937</v>
      </c>
      <c r="E56" s="512">
        <v>0</v>
      </c>
      <c r="F56" s="512">
        <v>126937</v>
      </c>
    </row>
    <row r="57" spans="2:6">
      <c r="B57" s="510" t="s">
        <v>116</v>
      </c>
      <c r="C57" s="510" t="s">
        <v>2168</v>
      </c>
      <c r="D57" s="511">
        <v>105816</v>
      </c>
      <c r="E57" s="511">
        <v>0</v>
      </c>
      <c r="F57" s="511">
        <v>105816</v>
      </c>
    </row>
    <row r="58" spans="2:6">
      <c r="B58" s="269" t="s">
        <v>116</v>
      </c>
      <c r="C58" s="269" t="s">
        <v>2165</v>
      </c>
      <c r="D58" s="512">
        <v>82516</v>
      </c>
      <c r="E58" s="512">
        <v>0</v>
      </c>
      <c r="F58" s="512">
        <v>82516</v>
      </c>
    </row>
    <row r="59" spans="2:6">
      <c r="B59" s="510" t="s">
        <v>116</v>
      </c>
      <c r="C59" s="510" t="s">
        <v>2178</v>
      </c>
      <c r="D59" s="511">
        <v>25194</v>
      </c>
      <c r="E59" s="511">
        <v>0</v>
      </c>
      <c r="F59" s="511">
        <v>25194</v>
      </c>
    </row>
    <row r="60" spans="2:6">
      <c r="B60" s="269" t="s">
        <v>116</v>
      </c>
      <c r="C60" s="269" t="s">
        <v>3825</v>
      </c>
      <c r="D60" s="512">
        <v>22050</v>
      </c>
      <c r="E60" s="512">
        <v>0</v>
      </c>
      <c r="F60" s="512">
        <v>22050</v>
      </c>
    </row>
    <row r="61" spans="2:6">
      <c r="B61" s="510" t="s">
        <v>116</v>
      </c>
      <c r="C61" s="510" t="s">
        <v>2144</v>
      </c>
      <c r="D61" s="511">
        <v>9880</v>
      </c>
      <c r="E61" s="511">
        <v>0</v>
      </c>
      <c r="F61" s="511">
        <v>9880</v>
      </c>
    </row>
    <row r="62" spans="2:6">
      <c r="B62" s="269" t="s">
        <v>116</v>
      </c>
      <c r="C62" s="269" t="s">
        <v>2136</v>
      </c>
      <c r="D62" s="512">
        <v>296</v>
      </c>
      <c r="E62" s="512">
        <v>0</v>
      </c>
      <c r="F62" s="512">
        <v>296</v>
      </c>
    </row>
    <row r="63" spans="2:6">
      <c r="B63" s="510" t="s">
        <v>2071</v>
      </c>
      <c r="C63" s="510" t="s">
        <v>2138</v>
      </c>
      <c r="D63" s="511">
        <v>131616</v>
      </c>
      <c r="E63" s="511">
        <v>0</v>
      </c>
      <c r="F63" s="511">
        <v>131616</v>
      </c>
    </row>
    <row r="64" spans="2:6">
      <c r="B64" s="269" t="s">
        <v>2071</v>
      </c>
      <c r="C64" s="269" t="s">
        <v>3827</v>
      </c>
      <c r="D64" s="512">
        <v>44905</v>
      </c>
      <c r="E64" s="512">
        <v>0</v>
      </c>
      <c r="F64" s="512">
        <v>44905</v>
      </c>
    </row>
    <row r="65" spans="2:6">
      <c r="B65" s="510" t="s">
        <v>2071</v>
      </c>
      <c r="C65" s="510" t="s">
        <v>2143</v>
      </c>
      <c r="D65" s="511">
        <v>37599</v>
      </c>
      <c r="E65" s="511">
        <v>0</v>
      </c>
      <c r="F65" s="511">
        <v>37599</v>
      </c>
    </row>
    <row r="66" spans="2:6">
      <c r="B66" s="269" t="s">
        <v>2071</v>
      </c>
      <c r="C66" s="269" t="s">
        <v>2141</v>
      </c>
      <c r="D66" s="512">
        <v>7965</v>
      </c>
      <c r="E66" s="512">
        <v>0</v>
      </c>
      <c r="F66" s="512">
        <v>7965</v>
      </c>
    </row>
    <row r="67" spans="2:6">
      <c r="B67" s="510" t="s">
        <v>2071</v>
      </c>
      <c r="C67" s="510" t="s">
        <v>2167</v>
      </c>
      <c r="D67" s="511">
        <v>4900</v>
      </c>
      <c r="E67" s="511">
        <v>0</v>
      </c>
      <c r="F67" s="511">
        <v>4900</v>
      </c>
    </row>
    <row r="68" spans="2:6">
      <c r="B68" s="269" t="s">
        <v>2071</v>
      </c>
      <c r="C68" s="269" t="s">
        <v>2146</v>
      </c>
      <c r="D68" s="512">
        <v>4214</v>
      </c>
      <c r="E68" s="512">
        <v>0</v>
      </c>
      <c r="F68" s="512">
        <v>4214</v>
      </c>
    </row>
    <row r="69" spans="2:6">
      <c r="B69" s="510" t="s">
        <v>2071</v>
      </c>
      <c r="C69" s="510" t="s">
        <v>2176</v>
      </c>
      <c r="D69" s="511">
        <v>772</v>
      </c>
      <c r="E69" s="511">
        <v>0</v>
      </c>
      <c r="F69" s="511">
        <v>772</v>
      </c>
    </row>
    <row r="70" spans="2:6">
      <c r="B70" s="269" t="s">
        <v>2071</v>
      </c>
      <c r="C70" s="269" t="s">
        <v>2154</v>
      </c>
      <c r="D70" s="512">
        <v>704</v>
      </c>
      <c r="E70" s="512">
        <v>0</v>
      </c>
      <c r="F70" s="512">
        <v>704</v>
      </c>
    </row>
    <row r="71" spans="2:6">
      <c r="B71" s="510" t="s">
        <v>2071</v>
      </c>
      <c r="C71" s="510" t="s">
        <v>2169</v>
      </c>
      <c r="D71" s="511">
        <v>700</v>
      </c>
      <c r="E71" s="511">
        <v>0</v>
      </c>
      <c r="F71" s="511">
        <v>700</v>
      </c>
    </row>
    <row r="72" spans="2:6">
      <c r="B72" s="269" t="s">
        <v>2071</v>
      </c>
      <c r="C72" s="269" t="s">
        <v>2165</v>
      </c>
      <c r="D72" s="512">
        <v>138</v>
      </c>
      <c r="E72" s="512">
        <v>0</v>
      </c>
      <c r="F72" s="512">
        <v>138</v>
      </c>
    </row>
    <row r="73" spans="2:6">
      <c r="B73" s="510" t="s">
        <v>2071</v>
      </c>
      <c r="C73" s="510" t="s">
        <v>2168</v>
      </c>
      <c r="D73" s="511">
        <v>138</v>
      </c>
      <c r="E73" s="511">
        <v>0</v>
      </c>
      <c r="F73" s="511">
        <v>138</v>
      </c>
    </row>
    <row r="74" spans="2:6">
      <c r="B74" s="269" t="s">
        <v>3847</v>
      </c>
      <c r="C74" s="269" t="s">
        <v>3825</v>
      </c>
      <c r="D74" s="512">
        <v>199050</v>
      </c>
      <c r="E74" s="512">
        <v>0</v>
      </c>
      <c r="F74" s="512">
        <v>199050</v>
      </c>
    </row>
    <row r="75" spans="2:6">
      <c r="B75" s="510" t="s">
        <v>284</v>
      </c>
      <c r="C75" s="510" t="s">
        <v>3825</v>
      </c>
      <c r="D75" s="511">
        <v>189750</v>
      </c>
      <c r="E75" s="511">
        <v>0</v>
      </c>
      <c r="F75" s="511">
        <v>189750</v>
      </c>
    </row>
    <row r="76" spans="2:6">
      <c r="B76" s="269" t="s">
        <v>284</v>
      </c>
      <c r="C76" s="269" t="s">
        <v>2165</v>
      </c>
      <c r="D76" s="512">
        <v>3656</v>
      </c>
      <c r="E76" s="512">
        <v>0</v>
      </c>
      <c r="F76" s="512">
        <v>3656</v>
      </c>
    </row>
    <row r="77" spans="2:6">
      <c r="B77" s="510" t="s">
        <v>284</v>
      </c>
      <c r="C77" s="510" t="s">
        <v>2168</v>
      </c>
      <c r="D77" s="511">
        <v>3656</v>
      </c>
      <c r="E77" s="511">
        <v>0</v>
      </c>
      <c r="F77" s="511">
        <v>3656</v>
      </c>
    </row>
    <row r="78" spans="2:6">
      <c r="B78" s="269" t="s">
        <v>368</v>
      </c>
      <c r="C78" s="269" t="s">
        <v>3825</v>
      </c>
      <c r="D78" s="512">
        <v>191050</v>
      </c>
      <c r="E78" s="512">
        <v>0</v>
      </c>
      <c r="F78" s="512">
        <v>191050</v>
      </c>
    </row>
    <row r="79" spans="2:6">
      <c r="B79" s="510" t="s">
        <v>368</v>
      </c>
      <c r="C79" s="510" t="s">
        <v>2165</v>
      </c>
      <c r="D79" s="511">
        <v>222</v>
      </c>
      <c r="E79" s="511">
        <v>0</v>
      </c>
      <c r="F79" s="511">
        <v>222</v>
      </c>
    </row>
    <row r="80" spans="2:6">
      <c r="B80" s="269" t="s">
        <v>1907</v>
      </c>
      <c r="C80" s="269" t="s">
        <v>2138</v>
      </c>
      <c r="D80" s="512">
        <v>62599</v>
      </c>
      <c r="E80" s="512">
        <v>0</v>
      </c>
      <c r="F80" s="512">
        <v>62599</v>
      </c>
    </row>
    <row r="81" spans="2:6">
      <c r="B81" s="510" t="s">
        <v>1907</v>
      </c>
      <c r="C81" s="510" t="s">
        <v>2143</v>
      </c>
      <c r="D81" s="511">
        <v>59636</v>
      </c>
      <c r="E81" s="511">
        <v>0</v>
      </c>
      <c r="F81" s="511">
        <v>59636</v>
      </c>
    </row>
    <row r="82" spans="2:6">
      <c r="B82" s="269" t="s">
        <v>1907</v>
      </c>
      <c r="C82" s="269" t="s">
        <v>3827</v>
      </c>
      <c r="D82" s="512">
        <v>55261</v>
      </c>
      <c r="E82" s="512">
        <v>0</v>
      </c>
      <c r="F82" s="512">
        <v>55261</v>
      </c>
    </row>
    <row r="83" spans="2:6">
      <c r="B83" s="510" t="s">
        <v>1907</v>
      </c>
      <c r="C83" s="510" t="s">
        <v>2167</v>
      </c>
      <c r="D83" s="511">
        <v>5950</v>
      </c>
      <c r="E83" s="511">
        <v>0</v>
      </c>
      <c r="F83" s="511">
        <v>5950</v>
      </c>
    </row>
    <row r="84" spans="2:6">
      <c r="B84" s="269" t="s">
        <v>1907</v>
      </c>
      <c r="C84" s="269" t="s">
        <v>2154</v>
      </c>
      <c r="D84" s="512">
        <v>4081</v>
      </c>
      <c r="E84" s="512">
        <v>0</v>
      </c>
      <c r="F84" s="512">
        <v>4081</v>
      </c>
    </row>
    <row r="85" spans="2:6">
      <c r="B85" s="510" t="s">
        <v>1907</v>
      </c>
      <c r="C85" s="510" t="s">
        <v>2169</v>
      </c>
      <c r="D85" s="511">
        <v>850</v>
      </c>
      <c r="E85" s="511">
        <v>0</v>
      </c>
      <c r="F85" s="511">
        <v>850</v>
      </c>
    </row>
    <row r="86" spans="2:6">
      <c r="B86" s="269" t="s">
        <v>3848</v>
      </c>
      <c r="C86" s="269" t="s">
        <v>3825</v>
      </c>
      <c r="D86" s="512">
        <v>184000</v>
      </c>
      <c r="E86" s="512">
        <v>0</v>
      </c>
      <c r="F86" s="512">
        <v>184000</v>
      </c>
    </row>
    <row r="87" spans="2:6">
      <c r="B87" s="510" t="s">
        <v>1895</v>
      </c>
      <c r="C87" s="510" t="s">
        <v>2165</v>
      </c>
      <c r="D87" s="511">
        <v>137467</v>
      </c>
      <c r="E87" s="511">
        <v>0</v>
      </c>
      <c r="F87" s="511">
        <v>137467</v>
      </c>
    </row>
    <row r="88" spans="2:6">
      <c r="B88" s="269" t="s">
        <v>1895</v>
      </c>
      <c r="C88" s="269" t="s">
        <v>2168</v>
      </c>
      <c r="D88" s="512">
        <v>46253</v>
      </c>
      <c r="E88" s="512">
        <v>0</v>
      </c>
      <c r="F88" s="512">
        <v>46253</v>
      </c>
    </row>
    <row r="89" spans="2:6">
      <c r="B89" s="510" t="s">
        <v>140</v>
      </c>
      <c r="C89" s="510" t="s">
        <v>2168</v>
      </c>
      <c r="D89" s="511">
        <v>82158</v>
      </c>
      <c r="E89" s="511">
        <v>0</v>
      </c>
      <c r="F89" s="511">
        <v>82158</v>
      </c>
    </row>
    <row r="90" spans="2:6">
      <c r="B90" s="269" t="s">
        <v>140</v>
      </c>
      <c r="C90" s="269" t="s">
        <v>2165</v>
      </c>
      <c r="D90" s="512">
        <v>82158</v>
      </c>
      <c r="E90" s="512">
        <v>0</v>
      </c>
      <c r="F90" s="512">
        <v>82158</v>
      </c>
    </row>
    <row r="91" spans="2:6">
      <c r="B91" s="510" t="s">
        <v>172</v>
      </c>
      <c r="C91" s="510" t="s">
        <v>2165</v>
      </c>
      <c r="D91" s="511">
        <v>80678</v>
      </c>
      <c r="E91" s="511">
        <v>0</v>
      </c>
      <c r="F91" s="511">
        <v>80678</v>
      </c>
    </row>
    <row r="92" spans="2:6">
      <c r="B92" s="269" t="s">
        <v>172</v>
      </c>
      <c r="C92" s="269" t="s">
        <v>2168</v>
      </c>
      <c r="D92" s="512">
        <v>80677</v>
      </c>
      <c r="E92" s="512">
        <v>0</v>
      </c>
      <c r="F92" s="512">
        <v>80677</v>
      </c>
    </row>
    <row r="93" spans="2:6">
      <c r="B93" s="510" t="s">
        <v>1898</v>
      </c>
      <c r="C93" s="510" t="s">
        <v>2165</v>
      </c>
      <c r="D93" s="511">
        <v>75126</v>
      </c>
      <c r="E93" s="511">
        <v>0</v>
      </c>
      <c r="F93" s="511">
        <v>75126</v>
      </c>
    </row>
    <row r="94" spans="2:6">
      <c r="B94" s="269" t="s">
        <v>1898</v>
      </c>
      <c r="C94" s="269" t="s">
        <v>2168</v>
      </c>
      <c r="D94" s="512">
        <v>75126</v>
      </c>
      <c r="E94" s="512">
        <v>0</v>
      </c>
      <c r="F94" s="512">
        <v>75126</v>
      </c>
    </row>
    <row r="95" spans="2:6">
      <c r="B95" s="510" t="s">
        <v>1898</v>
      </c>
      <c r="C95" s="510" t="s">
        <v>2157</v>
      </c>
      <c r="D95" s="511">
        <v>3677</v>
      </c>
      <c r="E95" s="511">
        <v>0</v>
      </c>
      <c r="F95" s="511">
        <v>3677</v>
      </c>
    </row>
    <row r="96" spans="2:6">
      <c r="B96" s="269" t="s">
        <v>1900</v>
      </c>
      <c r="C96" s="269" t="s">
        <v>2171</v>
      </c>
      <c r="D96" s="512">
        <v>150000</v>
      </c>
      <c r="E96" s="512">
        <v>0</v>
      </c>
      <c r="F96" s="512">
        <v>150000</v>
      </c>
    </row>
    <row r="97" spans="2:6">
      <c r="B97" s="510" t="s">
        <v>556</v>
      </c>
      <c r="C97" s="510" t="s">
        <v>3825</v>
      </c>
      <c r="D97" s="511">
        <v>145050</v>
      </c>
      <c r="E97" s="511">
        <v>0</v>
      </c>
      <c r="F97" s="511">
        <v>145050</v>
      </c>
    </row>
    <row r="98" spans="2:6">
      <c r="B98" s="269" t="s">
        <v>119</v>
      </c>
      <c r="C98" s="269" t="s">
        <v>2138</v>
      </c>
      <c r="D98" s="512">
        <v>127753</v>
      </c>
      <c r="E98" s="512">
        <v>0</v>
      </c>
      <c r="F98" s="512">
        <v>127753</v>
      </c>
    </row>
    <row r="99" spans="2:6">
      <c r="B99" s="510" t="s">
        <v>119</v>
      </c>
      <c r="C99" s="510" t="s">
        <v>2162</v>
      </c>
      <c r="D99" s="511">
        <v>8302</v>
      </c>
      <c r="E99" s="511">
        <v>0</v>
      </c>
      <c r="F99" s="511">
        <v>8302</v>
      </c>
    </row>
    <row r="100" spans="2:6">
      <c r="B100" s="269" t="s">
        <v>119</v>
      </c>
      <c r="C100" s="269" t="s">
        <v>2187</v>
      </c>
      <c r="D100" s="512">
        <v>3733</v>
      </c>
      <c r="E100" s="512">
        <v>0</v>
      </c>
      <c r="F100" s="512">
        <v>3733</v>
      </c>
    </row>
    <row r="101" spans="2:6">
      <c r="B101" s="510" t="s">
        <v>119</v>
      </c>
      <c r="C101" s="510" t="s">
        <v>2165</v>
      </c>
      <c r="D101" s="511">
        <v>2894</v>
      </c>
      <c r="E101" s="511">
        <v>0</v>
      </c>
      <c r="F101" s="511">
        <v>2894</v>
      </c>
    </row>
    <row r="102" spans="2:6">
      <c r="B102" s="269" t="s">
        <v>119</v>
      </c>
      <c r="C102" s="269" t="s">
        <v>2178</v>
      </c>
      <c r="D102" s="512">
        <v>1430</v>
      </c>
      <c r="E102" s="512">
        <v>0</v>
      </c>
      <c r="F102" s="512">
        <v>1430</v>
      </c>
    </row>
    <row r="103" spans="2:6">
      <c r="B103" s="510" t="s">
        <v>3849</v>
      </c>
      <c r="C103" s="510" t="s">
        <v>3825</v>
      </c>
      <c r="D103" s="511">
        <v>143000</v>
      </c>
      <c r="E103" s="511">
        <v>0</v>
      </c>
      <c r="F103" s="511">
        <v>143000</v>
      </c>
    </row>
    <row r="104" spans="2:6">
      <c r="B104" s="269" t="s">
        <v>431</v>
      </c>
      <c r="C104" s="269" t="s">
        <v>3825</v>
      </c>
      <c r="D104" s="512">
        <v>132985</v>
      </c>
      <c r="E104" s="512">
        <v>0</v>
      </c>
      <c r="F104" s="512">
        <v>132985</v>
      </c>
    </row>
    <row r="105" spans="2:6">
      <c r="B105" s="510" t="s">
        <v>431</v>
      </c>
      <c r="C105" s="510" t="s">
        <v>2165</v>
      </c>
      <c r="D105" s="511">
        <v>15</v>
      </c>
      <c r="E105" s="511">
        <v>0</v>
      </c>
      <c r="F105" s="511">
        <v>15</v>
      </c>
    </row>
    <row r="106" spans="2:6">
      <c r="B106" s="269" t="s">
        <v>3850</v>
      </c>
      <c r="C106" s="269" t="s">
        <v>2154</v>
      </c>
      <c r="D106" s="512">
        <v>127513</v>
      </c>
      <c r="E106" s="512">
        <v>0</v>
      </c>
      <c r="F106" s="512">
        <v>127513</v>
      </c>
    </row>
    <row r="107" spans="2:6">
      <c r="B107" s="510" t="s">
        <v>1901</v>
      </c>
      <c r="C107" s="510" t="s">
        <v>2137</v>
      </c>
      <c r="D107" s="511">
        <v>126806</v>
      </c>
      <c r="E107" s="511">
        <v>0</v>
      </c>
      <c r="F107" s="511">
        <v>126806</v>
      </c>
    </row>
    <row r="108" spans="2:6">
      <c r="B108" s="269" t="s">
        <v>1902</v>
      </c>
      <c r="C108" s="269" t="s">
        <v>3825</v>
      </c>
      <c r="D108" s="512">
        <v>61650</v>
      </c>
      <c r="E108" s="512">
        <v>0</v>
      </c>
      <c r="F108" s="512">
        <v>61650</v>
      </c>
    </row>
    <row r="109" spans="2:6">
      <c r="B109" s="510" t="s">
        <v>1902</v>
      </c>
      <c r="C109" s="510" t="s">
        <v>2165</v>
      </c>
      <c r="D109" s="511">
        <v>27369</v>
      </c>
      <c r="E109" s="511">
        <v>0</v>
      </c>
      <c r="F109" s="511">
        <v>27369</v>
      </c>
    </row>
    <row r="110" spans="2:6">
      <c r="B110" s="269" t="s">
        <v>1902</v>
      </c>
      <c r="C110" s="269" t="s">
        <v>2168</v>
      </c>
      <c r="D110" s="512">
        <v>27369</v>
      </c>
      <c r="E110" s="512">
        <v>0</v>
      </c>
      <c r="F110" s="512">
        <v>27369</v>
      </c>
    </row>
    <row r="111" spans="2:6">
      <c r="B111" s="510" t="s">
        <v>1902</v>
      </c>
      <c r="C111" s="510" t="s">
        <v>2192</v>
      </c>
      <c r="D111" s="511">
        <v>9250</v>
      </c>
      <c r="E111" s="511">
        <v>0</v>
      </c>
      <c r="F111" s="511">
        <v>9250</v>
      </c>
    </row>
    <row r="112" spans="2:6">
      <c r="B112" s="269" t="s">
        <v>1903</v>
      </c>
      <c r="C112" s="269" t="s">
        <v>2168</v>
      </c>
      <c r="D112" s="512">
        <v>62578</v>
      </c>
      <c r="E112" s="512">
        <v>0</v>
      </c>
      <c r="F112" s="512">
        <v>62578</v>
      </c>
    </row>
    <row r="113" spans="2:6">
      <c r="B113" s="510" t="s">
        <v>1903</v>
      </c>
      <c r="C113" s="510" t="s">
        <v>2165</v>
      </c>
      <c r="D113" s="511">
        <v>62578</v>
      </c>
      <c r="E113" s="511">
        <v>0</v>
      </c>
      <c r="F113" s="511">
        <v>62578</v>
      </c>
    </row>
    <row r="114" spans="2:6">
      <c r="B114" s="269" t="s">
        <v>1905</v>
      </c>
      <c r="C114" s="269" t="s">
        <v>2168</v>
      </c>
      <c r="D114" s="512">
        <v>59548</v>
      </c>
      <c r="E114" s="512">
        <v>0</v>
      </c>
      <c r="F114" s="512">
        <v>59548</v>
      </c>
    </row>
    <row r="115" spans="2:6">
      <c r="B115" s="510" t="s">
        <v>1905</v>
      </c>
      <c r="C115" s="510" t="s">
        <v>2165</v>
      </c>
      <c r="D115" s="511">
        <v>59548</v>
      </c>
      <c r="E115" s="511">
        <v>0</v>
      </c>
      <c r="F115" s="511">
        <v>59548</v>
      </c>
    </row>
    <row r="116" spans="2:6">
      <c r="B116" s="269" t="s">
        <v>527</v>
      </c>
      <c r="C116" s="269" t="s">
        <v>2165</v>
      </c>
      <c r="D116" s="512">
        <v>48019</v>
      </c>
      <c r="E116" s="512">
        <v>0</v>
      </c>
      <c r="F116" s="512">
        <v>48019</v>
      </c>
    </row>
    <row r="117" spans="2:6">
      <c r="B117" s="510" t="s">
        <v>527</v>
      </c>
      <c r="C117" s="510" t="s">
        <v>2168</v>
      </c>
      <c r="D117" s="511">
        <v>48019</v>
      </c>
      <c r="E117" s="511">
        <v>0</v>
      </c>
      <c r="F117" s="511">
        <v>48019</v>
      </c>
    </row>
    <row r="118" spans="2:6">
      <c r="B118" s="269" t="s">
        <v>527</v>
      </c>
      <c r="C118" s="269" t="s">
        <v>2178</v>
      </c>
      <c r="D118" s="512">
        <v>10000</v>
      </c>
      <c r="E118" s="512">
        <v>0</v>
      </c>
      <c r="F118" s="512">
        <v>10000</v>
      </c>
    </row>
    <row r="119" spans="2:6">
      <c r="B119" s="510" t="s">
        <v>527</v>
      </c>
      <c r="C119" s="510" t="s">
        <v>2142</v>
      </c>
      <c r="D119" s="511">
        <v>9872</v>
      </c>
      <c r="E119" s="511">
        <v>0</v>
      </c>
      <c r="F119" s="511">
        <v>9872</v>
      </c>
    </row>
    <row r="120" spans="2:6">
      <c r="B120" s="269" t="s">
        <v>527</v>
      </c>
      <c r="C120" s="269" t="s">
        <v>2144</v>
      </c>
      <c r="D120" s="512">
        <v>1123</v>
      </c>
      <c r="E120" s="512">
        <v>0</v>
      </c>
      <c r="F120" s="512">
        <v>1123</v>
      </c>
    </row>
    <row r="121" spans="2:6">
      <c r="B121" s="510" t="s">
        <v>3851</v>
      </c>
      <c r="C121" s="510" t="s">
        <v>3825</v>
      </c>
      <c r="D121" s="511">
        <v>110000</v>
      </c>
      <c r="E121" s="511">
        <v>0</v>
      </c>
      <c r="F121" s="511">
        <v>110000</v>
      </c>
    </row>
    <row r="122" spans="2:6">
      <c r="B122" s="269" t="s">
        <v>1915</v>
      </c>
      <c r="C122" s="269" t="s">
        <v>2136</v>
      </c>
      <c r="D122" s="512">
        <v>35186</v>
      </c>
      <c r="E122" s="512">
        <v>0</v>
      </c>
      <c r="F122" s="512">
        <v>35186</v>
      </c>
    </row>
    <row r="123" spans="2:6">
      <c r="B123" s="510" t="s">
        <v>1915</v>
      </c>
      <c r="C123" s="510" t="s">
        <v>3827</v>
      </c>
      <c r="D123" s="511">
        <v>25555</v>
      </c>
      <c r="E123" s="511">
        <v>0</v>
      </c>
      <c r="F123" s="511">
        <v>25555</v>
      </c>
    </row>
    <row r="124" spans="2:6">
      <c r="B124" s="269" t="s">
        <v>1915</v>
      </c>
      <c r="C124" s="269" t="s">
        <v>2143</v>
      </c>
      <c r="D124" s="512">
        <v>11048</v>
      </c>
      <c r="E124" s="512">
        <v>0</v>
      </c>
      <c r="F124" s="512">
        <v>11048</v>
      </c>
    </row>
    <row r="125" spans="2:6">
      <c r="B125" s="510" t="s">
        <v>1915</v>
      </c>
      <c r="C125" s="510" t="s">
        <v>2152</v>
      </c>
      <c r="D125" s="511">
        <v>10000</v>
      </c>
      <c r="E125" s="511">
        <v>0</v>
      </c>
      <c r="F125" s="511">
        <v>10000</v>
      </c>
    </row>
    <row r="126" spans="2:6">
      <c r="B126" s="269" t="s">
        <v>1915</v>
      </c>
      <c r="C126" s="269" t="s">
        <v>2141</v>
      </c>
      <c r="D126" s="512">
        <v>8076</v>
      </c>
      <c r="E126" s="512">
        <v>0</v>
      </c>
      <c r="F126" s="512">
        <v>8076</v>
      </c>
    </row>
    <row r="127" spans="2:6">
      <c r="B127" s="510" t="s">
        <v>1915</v>
      </c>
      <c r="C127" s="510" t="s">
        <v>2154</v>
      </c>
      <c r="D127" s="511">
        <v>5230</v>
      </c>
      <c r="E127" s="511">
        <v>0</v>
      </c>
      <c r="F127" s="511">
        <v>5230</v>
      </c>
    </row>
    <row r="128" spans="2:6">
      <c r="B128" s="269" t="s">
        <v>1915</v>
      </c>
      <c r="C128" s="269" t="s">
        <v>2165</v>
      </c>
      <c r="D128" s="512">
        <v>4706</v>
      </c>
      <c r="E128" s="512">
        <v>0</v>
      </c>
      <c r="F128" s="512">
        <v>4706</v>
      </c>
    </row>
    <row r="129" spans="2:6">
      <c r="B129" s="510" t="s">
        <v>1915</v>
      </c>
      <c r="C129" s="510" t="s">
        <v>2168</v>
      </c>
      <c r="D129" s="511">
        <v>4706</v>
      </c>
      <c r="E129" s="511">
        <v>0</v>
      </c>
      <c r="F129" s="511">
        <v>4706</v>
      </c>
    </row>
    <row r="130" spans="2:6">
      <c r="B130" s="269" t="s">
        <v>1915</v>
      </c>
      <c r="C130" s="269" t="s">
        <v>2167</v>
      </c>
      <c r="D130" s="512">
        <v>2800</v>
      </c>
      <c r="E130" s="512">
        <v>0</v>
      </c>
      <c r="F130" s="512">
        <v>2800</v>
      </c>
    </row>
    <row r="131" spans="2:6">
      <c r="B131" s="510" t="s">
        <v>1915</v>
      </c>
      <c r="C131" s="510" t="s">
        <v>2144</v>
      </c>
      <c r="D131" s="511">
        <v>2235</v>
      </c>
      <c r="E131" s="511">
        <v>0</v>
      </c>
      <c r="F131" s="511">
        <v>2235</v>
      </c>
    </row>
    <row r="132" spans="2:6">
      <c r="B132" s="269" t="s">
        <v>1915</v>
      </c>
      <c r="C132" s="269" t="s">
        <v>2169</v>
      </c>
      <c r="D132" s="512">
        <v>400</v>
      </c>
      <c r="E132" s="512">
        <v>0</v>
      </c>
      <c r="F132" s="512">
        <v>400</v>
      </c>
    </row>
    <row r="133" spans="2:6">
      <c r="B133" s="510" t="s">
        <v>524</v>
      </c>
      <c r="C133" s="510" t="s">
        <v>2165</v>
      </c>
      <c r="D133" s="511">
        <v>91246</v>
      </c>
      <c r="E133" s="511">
        <v>0</v>
      </c>
      <c r="F133" s="511">
        <v>91246</v>
      </c>
    </row>
    <row r="134" spans="2:6">
      <c r="B134" s="269" t="s">
        <v>524</v>
      </c>
      <c r="C134" s="269" t="s">
        <v>3825</v>
      </c>
      <c r="D134" s="512">
        <v>17000</v>
      </c>
      <c r="E134" s="512">
        <v>0</v>
      </c>
      <c r="F134" s="512">
        <v>17000</v>
      </c>
    </row>
    <row r="135" spans="2:6">
      <c r="B135" s="510" t="s">
        <v>1931</v>
      </c>
      <c r="C135" s="510" t="s">
        <v>2165</v>
      </c>
      <c r="D135" s="511">
        <v>50701</v>
      </c>
      <c r="E135" s="511">
        <v>0</v>
      </c>
      <c r="F135" s="511">
        <v>50701</v>
      </c>
    </row>
    <row r="136" spans="2:6">
      <c r="B136" s="269" t="s">
        <v>1931</v>
      </c>
      <c r="C136" s="269" t="s">
        <v>2168</v>
      </c>
      <c r="D136" s="512">
        <v>50701</v>
      </c>
      <c r="E136" s="512">
        <v>0</v>
      </c>
      <c r="F136" s="512">
        <v>50701</v>
      </c>
    </row>
    <row r="137" spans="2:6">
      <c r="B137" s="510" t="s">
        <v>1931</v>
      </c>
      <c r="C137" s="510" t="s">
        <v>2178</v>
      </c>
      <c r="D137" s="511">
        <v>3997</v>
      </c>
      <c r="E137" s="511">
        <v>0</v>
      </c>
      <c r="F137" s="511">
        <v>3997</v>
      </c>
    </row>
    <row r="138" spans="2:6">
      <c r="B138" s="269" t="s">
        <v>3823</v>
      </c>
      <c r="C138" s="269" t="s">
        <v>2152</v>
      </c>
      <c r="D138" s="512">
        <v>75060</v>
      </c>
      <c r="E138" s="512">
        <v>0</v>
      </c>
      <c r="F138" s="512">
        <v>75060</v>
      </c>
    </row>
    <row r="139" spans="2:6">
      <c r="B139" s="510" t="s">
        <v>3823</v>
      </c>
      <c r="C139" s="510" t="s">
        <v>3827</v>
      </c>
      <c r="D139" s="511">
        <v>12679</v>
      </c>
      <c r="E139" s="511">
        <v>0</v>
      </c>
      <c r="F139" s="511">
        <v>12679</v>
      </c>
    </row>
    <row r="140" spans="2:6">
      <c r="B140" s="269" t="s">
        <v>3823</v>
      </c>
      <c r="C140" s="269" t="s">
        <v>2143</v>
      </c>
      <c r="D140" s="512">
        <v>10532</v>
      </c>
      <c r="E140" s="512">
        <v>0</v>
      </c>
      <c r="F140" s="512">
        <v>10532</v>
      </c>
    </row>
    <row r="141" spans="2:6">
      <c r="B141" s="510" t="s">
        <v>3823</v>
      </c>
      <c r="C141" s="510" t="s">
        <v>2167</v>
      </c>
      <c r="D141" s="511">
        <v>2100</v>
      </c>
      <c r="E141" s="511">
        <v>0</v>
      </c>
      <c r="F141" s="511">
        <v>2100</v>
      </c>
    </row>
    <row r="142" spans="2:6">
      <c r="B142" s="269" t="s">
        <v>3823</v>
      </c>
      <c r="C142" s="269" t="s">
        <v>2154</v>
      </c>
      <c r="D142" s="512">
        <v>1943</v>
      </c>
      <c r="E142" s="512">
        <v>0</v>
      </c>
      <c r="F142" s="512">
        <v>1943</v>
      </c>
    </row>
    <row r="143" spans="2:6">
      <c r="B143" s="510" t="s">
        <v>3823</v>
      </c>
      <c r="C143" s="510" t="s">
        <v>2146</v>
      </c>
      <c r="D143" s="511">
        <v>530</v>
      </c>
      <c r="E143" s="511">
        <v>0</v>
      </c>
      <c r="F143" s="511">
        <v>530</v>
      </c>
    </row>
    <row r="144" spans="2:6">
      <c r="B144" s="269" t="s">
        <v>3823</v>
      </c>
      <c r="C144" s="269" t="s">
        <v>2169</v>
      </c>
      <c r="D144" s="512">
        <v>300</v>
      </c>
      <c r="E144" s="512">
        <v>0</v>
      </c>
      <c r="F144" s="512">
        <v>300</v>
      </c>
    </row>
    <row r="145" spans="2:6">
      <c r="B145" s="510" t="s">
        <v>1928</v>
      </c>
      <c r="C145" s="510" t="s">
        <v>2165</v>
      </c>
      <c r="D145" s="511">
        <v>56231</v>
      </c>
      <c r="E145" s="511">
        <v>0</v>
      </c>
      <c r="F145" s="511">
        <v>56231</v>
      </c>
    </row>
    <row r="146" spans="2:6">
      <c r="B146" s="269" t="s">
        <v>1928</v>
      </c>
      <c r="C146" s="269" t="s">
        <v>2168</v>
      </c>
      <c r="D146" s="512">
        <v>42785</v>
      </c>
      <c r="E146" s="512">
        <v>0</v>
      </c>
      <c r="F146" s="512">
        <v>42785</v>
      </c>
    </row>
    <row r="147" spans="2:6">
      <c r="B147" s="510" t="s">
        <v>1928</v>
      </c>
      <c r="C147" s="510" t="s">
        <v>3825</v>
      </c>
      <c r="D147" s="511">
        <v>1065</v>
      </c>
      <c r="E147" s="511">
        <v>0</v>
      </c>
      <c r="F147" s="511">
        <v>1065</v>
      </c>
    </row>
    <row r="148" spans="2:6">
      <c r="B148" s="269" t="s">
        <v>1928</v>
      </c>
      <c r="C148" s="269" t="s">
        <v>2185</v>
      </c>
      <c r="D148" s="512">
        <v>139</v>
      </c>
      <c r="E148" s="512">
        <v>0</v>
      </c>
      <c r="F148" s="512">
        <v>139</v>
      </c>
    </row>
    <row r="149" spans="2:6">
      <c r="B149" s="510" t="s">
        <v>1906</v>
      </c>
      <c r="C149" s="510" t="s">
        <v>2184</v>
      </c>
      <c r="D149" s="511">
        <v>100000</v>
      </c>
      <c r="E149" s="511">
        <v>0</v>
      </c>
      <c r="F149" s="511">
        <v>100000</v>
      </c>
    </row>
    <row r="150" spans="2:6">
      <c r="B150" s="269" t="s">
        <v>3852</v>
      </c>
      <c r="C150" s="269" t="s">
        <v>3825</v>
      </c>
      <c r="D150" s="512">
        <v>98000</v>
      </c>
      <c r="E150" s="512">
        <v>0</v>
      </c>
      <c r="F150" s="512">
        <v>98000</v>
      </c>
    </row>
    <row r="151" spans="2:6">
      <c r="B151" s="510" t="s">
        <v>142</v>
      </c>
      <c r="C151" s="510" t="s">
        <v>2168</v>
      </c>
      <c r="D151" s="511">
        <v>47740</v>
      </c>
      <c r="E151" s="511">
        <v>0</v>
      </c>
      <c r="F151" s="511">
        <v>47740</v>
      </c>
    </row>
    <row r="152" spans="2:6">
      <c r="B152" s="269" t="s">
        <v>142</v>
      </c>
      <c r="C152" s="269" t="s">
        <v>2165</v>
      </c>
      <c r="D152" s="512">
        <v>47740</v>
      </c>
      <c r="E152" s="512">
        <v>0</v>
      </c>
      <c r="F152" s="512">
        <v>47740</v>
      </c>
    </row>
    <row r="153" spans="2:6">
      <c r="B153" s="510" t="s">
        <v>1910</v>
      </c>
      <c r="C153" s="510" t="s">
        <v>2189</v>
      </c>
      <c r="D153" s="511">
        <v>95260</v>
      </c>
      <c r="E153" s="511">
        <v>0</v>
      </c>
      <c r="F153" s="511">
        <v>95260</v>
      </c>
    </row>
    <row r="154" spans="2:6">
      <c r="B154" s="269" t="s">
        <v>1910</v>
      </c>
      <c r="C154" s="269" t="s">
        <v>2165</v>
      </c>
      <c r="D154" s="512">
        <v>46</v>
      </c>
      <c r="E154" s="512">
        <v>0</v>
      </c>
      <c r="F154" s="512">
        <v>46</v>
      </c>
    </row>
    <row r="155" spans="2:6">
      <c r="B155" s="510" t="s">
        <v>1910</v>
      </c>
      <c r="C155" s="510" t="s">
        <v>2168</v>
      </c>
      <c r="D155" s="511">
        <v>44</v>
      </c>
      <c r="E155" s="511">
        <v>0</v>
      </c>
      <c r="F155" s="511">
        <v>44</v>
      </c>
    </row>
    <row r="156" spans="2:6">
      <c r="B156" s="269" t="s">
        <v>1911</v>
      </c>
      <c r="C156" s="269" t="s">
        <v>2165</v>
      </c>
      <c r="D156" s="512">
        <v>44072</v>
      </c>
      <c r="E156" s="512">
        <v>0</v>
      </c>
      <c r="F156" s="512">
        <v>44072</v>
      </c>
    </row>
    <row r="157" spans="2:6">
      <c r="B157" s="510" t="s">
        <v>1911</v>
      </c>
      <c r="C157" s="510" t="s">
        <v>2168</v>
      </c>
      <c r="D157" s="511">
        <v>44071</v>
      </c>
      <c r="E157" s="511">
        <v>0</v>
      </c>
      <c r="F157" s="511">
        <v>44071</v>
      </c>
    </row>
    <row r="158" spans="2:6">
      <c r="B158" s="269" t="s">
        <v>1911</v>
      </c>
      <c r="C158" s="269" t="s">
        <v>2178</v>
      </c>
      <c r="D158" s="512">
        <v>6101</v>
      </c>
      <c r="E158" s="512">
        <v>0</v>
      </c>
      <c r="F158" s="512">
        <v>6101</v>
      </c>
    </row>
    <row r="159" spans="2:6">
      <c r="B159" s="510" t="s">
        <v>1911</v>
      </c>
      <c r="C159" s="510" t="s">
        <v>2141</v>
      </c>
      <c r="D159" s="511">
        <v>41</v>
      </c>
      <c r="E159" s="511">
        <v>0</v>
      </c>
      <c r="F159" s="511">
        <v>41</v>
      </c>
    </row>
    <row r="160" spans="2:6">
      <c r="B160" s="269" t="s">
        <v>1979</v>
      </c>
      <c r="C160" s="269" t="s">
        <v>2138</v>
      </c>
      <c r="D160" s="512">
        <v>31000</v>
      </c>
      <c r="E160" s="512">
        <v>0</v>
      </c>
      <c r="F160" s="512">
        <v>31000</v>
      </c>
    </row>
    <row r="161" spans="2:6">
      <c r="B161" s="510" t="s">
        <v>1979</v>
      </c>
      <c r="C161" s="510" t="s">
        <v>2174</v>
      </c>
      <c r="D161" s="511">
        <v>26000</v>
      </c>
      <c r="E161" s="511">
        <v>0</v>
      </c>
      <c r="F161" s="511">
        <v>26000</v>
      </c>
    </row>
    <row r="162" spans="2:6">
      <c r="B162" s="269" t="s">
        <v>1979</v>
      </c>
      <c r="C162" s="269" t="s">
        <v>2168</v>
      </c>
      <c r="D162" s="512">
        <v>15171</v>
      </c>
      <c r="E162" s="512">
        <v>0</v>
      </c>
      <c r="F162" s="512">
        <v>15171</v>
      </c>
    </row>
    <row r="163" spans="2:6">
      <c r="B163" s="510" t="s">
        <v>1979</v>
      </c>
      <c r="C163" s="510" t="s">
        <v>2165</v>
      </c>
      <c r="D163" s="511">
        <v>15171</v>
      </c>
      <c r="E163" s="511">
        <v>0</v>
      </c>
      <c r="F163" s="511">
        <v>15171</v>
      </c>
    </row>
    <row r="164" spans="2:6">
      <c r="B164" s="269" t="s">
        <v>1979</v>
      </c>
      <c r="C164" s="269" t="s">
        <v>2176</v>
      </c>
      <c r="D164" s="512">
        <v>4367</v>
      </c>
      <c r="E164" s="512">
        <v>0</v>
      </c>
      <c r="F164" s="512">
        <v>4367</v>
      </c>
    </row>
    <row r="165" spans="2:6">
      <c r="B165" s="510" t="s">
        <v>1979</v>
      </c>
      <c r="C165" s="510" t="s">
        <v>2185</v>
      </c>
      <c r="D165" s="511">
        <v>651</v>
      </c>
      <c r="E165" s="511">
        <v>0</v>
      </c>
      <c r="F165" s="511">
        <v>651</v>
      </c>
    </row>
    <row r="166" spans="2:6">
      <c r="B166" s="269" t="s">
        <v>3853</v>
      </c>
      <c r="C166" s="269" t="s">
        <v>3825</v>
      </c>
      <c r="D166" s="512">
        <v>92050</v>
      </c>
      <c r="E166" s="512">
        <v>0</v>
      </c>
      <c r="F166" s="512">
        <v>92050</v>
      </c>
    </row>
    <row r="167" spans="2:6">
      <c r="B167" s="510" t="s">
        <v>1912</v>
      </c>
      <c r="C167" s="510" t="s">
        <v>3825</v>
      </c>
      <c r="D167" s="511">
        <v>68740</v>
      </c>
      <c r="E167" s="511">
        <v>0</v>
      </c>
      <c r="F167" s="511">
        <v>68740</v>
      </c>
    </row>
    <row r="168" spans="2:6">
      <c r="B168" s="269" t="s">
        <v>1912</v>
      </c>
      <c r="C168" s="269" t="s">
        <v>2144</v>
      </c>
      <c r="D168" s="512">
        <v>17343</v>
      </c>
      <c r="E168" s="512">
        <v>0</v>
      </c>
      <c r="F168" s="512">
        <v>17343</v>
      </c>
    </row>
    <row r="169" spans="2:6">
      <c r="B169" s="510" t="s">
        <v>1912</v>
      </c>
      <c r="C169" s="510" t="s">
        <v>2190</v>
      </c>
      <c r="D169" s="511">
        <v>5500</v>
      </c>
      <c r="E169" s="511">
        <v>0</v>
      </c>
      <c r="F169" s="511">
        <v>5500</v>
      </c>
    </row>
    <row r="170" spans="2:6">
      <c r="B170" s="269" t="s">
        <v>1912</v>
      </c>
      <c r="C170" s="269" t="s">
        <v>2165</v>
      </c>
      <c r="D170" s="512">
        <v>142</v>
      </c>
      <c r="E170" s="512">
        <v>0</v>
      </c>
      <c r="F170" s="512">
        <v>142</v>
      </c>
    </row>
    <row r="171" spans="2:6">
      <c r="B171" s="510" t="s">
        <v>1908</v>
      </c>
      <c r="C171" s="510" t="s">
        <v>3827</v>
      </c>
      <c r="D171" s="511">
        <v>32907</v>
      </c>
      <c r="E171" s="511">
        <v>0</v>
      </c>
      <c r="F171" s="511">
        <v>32907</v>
      </c>
    </row>
    <row r="172" spans="2:6">
      <c r="B172" s="269" t="s">
        <v>1908</v>
      </c>
      <c r="C172" s="269" t="s">
        <v>2138</v>
      </c>
      <c r="D172" s="512">
        <v>32607</v>
      </c>
      <c r="E172" s="512">
        <v>0</v>
      </c>
      <c r="F172" s="512">
        <v>32607</v>
      </c>
    </row>
    <row r="173" spans="2:6">
      <c r="B173" s="510" t="s">
        <v>1908</v>
      </c>
      <c r="C173" s="510" t="s">
        <v>2143</v>
      </c>
      <c r="D173" s="511">
        <v>20223</v>
      </c>
      <c r="E173" s="511">
        <v>0</v>
      </c>
      <c r="F173" s="511">
        <v>20223</v>
      </c>
    </row>
    <row r="174" spans="2:6">
      <c r="B174" s="269" t="s">
        <v>1908</v>
      </c>
      <c r="C174" s="269" t="s">
        <v>2167</v>
      </c>
      <c r="D174" s="512">
        <v>3850</v>
      </c>
      <c r="E174" s="512">
        <v>0</v>
      </c>
      <c r="F174" s="512">
        <v>3850</v>
      </c>
    </row>
    <row r="175" spans="2:6">
      <c r="B175" s="510" t="s">
        <v>1908</v>
      </c>
      <c r="C175" s="510" t="s">
        <v>2146</v>
      </c>
      <c r="D175" s="511">
        <v>1297</v>
      </c>
      <c r="E175" s="511">
        <v>0</v>
      </c>
      <c r="F175" s="511">
        <v>1297</v>
      </c>
    </row>
    <row r="176" spans="2:6">
      <c r="B176" s="269" t="s">
        <v>1908</v>
      </c>
      <c r="C176" s="269" t="s">
        <v>2169</v>
      </c>
      <c r="D176" s="512">
        <v>550</v>
      </c>
      <c r="E176" s="512">
        <v>0</v>
      </c>
      <c r="F176" s="512">
        <v>550</v>
      </c>
    </row>
    <row r="177" spans="2:6">
      <c r="B177" s="510" t="s">
        <v>1095</v>
      </c>
      <c r="C177" s="510" t="s">
        <v>2152</v>
      </c>
      <c r="D177" s="511">
        <v>75209</v>
      </c>
      <c r="E177" s="511">
        <v>0</v>
      </c>
      <c r="F177" s="511">
        <v>75209</v>
      </c>
    </row>
    <row r="178" spans="2:6">
      <c r="B178" s="269" t="s">
        <v>1095</v>
      </c>
      <c r="C178" s="269" t="s">
        <v>2187</v>
      </c>
      <c r="D178" s="512">
        <v>8949</v>
      </c>
      <c r="E178" s="512">
        <v>0</v>
      </c>
      <c r="F178" s="512">
        <v>8949</v>
      </c>
    </row>
    <row r="179" spans="2:6">
      <c r="B179" s="510" t="s">
        <v>1095</v>
      </c>
      <c r="C179" s="510" t="s">
        <v>2143</v>
      </c>
      <c r="D179" s="511">
        <v>6483</v>
      </c>
      <c r="E179" s="511">
        <v>0</v>
      </c>
      <c r="F179" s="511">
        <v>6483</v>
      </c>
    </row>
    <row r="180" spans="2:6">
      <c r="B180" s="269" t="s">
        <v>1095</v>
      </c>
      <c r="C180" s="269" t="s">
        <v>2154</v>
      </c>
      <c r="D180" s="512">
        <v>492</v>
      </c>
      <c r="E180" s="512">
        <v>0</v>
      </c>
      <c r="F180" s="512">
        <v>492</v>
      </c>
    </row>
    <row r="181" spans="2:6">
      <c r="B181" s="510" t="s">
        <v>1913</v>
      </c>
      <c r="C181" s="510" t="s">
        <v>2146</v>
      </c>
      <c r="D181" s="511">
        <v>91116</v>
      </c>
      <c r="E181" s="511">
        <v>0</v>
      </c>
      <c r="F181" s="511">
        <v>91116</v>
      </c>
    </row>
    <row r="182" spans="2:6">
      <c r="B182" s="269" t="s">
        <v>1914</v>
      </c>
      <c r="C182" s="269" t="s">
        <v>3825</v>
      </c>
      <c r="D182" s="512">
        <v>88000</v>
      </c>
      <c r="E182" s="512">
        <v>0</v>
      </c>
      <c r="F182" s="512">
        <v>88000</v>
      </c>
    </row>
    <row r="183" spans="2:6">
      <c r="B183" s="510" t="s">
        <v>1914</v>
      </c>
      <c r="C183" s="510" t="s">
        <v>2165</v>
      </c>
      <c r="D183" s="511">
        <v>1176</v>
      </c>
      <c r="E183" s="511">
        <v>0</v>
      </c>
      <c r="F183" s="511">
        <v>1176</v>
      </c>
    </row>
    <row r="184" spans="2:6">
      <c r="B184" s="269" t="s">
        <v>1914</v>
      </c>
      <c r="C184" s="269" t="s">
        <v>2168</v>
      </c>
      <c r="D184" s="512">
        <v>1176</v>
      </c>
      <c r="E184" s="512">
        <v>0</v>
      </c>
      <c r="F184" s="512">
        <v>1176</v>
      </c>
    </row>
    <row r="185" spans="2:6">
      <c r="B185" s="510" t="s">
        <v>3854</v>
      </c>
      <c r="C185" s="510" t="s">
        <v>3825</v>
      </c>
      <c r="D185" s="511">
        <v>90150</v>
      </c>
      <c r="E185" s="511">
        <v>0</v>
      </c>
      <c r="F185" s="511">
        <v>90150</v>
      </c>
    </row>
    <row r="186" spans="2:6">
      <c r="B186" s="269" t="s">
        <v>3855</v>
      </c>
      <c r="C186" s="269" t="s">
        <v>3825</v>
      </c>
      <c r="D186" s="512">
        <v>85000</v>
      </c>
      <c r="E186" s="512">
        <v>0</v>
      </c>
      <c r="F186" s="512">
        <v>85000</v>
      </c>
    </row>
    <row r="187" spans="2:6">
      <c r="B187" s="510" t="s">
        <v>1922</v>
      </c>
      <c r="C187" s="510" t="s">
        <v>2178</v>
      </c>
      <c r="D187" s="511">
        <v>41143</v>
      </c>
      <c r="E187" s="511">
        <v>0</v>
      </c>
      <c r="F187" s="511">
        <v>41143</v>
      </c>
    </row>
    <row r="188" spans="2:6">
      <c r="B188" s="269" t="s">
        <v>1922</v>
      </c>
      <c r="C188" s="269" t="s">
        <v>3825</v>
      </c>
      <c r="D188" s="512">
        <v>31500</v>
      </c>
      <c r="E188" s="512">
        <v>0</v>
      </c>
      <c r="F188" s="512">
        <v>31500</v>
      </c>
    </row>
    <row r="189" spans="2:6">
      <c r="B189" s="510" t="s">
        <v>1922</v>
      </c>
      <c r="C189" s="510" t="s">
        <v>2142</v>
      </c>
      <c r="D189" s="511">
        <v>5770</v>
      </c>
      <c r="E189" s="511">
        <v>0</v>
      </c>
      <c r="F189" s="511">
        <v>5770</v>
      </c>
    </row>
    <row r="190" spans="2:6">
      <c r="B190" s="269" t="s">
        <v>1922</v>
      </c>
      <c r="C190" s="269" t="s">
        <v>2144</v>
      </c>
      <c r="D190" s="512">
        <v>5076</v>
      </c>
      <c r="E190" s="512">
        <v>0</v>
      </c>
      <c r="F190" s="512">
        <v>5076</v>
      </c>
    </row>
    <row r="191" spans="2:6">
      <c r="B191" s="510" t="s">
        <v>3856</v>
      </c>
      <c r="C191" s="510" t="s">
        <v>2154</v>
      </c>
      <c r="D191" s="511">
        <v>82536</v>
      </c>
      <c r="E191" s="511">
        <v>0</v>
      </c>
      <c r="F191" s="511">
        <v>82536</v>
      </c>
    </row>
    <row r="192" spans="2:6">
      <c r="B192" s="269" t="s">
        <v>1917</v>
      </c>
      <c r="C192" s="269" t="s">
        <v>2192</v>
      </c>
      <c r="D192" s="512">
        <v>25000</v>
      </c>
      <c r="E192" s="512">
        <v>0</v>
      </c>
      <c r="F192" s="512">
        <v>25000</v>
      </c>
    </row>
    <row r="193" spans="2:6">
      <c r="B193" s="510" t="s">
        <v>1917</v>
      </c>
      <c r="C193" s="510" t="s">
        <v>3825</v>
      </c>
      <c r="D193" s="511">
        <v>20000</v>
      </c>
      <c r="E193" s="511">
        <v>0</v>
      </c>
      <c r="F193" s="511">
        <v>20000</v>
      </c>
    </row>
    <row r="194" spans="2:6">
      <c r="B194" s="269" t="s">
        <v>1917</v>
      </c>
      <c r="C194" s="269" t="s">
        <v>2165</v>
      </c>
      <c r="D194" s="512">
        <v>18496</v>
      </c>
      <c r="E194" s="512">
        <v>0</v>
      </c>
      <c r="F194" s="512">
        <v>18496</v>
      </c>
    </row>
    <row r="195" spans="2:6">
      <c r="B195" s="510" t="s">
        <v>1917</v>
      </c>
      <c r="C195" s="510" t="s">
        <v>2168</v>
      </c>
      <c r="D195" s="511">
        <v>18496</v>
      </c>
      <c r="E195" s="511">
        <v>0</v>
      </c>
      <c r="F195" s="511">
        <v>18496</v>
      </c>
    </row>
    <row r="196" spans="2:6">
      <c r="B196" s="269" t="s">
        <v>3857</v>
      </c>
      <c r="C196" s="269" t="s">
        <v>2154</v>
      </c>
      <c r="D196" s="512">
        <v>80232</v>
      </c>
      <c r="E196" s="512">
        <v>0</v>
      </c>
      <c r="F196" s="512">
        <v>80232</v>
      </c>
    </row>
    <row r="197" spans="2:6">
      <c r="B197" s="510" t="s">
        <v>3858</v>
      </c>
      <c r="C197" s="510" t="s">
        <v>2165</v>
      </c>
      <c r="D197" s="511">
        <v>78698</v>
      </c>
      <c r="E197" s="511">
        <v>0</v>
      </c>
      <c r="F197" s="511">
        <v>78698</v>
      </c>
    </row>
    <row r="198" spans="2:6">
      <c r="B198" s="269" t="s">
        <v>1919</v>
      </c>
      <c r="C198" s="269" t="s">
        <v>2178</v>
      </c>
      <c r="D198" s="512">
        <v>40418</v>
      </c>
      <c r="E198" s="512">
        <v>0</v>
      </c>
      <c r="F198" s="512">
        <v>40418</v>
      </c>
    </row>
    <row r="199" spans="2:6">
      <c r="B199" s="510" t="s">
        <v>1919</v>
      </c>
      <c r="C199" s="510" t="s">
        <v>2165</v>
      </c>
      <c r="D199" s="511">
        <v>13665</v>
      </c>
      <c r="E199" s="511">
        <v>0</v>
      </c>
      <c r="F199" s="511">
        <v>13665</v>
      </c>
    </row>
    <row r="200" spans="2:6">
      <c r="B200" s="269" t="s">
        <v>1919</v>
      </c>
      <c r="C200" s="269" t="s">
        <v>2168</v>
      </c>
      <c r="D200" s="512">
        <v>13665</v>
      </c>
      <c r="E200" s="512">
        <v>0</v>
      </c>
      <c r="F200" s="512">
        <v>13665</v>
      </c>
    </row>
    <row r="201" spans="2:6">
      <c r="B201" s="510" t="s">
        <v>1919</v>
      </c>
      <c r="C201" s="510" t="s">
        <v>3825</v>
      </c>
      <c r="D201" s="511">
        <v>10000</v>
      </c>
      <c r="E201" s="511">
        <v>0</v>
      </c>
      <c r="F201" s="511">
        <v>10000</v>
      </c>
    </row>
    <row r="202" spans="2:6">
      <c r="B202" s="269" t="s">
        <v>410</v>
      </c>
      <c r="C202" s="269" t="s">
        <v>3825</v>
      </c>
      <c r="D202" s="512">
        <v>77150</v>
      </c>
      <c r="E202" s="512">
        <v>0</v>
      </c>
      <c r="F202" s="512">
        <v>77150</v>
      </c>
    </row>
    <row r="203" spans="2:6">
      <c r="B203" s="510" t="s">
        <v>410</v>
      </c>
      <c r="C203" s="510" t="s">
        <v>2165</v>
      </c>
      <c r="D203" s="511">
        <v>13</v>
      </c>
      <c r="E203" s="511">
        <v>0</v>
      </c>
      <c r="F203" s="511">
        <v>13</v>
      </c>
    </row>
    <row r="204" spans="2:6">
      <c r="B204" s="269" t="s">
        <v>1920</v>
      </c>
      <c r="C204" s="269" t="s">
        <v>2184</v>
      </c>
      <c r="D204" s="512">
        <v>74940</v>
      </c>
      <c r="E204" s="512">
        <v>0</v>
      </c>
      <c r="F204" s="512">
        <v>74940</v>
      </c>
    </row>
    <row r="205" spans="2:6">
      <c r="B205" s="510" t="s">
        <v>1921</v>
      </c>
      <c r="C205" s="510" t="s">
        <v>2146</v>
      </c>
      <c r="D205" s="511">
        <v>72672</v>
      </c>
      <c r="E205" s="511">
        <v>0</v>
      </c>
      <c r="F205" s="511">
        <v>72672</v>
      </c>
    </row>
    <row r="206" spans="2:6">
      <c r="B206" s="269" t="s">
        <v>1918</v>
      </c>
      <c r="C206" s="269" t="s">
        <v>2165</v>
      </c>
      <c r="D206" s="512">
        <v>71794</v>
      </c>
      <c r="E206" s="512">
        <v>0</v>
      </c>
      <c r="F206" s="512">
        <v>71794</v>
      </c>
    </row>
    <row r="207" spans="2:6">
      <c r="B207" s="510" t="s">
        <v>201</v>
      </c>
      <c r="C207" s="510" t="s">
        <v>2165</v>
      </c>
      <c r="D207" s="511">
        <v>69175</v>
      </c>
      <c r="E207" s="511">
        <v>0</v>
      </c>
      <c r="F207" s="511">
        <v>69175</v>
      </c>
    </row>
    <row r="208" spans="2:6">
      <c r="B208" s="269" t="s">
        <v>297</v>
      </c>
      <c r="C208" s="269" t="s">
        <v>2165</v>
      </c>
      <c r="D208" s="512">
        <v>67756</v>
      </c>
      <c r="E208" s="512">
        <v>0</v>
      </c>
      <c r="F208" s="512">
        <v>67756</v>
      </c>
    </row>
    <row r="209" spans="2:6">
      <c r="B209" s="510" t="s">
        <v>297</v>
      </c>
      <c r="C209" s="510" t="s">
        <v>2168</v>
      </c>
      <c r="D209" s="511">
        <v>1142</v>
      </c>
      <c r="E209" s="511">
        <v>0</v>
      </c>
      <c r="F209" s="511">
        <v>1142</v>
      </c>
    </row>
    <row r="210" spans="2:6">
      <c r="B210" s="269" t="s">
        <v>3859</v>
      </c>
      <c r="C210" s="269" t="s">
        <v>3825</v>
      </c>
      <c r="D210" s="512">
        <v>68000</v>
      </c>
      <c r="E210" s="512">
        <v>0</v>
      </c>
      <c r="F210" s="512">
        <v>68000</v>
      </c>
    </row>
    <row r="211" spans="2:6">
      <c r="B211" s="510" t="s">
        <v>3860</v>
      </c>
      <c r="C211" s="510" t="s">
        <v>3825</v>
      </c>
      <c r="D211" s="511">
        <v>67000</v>
      </c>
      <c r="E211" s="511">
        <v>0</v>
      </c>
      <c r="F211" s="511">
        <v>67000</v>
      </c>
    </row>
    <row r="212" spans="2:6">
      <c r="B212" s="269" t="s">
        <v>2026</v>
      </c>
      <c r="C212" s="269" t="s">
        <v>3825</v>
      </c>
      <c r="D212" s="512">
        <v>61650</v>
      </c>
      <c r="E212" s="512">
        <v>0</v>
      </c>
      <c r="F212" s="512">
        <v>61650</v>
      </c>
    </row>
    <row r="213" spans="2:6">
      <c r="B213" s="510" t="s">
        <v>2026</v>
      </c>
      <c r="C213" s="510" t="s">
        <v>2178</v>
      </c>
      <c r="D213" s="511">
        <v>4858</v>
      </c>
      <c r="E213" s="511">
        <v>0</v>
      </c>
      <c r="F213" s="511">
        <v>4858</v>
      </c>
    </row>
    <row r="214" spans="2:6">
      <c r="B214" s="269" t="s">
        <v>3861</v>
      </c>
      <c r="C214" s="269" t="s">
        <v>3825</v>
      </c>
      <c r="D214" s="512">
        <v>66000</v>
      </c>
      <c r="E214" s="512">
        <v>0</v>
      </c>
      <c r="F214" s="512">
        <v>66000</v>
      </c>
    </row>
    <row r="215" spans="2:6">
      <c r="B215" s="510" t="s">
        <v>117</v>
      </c>
      <c r="C215" s="510" t="s">
        <v>2165</v>
      </c>
      <c r="D215" s="511">
        <v>53662</v>
      </c>
      <c r="E215" s="511">
        <v>0</v>
      </c>
      <c r="F215" s="511">
        <v>53662</v>
      </c>
    </row>
    <row r="216" spans="2:6">
      <c r="B216" s="269" t="s">
        <v>117</v>
      </c>
      <c r="C216" s="269" t="s">
        <v>2178</v>
      </c>
      <c r="D216" s="512">
        <v>12195</v>
      </c>
      <c r="E216" s="512">
        <v>0</v>
      </c>
      <c r="F216" s="512">
        <v>12195</v>
      </c>
    </row>
    <row r="217" spans="2:6">
      <c r="B217" s="510" t="s">
        <v>1951</v>
      </c>
      <c r="C217" s="510" t="s">
        <v>2138</v>
      </c>
      <c r="D217" s="511">
        <v>29434</v>
      </c>
      <c r="E217" s="511">
        <v>0</v>
      </c>
      <c r="F217" s="511">
        <v>29434</v>
      </c>
    </row>
    <row r="218" spans="2:6">
      <c r="B218" s="269" t="s">
        <v>1951</v>
      </c>
      <c r="C218" s="269" t="s">
        <v>2165</v>
      </c>
      <c r="D218" s="512">
        <v>22460</v>
      </c>
      <c r="E218" s="512">
        <v>0</v>
      </c>
      <c r="F218" s="512">
        <v>22460</v>
      </c>
    </row>
    <row r="219" spans="2:6">
      <c r="B219" s="510" t="s">
        <v>1951</v>
      </c>
      <c r="C219" s="510" t="s">
        <v>2154</v>
      </c>
      <c r="D219" s="511">
        <v>13938</v>
      </c>
      <c r="E219" s="511">
        <v>0</v>
      </c>
      <c r="F219" s="511">
        <v>13938</v>
      </c>
    </row>
    <row r="220" spans="2:6">
      <c r="B220" s="269" t="s">
        <v>3862</v>
      </c>
      <c r="C220" s="269" t="s">
        <v>3825</v>
      </c>
      <c r="D220" s="512">
        <v>65085</v>
      </c>
      <c r="E220" s="512">
        <v>0</v>
      </c>
      <c r="F220" s="512">
        <v>65085</v>
      </c>
    </row>
    <row r="221" spans="2:6">
      <c r="B221" s="510" t="s">
        <v>1923</v>
      </c>
      <c r="C221" s="510" t="s">
        <v>3825</v>
      </c>
      <c r="D221" s="511">
        <v>62050</v>
      </c>
      <c r="E221" s="511">
        <v>0</v>
      </c>
      <c r="F221" s="511">
        <v>62050</v>
      </c>
    </row>
    <row r="222" spans="2:6">
      <c r="B222" s="269" t="s">
        <v>1923</v>
      </c>
      <c r="C222" s="269" t="s">
        <v>2165</v>
      </c>
      <c r="D222" s="512">
        <v>2240</v>
      </c>
      <c r="E222" s="512">
        <v>0</v>
      </c>
      <c r="F222" s="512">
        <v>2240</v>
      </c>
    </row>
    <row r="223" spans="2:6">
      <c r="B223" s="510" t="s">
        <v>1946</v>
      </c>
      <c r="C223" s="510" t="s">
        <v>2168</v>
      </c>
      <c r="D223" s="511">
        <v>31101</v>
      </c>
      <c r="E223" s="511">
        <v>0</v>
      </c>
      <c r="F223" s="511">
        <v>31101</v>
      </c>
    </row>
    <row r="224" spans="2:6">
      <c r="B224" s="269" t="s">
        <v>1946</v>
      </c>
      <c r="C224" s="269" t="s">
        <v>2165</v>
      </c>
      <c r="D224" s="512">
        <v>31101</v>
      </c>
      <c r="E224" s="512">
        <v>0</v>
      </c>
      <c r="F224" s="512">
        <v>31101</v>
      </c>
    </row>
    <row r="225" spans="2:6">
      <c r="B225" s="510" t="s">
        <v>1930</v>
      </c>
      <c r="C225" s="510" t="s">
        <v>2165</v>
      </c>
      <c r="D225" s="511">
        <v>37542</v>
      </c>
      <c r="E225" s="511">
        <v>0</v>
      </c>
      <c r="F225" s="511">
        <v>37542</v>
      </c>
    </row>
    <row r="226" spans="2:6">
      <c r="B226" s="269" t="s">
        <v>1930</v>
      </c>
      <c r="C226" s="269" t="s">
        <v>2168</v>
      </c>
      <c r="D226" s="512">
        <v>24332</v>
      </c>
      <c r="E226" s="512">
        <v>0</v>
      </c>
      <c r="F226" s="512">
        <v>24332</v>
      </c>
    </row>
    <row r="227" spans="2:6">
      <c r="B227" s="510" t="s">
        <v>1926</v>
      </c>
      <c r="C227" s="510" t="s">
        <v>2168</v>
      </c>
      <c r="D227" s="511">
        <v>30346</v>
      </c>
      <c r="E227" s="511">
        <v>0</v>
      </c>
      <c r="F227" s="511">
        <v>30346</v>
      </c>
    </row>
    <row r="228" spans="2:6">
      <c r="B228" s="269" t="s">
        <v>1926</v>
      </c>
      <c r="C228" s="269" t="s">
        <v>2165</v>
      </c>
      <c r="D228" s="512">
        <v>30346</v>
      </c>
      <c r="E228" s="512">
        <v>0</v>
      </c>
      <c r="F228" s="512">
        <v>30346</v>
      </c>
    </row>
    <row r="229" spans="2:6">
      <c r="B229" s="510" t="s">
        <v>1925</v>
      </c>
      <c r="C229" s="510" t="s">
        <v>2165</v>
      </c>
      <c r="D229" s="511">
        <v>32271</v>
      </c>
      <c r="E229" s="511">
        <v>0</v>
      </c>
      <c r="F229" s="511">
        <v>32271</v>
      </c>
    </row>
    <row r="230" spans="2:6">
      <c r="B230" s="269" t="s">
        <v>1925</v>
      </c>
      <c r="C230" s="269" t="s">
        <v>2168</v>
      </c>
      <c r="D230" s="512">
        <v>17068</v>
      </c>
      <c r="E230" s="512">
        <v>0</v>
      </c>
      <c r="F230" s="512">
        <v>17068</v>
      </c>
    </row>
    <row r="231" spans="2:6">
      <c r="B231" s="510" t="s">
        <v>1925</v>
      </c>
      <c r="C231" s="510" t="s">
        <v>3825</v>
      </c>
      <c r="D231" s="511">
        <v>11000</v>
      </c>
      <c r="E231" s="511">
        <v>0</v>
      </c>
      <c r="F231" s="511">
        <v>11000</v>
      </c>
    </row>
    <row r="232" spans="2:6">
      <c r="B232" s="269" t="s">
        <v>1925</v>
      </c>
      <c r="C232" s="269" t="s">
        <v>2157</v>
      </c>
      <c r="D232" s="512">
        <v>12</v>
      </c>
      <c r="E232" s="512">
        <v>0</v>
      </c>
      <c r="F232" s="512">
        <v>12</v>
      </c>
    </row>
    <row r="233" spans="2:6">
      <c r="B233" s="510" t="s">
        <v>203</v>
      </c>
      <c r="C233" s="510" t="s">
        <v>3825</v>
      </c>
      <c r="D233" s="511">
        <v>30150</v>
      </c>
      <c r="E233" s="511">
        <v>0</v>
      </c>
      <c r="F233" s="511">
        <v>30150</v>
      </c>
    </row>
    <row r="234" spans="2:6">
      <c r="B234" s="269" t="s">
        <v>203</v>
      </c>
      <c r="C234" s="269" t="s">
        <v>2165</v>
      </c>
      <c r="D234" s="512">
        <v>28867</v>
      </c>
      <c r="E234" s="512">
        <v>0</v>
      </c>
      <c r="F234" s="512">
        <v>28867</v>
      </c>
    </row>
    <row r="235" spans="2:6">
      <c r="B235" s="510" t="s">
        <v>1927</v>
      </c>
      <c r="C235" s="510" t="s">
        <v>2145</v>
      </c>
      <c r="D235" s="511">
        <v>55294</v>
      </c>
      <c r="E235" s="511">
        <v>0</v>
      </c>
      <c r="F235" s="511">
        <v>55294</v>
      </c>
    </row>
    <row r="236" spans="2:6">
      <c r="B236" s="269" t="s">
        <v>1927</v>
      </c>
      <c r="C236" s="269" t="s">
        <v>2144</v>
      </c>
      <c r="D236" s="512">
        <v>2185</v>
      </c>
      <c r="E236" s="512">
        <v>0</v>
      </c>
      <c r="F236" s="512">
        <v>2185</v>
      </c>
    </row>
    <row r="237" spans="2:6">
      <c r="B237" s="510" t="s">
        <v>1927</v>
      </c>
      <c r="C237" s="510" t="s">
        <v>2136</v>
      </c>
      <c r="D237" s="511">
        <v>296</v>
      </c>
      <c r="E237" s="511">
        <v>0</v>
      </c>
      <c r="F237" s="511">
        <v>296</v>
      </c>
    </row>
    <row r="238" spans="2:6">
      <c r="B238" s="269" t="s">
        <v>3863</v>
      </c>
      <c r="C238" s="269" t="s">
        <v>2154</v>
      </c>
      <c r="D238" s="512">
        <v>57667</v>
      </c>
      <c r="E238" s="512">
        <v>0</v>
      </c>
      <c r="F238" s="512">
        <v>57667</v>
      </c>
    </row>
    <row r="239" spans="2:6">
      <c r="B239" s="510" t="s">
        <v>234</v>
      </c>
      <c r="C239" s="510" t="s">
        <v>3825</v>
      </c>
      <c r="D239" s="511">
        <v>53750</v>
      </c>
      <c r="E239" s="511">
        <v>0</v>
      </c>
      <c r="F239" s="511">
        <v>53750</v>
      </c>
    </row>
    <row r="240" spans="2:6">
      <c r="B240" s="269" t="s">
        <v>234</v>
      </c>
      <c r="C240" s="269" t="s">
        <v>2165</v>
      </c>
      <c r="D240" s="512">
        <v>3695</v>
      </c>
      <c r="E240" s="512">
        <v>0</v>
      </c>
      <c r="F240" s="512">
        <v>3695</v>
      </c>
    </row>
    <row r="241" spans="2:6">
      <c r="B241" s="510" t="s">
        <v>1929</v>
      </c>
      <c r="C241" s="510" t="s">
        <v>2165</v>
      </c>
      <c r="D241" s="511">
        <v>28304</v>
      </c>
      <c r="E241" s="511">
        <v>0</v>
      </c>
      <c r="F241" s="511">
        <v>28304</v>
      </c>
    </row>
    <row r="242" spans="2:6">
      <c r="B242" s="269" t="s">
        <v>1929</v>
      </c>
      <c r="C242" s="269" t="s">
        <v>2168</v>
      </c>
      <c r="D242" s="512">
        <v>28206</v>
      </c>
      <c r="E242" s="512">
        <v>0</v>
      </c>
      <c r="F242" s="512">
        <v>28206</v>
      </c>
    </row>
    <row r="243" spans="2:6">
      <c r="B243" s="510" t="s">
        <v>1932</v>
      </c>
      <c r="C243" s="510" t="s">
        <v>2137</v>
      </c>
      <c r="D243" s="511">
        <v>51260</v>
      </c>
      <c r="E243" s="511">
        <v>0</v>
      </c>
      <c r="F243" s="511">
        <v>51260</v>
      </c>
    </row>
    <row r="244" spans="2:6">
      <c r="B244" s="269" t="s">
        <v>1932</v>
      </c>
      <c r="C244" s="269" t="s">
        <v>2141</v>
      </c>
      <c r="D244" s="512">
        <v>3251</v>
      </c>
      <c r="E244" s="512">
        <v>0</v>
      </c>
      <c r="F244" s="512">
        <v>3251</v>
      </c>
    </row>
    <row r="245" spans="2:6">
      <c r="B245" s="510" t="s">
        <v>406</v>
      </c>
      <c r="C245" s="510" t="s">
        <v>3825</v>
      </c>
      <c r="D245" s="511">
        <v>53750</v>
      </c>
      <c r="E245" s="511">
        <v>0</v>
      </c>
      <c r="F245" s="511">
        <v>53750</v>
      </c>
    </row>
    <row r="246" spans="2:6">
      <c r="B246" s="269" t="s">
        <v>406</v>
      </c>
      <c r="C246" s="269" t="s">
        <v>2168</v>
      </c>
      <c r="D246" s="512">
        <v>21</v>
      </c>
      <c r="E246" s="512">
        <v>0</v>
      </c>
      <c r="F246" s="512">
        <v>21</v>
      </c>
    </row>
    <row r="247" spans="2:6">
      <c r="B247" s="510" t="s">
        <v>406</v>
      </c>
      <c r="C247" s="510" t="s">
        <v>2165</v>
      </c>
      <c r="D247" s="511">
        <v>20</v>
      </c>
      <c r="E247" s="511">
        <v>0</v>
      </c>
      <c r="F247" s="511">
        <v>20</v>
      </c>
    </row>
    <row r="248" spans="2:6">
      <c r="B248" s="269" t="s">
        <v>3864</v>
      </c>
      <c r="C248" s="269" t="s">
        <v>3825</v>
      </c>
      <c r="D248" s="512">
        <v>53000</v>
      </c>
      <c r="E248" s="512">
        <v>0</v>
      </c>
      <c r="F248" s="512">
        <v>53000</v>
      </c>
    </row>
    <row r="249" spans="2:6">
      <c r="B249" s="510" t="s">
        <v>3865</v>
      </c>
      <c r="C249" s="510" t="s">
        <v>3825</v>
      </c>
      <c r="D249" s="511">
        <v>53000</v>
      </c>
      <c r="E249" s="511">
        <v>0</v>
      </c>
      <c r="F249" s="511">
        <v>53000</v>
      </c>
    </row>
    <row r="250" spans="2:6">
      <c r="B250" s="269" t="s">
        <v>1958</v>
      </c>
      <c r="C250" s="269" t="s">
        <v>2138</v>
      </c>
      <c r="D250" s="512">
        <v>24734</v>
      </c>
      <c r="E250" s="512">
        <v>0</v>
      </c>
      <c r="F250" s="512">
        <v>24734</v>
      </c>
    </row>
    <row r="251" spans="2:6">
      <c r="B251" s="510" t="s">
        <v>1958</v>
      </c>
      <c r="C251" s="510" t="s">
        <v>2165</v>
      </c>
      <c r="D251" s="511">
        <v>23413</v>
      </c>
      <c r="E251" s="511">
        <v>0</v>
      </c>
      <c r="F251" s="511">
        <v>23413</v>
      </c>
    </row>
    <row r="252" spans="2:6">
      <c r="B252" s="269" t="s">
        <v>1958</v>
      </c>
      <c r="C252" s="269" t="s">
        <v>2176</v>
      </c>
      <c r="D252" s="512">
        <v>3185</v>
      </c>
      <c r="E252" s="512">
        <v>0</v>
      </c>
      <c r="F252" s="512">
        <v>3185</v>
      </c>
    </row>
    <row r="253" spans="2:6">
      <c r="B253" s="510" t="s">
        <v>1958</v>
      </c>
      <c r="C253" s="510" t="s">
        <v>2154</v>
      </c>
      <c r="D253" s="511">
        <v>1353</v>
      </c>
      <c r="E253" s="511">
        <v>0</v>
      </c>
      <c r="F253" s="511">
        <v>1353</v>
      </c>
    </row>
    <row r="254" spans="2:6">
      <c r="B254" s="269" t="s">
        <v>1933</v>
      </c>
      <c r="C254" s="269" t="s">
        <v>2165</v>
      </c>
      <c r="D254" s="512">
        <v>20543</v>
      </c>
      <c r="E254" s="512">
        <v>0</v>
      </c>
      <c r="F254" s="512">
        <v>20543</v>
      </c>
    </row>
    <row r="255" spans="2:6">
      <c r="B255" s="510" t="s">
        <v>1933</v>
      </c>
      <c r="C255" s="510" t="s">
        <v>2168</v>
      </c>
      <c r="D255" s="511">
        <v>20543</v>
      </c>
      <c r="E255" s="511">
        <v>0</v>
      </c>
      <c r="F255" s="511">
        <v>20543</v>
      </c>
    </row>
    <row r="256" spans="2:6">
      <c r="B256" s="269" t="s">
        <v>1933</v>
      </c>
      <c r="C256" s="269" t="s">
        <v>3825</v>
      </c>
      <c r="D256" s="512">
        <v>11000</v>
      </c>
      <c r="E256" s="512">
        <v>0</v>
      </c>
      <c r="F256" s="512">
        <v>11000</v>
      </c>
    </row>
    <row r="257" spans="2:6">
      <c r="B257" s="510" t="s">
        <v>3866</v>
      </c>
      <c r="C257" s="510" t="s">
        <v>3825</v>
      </c>
      <c r="D257" s="511">
        <v>51350</v>
      </c>
      <c r="E257" s="511">
        <v>0</v>
      </c>
      <c r="F257" s="511">
        <v>51350</v>
      </c>
    </row>
    <row r="258" spans="2:6">
      <c r="B258" s="269" t="s">
        <v>3867</v>
      </c>
      <c r="C258" s="269" t="s">
        <v>3825</v>
      </c>
      <c r="D258" s="512">
        <v>51000</v>
      </c>
      <c r="E258" s="512">
        <v>0</v>
      </c>
      <c r="F258" s="512">
        <v>51000</v>
      </c>
    </row>
    <row r="259" spans="2:6">
      <c r="B259" s="510" t="s">
        <v>1934</v>
      </c>
      <c r="C259" s="510" t="s">
        <v>2165</v>
      </c>
      <c r="D259" s="511">
        <v>26423</v>
      </c>
      <c r="E259" s="511">
        <v>0</v>
      </c>
      <c r="F259" s="511">
        <v>26423</v>
      </c>
    </row>
    <row r="260" spans="2:6">
      <c r="B260" s="269" t="s">
        <v>1934</v>
      </c>
      <c r="C260" s="269" t="s">
        <v>2168</v>
      </c>
      <c r="D260" s="512">
        <v>24336</v>
      </c>
      <c r="E260" s="512">
        <v>0</v>
      </c>
      <c r="F260" s="512">
        <v>24336</v>
      </c>
    </row>
    <row r="261" spans="2:6">
      <c r="B261" s="510" t="s">
        <v>1935</v>
      </c>
      <c r="C261" s="510" t="s">
        <v>2184</v>
      </c>
      <c r="D261" s="511">
        <v>50000</v>
      </c>
      <c r="E261" s="511">
        <v>0</v>
      </c>
      <c r="F261" s="511">
        <v>50000</v>
      </c>
    </row>
    <row r="262" spans="2:6">
      <c r="B262" s="269" t="s">
        <v>1936</v>
      </c>
      <c r="C262" s="269" t="s">
        <v>2184</v>
      </c>
      <c r="D262" s="512">
        <v>50000</v>
      </c>
      <c r="E262" s="512">
        <v>0</v>
      </c>
      <c r="F262" s="512">
        <v>50000</v>
      </c>
    </row>
    <row r="263" spans="2:6">
      <c r="B263" s="510" t="s">
        <v>1937</v>
      </c>
      <c r="C263" s="510" t="s">
        <v>2138</v>
      </c>
      <c r="D263" s="511">
        <v>49911</v>
      </c>
      <c r="E263" s="511">
        <v>0</v>
      </c>
      <c r="F263" s="511">
        <v>49911</v>
      </c>
    </row>
    <row r="264" spans="2:6">
      <c r="B264" s="269" t="s">
        <v>1938</v>
      </c>
      <c r="C264" s="269" t="s">
        <v>2165</v>
      </c>
      <c r="D264" s="512">
        <v>25906</v>
      </c>
      <c r="E264" s="512">
        <v>0</v>
      </c>
      <c r="F264" s="512">
        <v>25906</v>
      </c>
    </row>
    <row r="265" spans="2:6">
      <c r="B265" s="510" t="s">
        <v>1938</v>
      </c>
      <c r="C265" s="510" t="s">
        <v>3825</v>
      </c>
      <c r="D265" s="511">
        <v>17750</v>
      </c>
      <c r="E265" s="511">
        <v>0</v>
      </c>
      <c r="F265" s="511">
        <v>17750</v>
      </c>
    </row>
    <row r="266" spans="2:6">
      <c r="B266" s="269" t="s">
        <v>1938</v>
      </c>
      <c r="C266" s="269" t="s">
        <v>2168</v>
      </c>
      <c r="D266" s="512">
        <v>5847</v>
      </c>
      <c r="E266" s="512">
        <v>0</v>
      </c>
      <c r="F266" s="512">
        <v>5847</v>
      </c>
    </row>
    <row r="267" spans="2:6">
      <c r="B267" s="510" t="s">
        <v>428</v>
      </c>
      <c r="C267" s="510" t="s">
        <v>3825</v>
      </c>
      <c r="D267" s="511">
        <v>48000</v>
      </c>
      <c r="E267" s="511">
        <v>0</v>
      </c>
      <c r="F267" s="511">
        <v>48000</v>
      </c>
    </row>
    <row r="268" spans="2:6">
      <c r="B268" s="269" t="s">
        <v>428</v>
      </c>
      <c r="C268" s="269" t="s">
        <v>2165</v>
      </c>
      <c r="D268" s="512">
        <v>96</v>
      </c>
      <c r="E268" s="512">
        <v>0</v>
      </c>
      <c r="F268" s="512">
        <v>96</v>
      </c>
    </row>
    <row r="269" spans="2:6">
      <c r="B269" s="510" t="s">
        <v>3868</v>
      </c>
      <c r="C269" s="510" t="s">
        <v>3825</v>
      </c>
      <c r="D269" s="511">
        <v>47000</v>
      </c>
      <c r="E269" s="511">
        <v>0</v>
      </c>
      <c r="F269" s="511">
        <v>47000</v>
      </c>
    </row>
    <row r="270" spans="2:6">
      <c r="B270" s="269" t="s">
        <v>557</v>
      </c>
      <c r="C270" s="269" t="s">
        <v>3825</v>
      </c>
      <c r="D270" s="512">
        <v>44150</v>
      </c>
      <c r="E270" s="512">
        <v>0</v>
      </c>
      <c r="F270" s="512">
        <v>44150</v>
      </c>
    </row>
    <row r="271" spans="2:6">
      <c r="B271" s="510" t="s">
        <v>3869</v>
      </c>
      <c r="C271" s="510" t="s">
        <v>3825</v>
      </c>
      <c r="D271" s="511">
        <v>44000</v>
      </c>
      <c r="E271" s="511">
        <v>0</v>
      </c>
      <c r="F271" s="511">
        <v>44000</v>
      </c>
    </row>
    <row r="272" spans="2:6">
      <c r="B272" s="269" t="s">
        <v>3870</v>
      </c>
      <c r="C272" s="269" t="s">
        <v>3825</v>
      </c>
      <c r="D272" s="512">
        <v>42000</v>
      </c>
      <c r="E272" s="512">
        <v>0</v>
      </c>
      <c r="F272" s="512">
        <v>42000</v>
      </c>
    </row>
    <row r="273" spans="2:6">
      <c r="B273" s="510" t="s">
        <v>3871</v>
      </c>
      <c r="C273" s="510" t="s">
        <v>3825</v>
      </c>
      <c r="D273" s="511">
        <v>42000</v>
      </c>
      <c r="E273" s="511">
        <v>0</v>
      </c>
      <c r="F273" s="511">
        <v>42000</v>
      </c>
    </row>
    <row r="274" spans="2:6">
      <c r="B274" s="269" t="s">
        <v>242</v>
      </c>
      <c r="C274" s="269" t="s">
        <v>2165</v>
      </c>
      <c r="D274" s="512">
        <v>21926</v>
      </c>
      <c r="E274" s="512">
        <v>0</v>
      </c>
      <c r="F274" s="512">
        <v>21926</v>
      </c>
    </row>
    <row r="275" spans="2:6">
      <c r="B275" s="510" t="s">
        <v>242</v>
      </c>
      <c r="C275" s="510" t="s">
        <v>2168</v>
      </c>
      <c r="D275" s="511">
        <v>14915</v>
      </c>
      <c r="E275" s="511">
        <v>0</v>
      </c>
      <c r="F275" s="511">
        <v>14915</v>
      </c>
    </row>
    <row r="276" spans="2:6">
      <c r="B276" s="269" t="s">
        <v>242</v>
      </c>
      <c r="C276" s="269" t="s">
        <v>3825</v>
      </c>
      <c r="D276" s="512">
        <v>5100</v>
      </c>
      <c r="E276" s="512">
        <v>0</v>
      </c>
      <c r="F276" s="512">
        <v>5100</v>
      </c>
    </row>
    <row r="277" spans="2:6">
      <c r="B277" s="510" t="s">
        <v>3872</v>
      </c>
      <c r="C277" s="510" t="s">
        <v>3825</v>
      </c>
      <c r="D277" s="511">
        <v>40650</v>
      </c>
      <c r="E277" s="511">
        <v>0</v>
      </c>
      <c r="F277" s="511">
        <v>40650</v>
      </c>
    </row>
    <row r="278" spans="2:6">
      <c r="B278" s="269" t="s">
        <v>2059</v>
      </c>
      <c r="C278" s="269" t="s">
        <v>3827</v>
      </c>
      <c r="D278" s="512">
        <v>22534</v>
      </c>
      <c r="E278" s="512">
        <v>0</v>
      </c>
      <c r="F278" s="512">
        <v>22534</v>
      </c>
    </row>
    <row r="279" spans="2:6">
      <c r="B279" s="510" t="s">
        <v>2059</v>
      </c>
      <c r="C279" s="510" t="s">
        <v>2143</v>
      </c>
      <c r="D279" s="511">
        <v>9150</v>
      </c>
      <c r="E279" s="511">
        <v>0</v>
      </c>
      <c r="F279" s="511">
        <v>9150</v>
      </c>
    </row>
    <row r="280" spans="2:6">
      <c r="B280" s="269" t="s">
        <v>2059</v>
      </c>
      <c r="C280" s="269" t="s">
        <v>2146</v>
      </c>
      <c r="D280" s="512">
        <v>5280</v>
      </c>
      <c r="E280" s="512">
        <v>0</v>
      </c>
      <c r="F280" s="512">
        <v>5280</v>
      </c>
    </row>
    <row r="281" spans="2:6">
      <c r="B281" s="510" t="s">
        <v>2059</v>
      </c>
      <c r="C281" s="510" t="s">
        <v>2167</v>
      </c>
      <c r="D281" s="511">
        <v>1750</v>
      </c>
      <c r="E281" s="511">
        <v>0</v>
      </c>
      <c r="F281" s="511">
        <v>1750</v>
      </c>
    </row>
    <row r="282" spans="2:6">
      <c r="B282" s="269" t="s">
        <v>2059</v>
      </c>
      <c r="C282" s="269" t="s">
        <v>2144</v>
      </c>
      <c r="D282" s="512">
        <v>1329</v>
      </c>
      <c r="E282" s="512">
        <v>0</v>
      </c>
      <c r="F282" s="512">
        <v>1329</v>
      </c>
    </row>
    <row r="283" spans="2:6">
      <c r="B283" s="510" t="s">
        <v>2059</v>
      </c>
      <c r="C283" s="510" t="s">
        <v>2169</v>
      </c>
      <c r="D283" s="511">
        <v>250</v>
      </c>
      <c r="E283" s="511">
        <v>0</v>
      </c>
      <c r="F283" s="511">
        <v>250</v>
      </c>
    </row>
    <row r="284" spans="2:6">
      <c r="B284" s="269" t="s">
        <v>1941</v>
      </c>
      <c r="C284" s="269" t="s">
        <v>3825</v>
      </c>
      <c r="D284" s="512">
        <v>39350</v>
      </c>
      <c r="E284" s="512">
        <v>0</v>
      </c>
      <c r="F284" s="512">
        <v>39350</v>
      </c>
    </row>
    <row r="285" spans="2:6">
      <c r="B285" s="510" t="s">
        <v>1941</v>
      </c>
      <c r="C285" s="510" t="s">
        <v>2165</v>
      </c>
      <c r="D285" s="511">
        <v>941</v>
      </c>
      <c r="E285" s="511">
        <v>0</v>
      </c>
      <c r="F285" s="511">
        <v>941</v>
      </c>
    </row>
    <row r="286" spans="2:6">
      <c r="B286" s="269" t="s">
        <v>403</v>
      </c>
      <c r="C286" s="269" t="s">
        <v>3825</v>
      </c>
      <c r="D286" s="512">
        <v>39300</v>
      </c>
      <c r="E286" s="512">
        <v>0</v>
      </c>
      <c r="F286" s="512">
        <v>39300</v>
      </c>
    </row>
    <row r="287" spans="2:6">
      <c r="B287" s="510" t="s">
        <v>403</v>
      </c>
      <c r="C287" s="510" t="s">
        <v>2165</v>
      </c>
      <c r="D287" s="511">
        <v>81</v>
      </c>
      <c r="E287" s="511">
        <v>0</v>
      </c>
      <c r="F287" s="511">
        <v>81</v>
      </c>
    </row>
    <row r="288" spans="2:6">
      <c r="B288" s="269" t="s">
        <v>491</v>
      </c>
      <c r="C288" s="269" t="s">
        <v>2165</v>
      </c>
      <c r="D288" s="512">
        <v>38643</v>
      </c>
      <c r="E288" s="512">
        <v>0</v>
      </c>
      <c r="F288" s="512">
        <v>38643</v>
      </c>
    </row>
    <row r="289" spans="2:6">
      <c r="B289" s="510" t="s">
        <v>3873</v>
      </c>
      <c r="C289" s="510" t="s">
        <v>3825</v>
      </c>
      <c r="D289" s="511">
        <v>38000</v>
      </c>
      <c r="E289" s="511">
        <v>0</v>
      </c>
      <c r="F289" s="511">
        <v>38000</v>
      </c>
    </row>
    <row r="290" spans="2:6">
      <c r="B290" s="269" t="s">
        <v>3874</v>
      </c>
      <c r="C290" s="269" t="s">
        <v>3825</v>
      </c>
      <c r="D290" s="512">
        <v>38000</v>
      </c>
      <c r="E290" s="512">
        <v>0</v>
      </c>
      <c r="F290" s="512">
        <v>38000</v>
      </c>
    </row>
    <row r="291" spans="2:6">
      <c r="B291" s="510" t="s">
        <v>534</v>
      </c>
      <c r="C291" s="510" t="s">
        <v>3825</v>
      </c>
      <c r="D291" s="511">
        <v>33000</v>
      </c>
      <c r="E291" s="511">
        <v>0</v>
      </c>
      <c r="F291" s="511">
        <v>33000</v>
      </c>
    </row>
    <row r="292" spans="2:6">
      <c r="B292" s="269" t="s">
        <v>534</v>
      </c>
      <c r="C292" s="269" t="s">
        <v>2165</v>
      </c>
      <c r="D292" s="512">
        <v>3253</v>
      </c>
      <c r="E292" s="512">
        <v>0</v>
      </c>
      <c r="F292" s="512">
        <v>3253</v>
      </c>
    </row>
    <row r="293" spans="2:6">
      <c r="B293" s="510" t="s">
        <v>1954</v>
      </c>
      <c r="C293" s="510" t="s">
        <v>2165</v>
      </c>
      <c r="D293" s="511">
        <v>24239</v>
      </c>
      <c r="E293" s="511">
        <v>0</v>
      </c>
      <c r="F293" s="511">
        <v>24239</v>
      </c>
    </row>
    <row r="294" spans="2:6">
      <c r="B294" s="269" t="s">
        <v>1954</v>
      </c>
      <c r="C294" s="269" t="s">
        <v>2138</v>
      </c>
      <c r="D294" s="512">
        <v>8250</v>
      </c>
      <c r="E294" s="512">
        <v>0</v>
      </c>
      <c r="F294" s="512">
        <v>8250</v>
      </c>
    </row>
    <row r="295" spans="2:6">
      <c r="B295" s="510" t="s">
        <v>1954</v>
      </c>
      <c r="C295" s="510" t="s">
        <v>2168</v>
      </c>
      <c r="D295" s="511">
        <v>3575</v>
      </c>
      <c r="E295" s="511">
        <v>0</v>
      </c>
      <c r="F295" s="511">
        <v>3575</v>
      </c>
    </row>
    <row r="296" spans="2:6">
      <c r="B296" s="269" t="s">
        <v>3875</v>
      </c>
      <c r="C296" s="269" t="s">
        <v>3825</v>
      </c>
      <c r="D296" s="512">
        <v>36000</v>
      </c>
      <c r="E296" s="512">
        <v>0</v>
      </c>
      <c r="F296" s="512">
        <v>36000</v>
      </c>
    </row>
    <row r="297" spans="2:6">
      <c r="B297" s="510" t="s">
        <v>3876</v>
      </c>
      <c r="C297" s="510" t="s">
        <v>3825</v>
      </c>
      <c r="D297" s="511">
        <v>36000</v>
      </c>
      <c r="E297" s="511">
        <v>0</v>
      </c>
      <c r="F297" s="511">
        <v>36000</v>
      </c>
    </row>
    <row r="298" spans="2:6">
      <c r="B298" s="269" t="s">
        <v>1942</v>
      </c>
      <c r="C298" s="269" t="s">
        <v>2137</v>
      </c>
      <c r="D298" s="512">
        <v>35947</v>
      </c>
      <c r="E298" s="512">
        <v>0</v>
      </c>
      <c r="F298" s="512">
        <v>35947</v>
      </c>
    </row>
    <row r="299" spans="2:6">
      <c r="B299" s="510" t="s">
        <v>1943</v>
      </c>
      <c r="C299" s="510" t="s">
        <v>3825</v>
      </c>
      <c r="D299" s="511">
        <v>27750</v>
      </c>
      <c r="E299" s="511">
        <v>0</v>
      </c>
      <c r="F299" s="511">
        <v>27750</v>
      </c>
    </row>
    <row r="300" spans="2:6">
      <c r="B300" s="269" t="s">
        <v>1943</v>
      </c>
      <c r="C300" s="269" t="s">
        <v>2165</v>
      </c>
      <c r="D300" s="512">
        <v>3742</v>
      </c>
      <c r="E300" s="512">
        <v>0</v>
      </c>
      <c r="F300" s="512">
        <v>3742</v>
      </c>
    </row>
    <row r="301" spans="2:6">
      <c r="B301" s="510" t="s">
        <v>1943</v>
      </c>
      <c r="C301" s="510" t="s">
        <v>2168</v>
      </c>
      <c r="D301" s="511">
        <v>3742</v>
      </c>
      <c r="E301" s="511">
        <v>0</v>
      </c>
      <c r="F301" s="511">
        <v>3742</v>
      </c>
    </row>
    <row r="302" spans="2:6">
      <c r="B302" s="269" t="s">
        <v>1999</v>
      </c>
      <c r="C302" s="269" t="s">
        <v>2178</v>
      </c>
      <c r="D302" s="512">
        <v>18372</v>
      </c>
      <c r="E302" s="512">
        <v>0</v>
      </c>
      <c r="F302" s="512">
        <v>18372</v>
      </c>
    </row>
    <row r="303" spans="2:6">
      <c r="B303" s="510" t="s">
        <v>1999</v>
      </c>
      <c r="C303" s="510" t="s">
        <v>2165</v>
      </c>
      <c r="D303" s="511">
        <v>12205</v>
      </c>
      <c r="E303" s="511">
        <v>0</v>
      </c>
      <c r="F303" s="511">
        <v>12205</v>
      </c>
    </row>
    <row r="304" spans="2:6">
      <c r="B304" s="269" t="s">
        <v>1999</v>
      </c>
      <c r="C304" s="269" t="s">
        <v>2168</v>
      </c>
      <c r="D304" s="512">
        <v>4574</v>
      </c>
      <c r="E304" s="512">
        <v>0</v>
      </c>
      <c r="F304" s="512">
        <v>4574</v>
      </c>
    </row>
    <row r="305" spans="2:6">
      <c r="B305" s="510" t="s">
        <v>2005</v>
      </c>
      <c r="C305" s="510" t="s">
        <v>2176</v>
      </c>
      <c r="D305" s="511">
        <v>11067</v>
      </c>
      <c r="E305" s="511">
        <v>0</v>
      </c>
      <c r="F305" s="511">
        <v>11067</v>
      </c>
    </row>
    <row r="306" spans="2:6">
      <c r="B306" s="269" t="s">
        <v>2005</v>
      </c>
      <c r="C306" s="269" t="s">
        <v>3825</v>
      </c>
      <c r="D306" s="512">
        <v>11000</v>
      </c>
      <c r="E306" s="512">
        <v>0</v>
      </c>
      <c r="F306" s="512">
        <v>11000</v>
      </c>
    </row>
    <row r="307" spans="2:6">
      <c r="B307" s="510" t="s">
        <v>2005</v>
      </c>
      <c r="C307" s="510" t="s">
        <v>2165</v>
      </c>
      <c r="D307" s="511">
        <v>4556</v>
      </c>
      <c r="E307" s="511">
        <v>0</v>
      </c>
      <c r="F307" s="511">
        <v>4556</v>
      </c>
    </row>
    <row r="308" spans="2:6">
      <c r="B308" s="269" t="s">
        <v>2005</v>
      </c>
      <c r="C308" s="269" t="s">
        <v>2168</v>
      </c>
      <c r="D308" s="512">
        <v>4556</v>
      </c>
      <c r="E308" s="512">
        <v>0</v>
      </c>
      <c r="F308" s="512">
        <v>4556</v>
      </c>
    </row>
    <row r="309" spans="2:6">
      <c r="B309" s="510" t="s">
        <v>2005</v>
      </c>
      <c r="C309" s="510" t="s">
        <v>2138</v>
      </c>
      <c r="D309" s="511">
        <v>3679</v>
      </c>
      <c r="E309" s="511">
        <v>0</v>
      </c>
      <c r="F309" s="511">
        <v>3679</v>
      </c>
    </row>
    <row r="310" spans="2:6">
      <c r="B310" s="269" t="s">
        <v>325</v>
      </c>
      <c r="C310" s="269" t="s">
        <v>2178</v>
      </c>
      <c r="D310" s="512">
        <v>23811</v>
      </c>
      <c r="E310" s="512">
        <v>0</v>
      </c>
      <c r="F310" s="512">
        <v>23811</v>
      </c>
    </row>
    <row r="311" spans="2:6">
      <c r="B311" s="510" t="s">
        <v>325</v>
      </c>
      <c r="C311" s="510" t="s">
        <v>2165</v>
      </c>
      <c r="D311" s="511">
        <v>10896</v>
      </c>
      <c r="E311" s="511">
        <v>0</v>
      </c>
      <c r="F311" s="511">
        <v>10896</v>
      </c>
    </row>
    <row r="312" spans="2:6">
      <c r="B312" s="269" t="s">
        <v>1944</v>
      </c>
      <c r="C312" s="269" t="s">
        <v>2165</v>
      </c>
      <c r="D312" s="512">
        <v>34546</v>
      </c>
      <c r="E312" s="512">
        <v>0</v>
      </c>
      <c r="F312" s="512">
        <v>34546</v>
      </c>
    </row>
    <row r="313" spans="2:6">
      <c r="B313" s="510" t="s">
        <v>2002</v>
      </c>
      <c r="C313" s="510" t="s">
        <v>2184</v>
      </c>
      <c r="D313" s="511">
        <v>25000</v>
      </c>
      <c r="E313" s="511">
        <v>0</v>
      </c>
      <c r="F313" s="511">
        <v>25000</v>
      </c>
    </row>
    <row r="314" spans="2:6">
      <c r="B314" s="269" t="s">
        <v>2002</v>
      </c>
      <c r="C314" s="269" t="s">
        <v>3825</v>
      </c>
      <c r="D314" s="512">
        <v>7050</v>
      </c>
      <c r="E314" s="512">
        <v>0</v>
      </c>
      <c r="F314" s="512">
        <v>7050</v>
      </c>
    </row>
    <row r="315" spans="2:6">
      <c r="B315" s="510" t="s">
        <v>2002</v>
      </c>
      <c r="C315" s="510" t="s">
        <v>2178</v>
      </c>
      <c r="D315" s="511">
        <v>1235</v>
      </c>
      <c r="E315" s="511">
        <v>0</v>
      </c>
      <c r="F315" s="511">
        <v>1235</v>
      </c>
    </row>
    <row r="316" spans="2:6">
      <c r="B316" s="269" t="s">
        <v>2002</v>
      </c>
      <c r="C316" s="269" t="s">
        <v>2168</v>
      </c>
      <c r="D316" s="512">
        <v>528</v>
      </c>
      <c r="E316" s="512">
        <v>0</v>
      </c>
      <c r="F316" s="512">
        <v>528</v>
      </c>
    </row>
    <row r="317" spans="2:6">
      <c r="B317" s="510" t="s">
        <v>2002</v>
      </c>
      <c r="C317" s="510" t="s">
        <v>2165</v>
      </c>
      <c r="D317" s="511">
        <v>528</v>
      </c>
      <c r="E317" s="511">
        <v>0</v>
      </c>
      <c r="F317" s="511">
        <v>528</v>
      </c>
    </row>
    <row r="318" spans="2:6">
      <c r="B318" s="269" t="s">
        <v>453</v>
      </c>
      <c r="C318" s="269" t="s">
        <v>3825</v>
      </c>
      <c r="D318" s="512">
        <v>20000</v>
      </c>
      <c r="E318" s="512">
        <v>0</v>
      </c>
      <c r="F318" s="512">
        <v>20000</v>
      </c>
    </row>
    <row r="319" spans="2:6">
      <c r="B319" s="510" t="s">
        <v>453</v>
      </c>
      <c r="C319" s="510" t="s">
        <v>2165</v>
      </c>
      <c r="D319" s="511">
        <v>13975</v>
      </c>
      <c r="E319" s="511">
        <v>0</v>
      </c>
      <c r="F319" s="511">
        <v>13975</v>
      </c>
    </row>
    <row r="320" spans="2:6">
      <c r="B320" s="269" t="s">
        <v>20</v>
      </c>
      <c r="C320" s="269" t="s">
        <v>3825</v>
      </c>
      <c r="D320" s="512">
        <v>30050</v>
      </c>
      <c r="E320" s="512">
        <v>0</v>
      </c>
      <c r="F320" s="512">
        <v>30050</v>
      </c>
    </row>
    <row r="321" spans="2:6">
      <c r="B321" s="510" t="s">
        <v>20</v>
      </c>
      <c r="C321" s="510" t="s">
        <v>2165</v>
      </c>
      <c r="D321" s="511">
        <v>3848</v>
      </c>
      <c r="E321" s="511">
        <v>0</v>
      </c>
      <c r="F321" s="511">
        <v>3848</v>
      </c>
    </row>
    <row r="322" spans="2:6">
      <c r="B322" s="269" t="s">
        <v>237</v>
      </c>
      <c r="C322" s="269" t="s">
        <v>3825</v>
      </c>
      <c r="D322" s="512">
        <v>30750</v>
      </c>
      <c r="E322" s="512">
        <v>0</v>
      </c>
      <c r="F322" s="512">
        <v>30750</v>
      </c>
    </row>
    <row r="323" spans="2:6">
      <c r="B323" s="510" t="s">
        <v>237</v>
      </c>
      <c r="C323" s="510" t="s">
        <v>2165</v>
      </c>
      <c r="D323" s="511">
        <v>987</v>
      </c>
      <c r="E323" s="511">
        <v>0</v>
      </c>
      <c r="F323" s="511">
        <v>987</v>
      </c>
    </row>
    <row r="324" spans="2:6">
      <c r="B324" s="269" t="s">
        <v>237</v>
      </c>
      <c r="C324" s="269" t="s">
        <v>2168</v>
      </c>
      <c r="D324" s="512">
        <v>987</v>
      </c>
      <c r="E324" s="512">
        <v>0</v>
      </c>
      <c r="F324" s="512">
        <v>987</v>
      </c>
    </row>
    <row r="325" spans="2:6">
      <c r="B325" s="510" t="s">
        <v>502</v>
      </c>
      <c r="C325" s="510" t="s">
        <v>2165</v>
      </c>
      <c r="D325" s="511">
        <v>32612</v>
      </c>
      <c r="E325" s="511">
        <v>0</v>
      </c>
      <c r="F325" s="511">
        <v>32612</v>
      </c>
    </row>
    <row r="326" spans="2:6">
      <c r="B326" s="269" t="s">
        <v>269</v>
      </c>
      <c r="C326" s="269" t="s">
        <v>2154</v>
      </c>
      <c r="D326" s="512">
        <v>21071</v>
      </c>
      <c r="E326" s="512">
        <v>0</v>
      </c>
      <c r="F326" s="512">
        <v>21071</v>
      </c>
    </row>
    <row r="327" spans="2:6">
      <c r="B327" s="510" t="s">
        <v>269</v>
      </c>
      <c r="C327" s="510" t="s">
        <v>3825</v>
      </c>
      <c r="D327" s="511">
        <v>11000</v>
      </c>
      <c r="E327" s="511">
        <v>0</v>
      </c>
      <c r="F327" s="511">
        <v>11000</v>
      </c>
    </row>
    <row r="328" spans="2:6">
      <c r="B328" s="269" t="s">
        <v>269</v>
      </c>
      <c r="C328" s="269" t="s">
        <v>2165</v>
      </c>
      <c r="D328" s="512">
        <v>190</v>
      </c>
      <c r="E328" s="512">
        <v>0</v>
      </c>
      <c r="F328" s="512">
        <v>190</v>
      </c>
    </row>
    <row r="329" spans="2:6">
      <c r="B329" s="510" t="s">
        <v>3877</v>
      </c>
      <c r="C329" s="510" t="s">
        <v>3825</v>
      </c>
      <c r="D329" s="511">
        <v>32100</v>
      </c>
      <c r="E329" s="511">
        <v>0</v>
      </c>
      <c r="F329" s="511">
        <v>32100</v>
      </c>
    </row>
    <row r="330" spans="2:6">
      <c r="B330" s="269" t="s">
        <v>1947</v>
      </c>
      <c r="C330" s="269" t="s">
        <v>2165</v>
      </c>
      <c r="D330" s="512">
        <v>19527</v>
      </c>
      <c r="E330" s="512">
        <v>0</v>
      </c>
      <c r="F330" s="512">
        <v>19527</v>
      </c>
    </row>
    <row r="331" spans="2:6">
      <c r="B331" s="510" t="s">
        <v>1947</v>
      </c>
      <c r="C331" s="510" t="s">
        <v>3825</v>
      </c>
      <c r="D331" s="511">
        <v>11000</v>
      </c>
      <c r="E331" s="511">
        <v>0</v>
      </c>
      <c r="F331" s="511">
        <v>11000</v>
      </c>
    </row>
    <row r="332" spans="2:6">
      <c r="B332" s="269" t="s">
        <v>1948</v>
      </c>
      <c r="C332" s="269" t="s">
        <v>2168</v>
      </c>
      <c r="D332" s="512">
        <v>28827</v>
      </c>
      <c r="E332" s="512">
        <v>0</v>
      </c>
      <c r="F332" s="512">
        <v>28827</v>
      </c>
    </row>
    <row r="333" spans="2:6">
      <c r="B333" s="510" t="s">
        <v>1948</v>
      </c>
      <c r="C333" s="510" t="s">
        <v>2165</v>
      </c>
      <c r="D333" s="511">
        <v>1638</v>
      </c>
      <c r="E333" s="511">
        <v>0</v>
      </c>
      <c r="F333" s="511">
        <v>1638</v>
      </c>
    </row>
    <row r="334" spans="2:6">
      <c r="B334" s="269" t="s">
        <v>1978</v>
      </c>
      <c r="C334" s="269" t="s">
        <v>2168</v>
      </c>
      <c r="D334" s="512">
        <v>15543</v>
      </c>
      <c r="E334" s="512">
        <v>0</v>
      </c>
      <c r="F334" s="512">
        <v>15543</v>
      </c>
    </row>
    <row r="335" spans="2:6">
      <c r="B335" s="510" t="s">
        <v>1978</v>
      </c>
      <c r="C335" s="510" t="s">
        <v>2137</v>
      </c>
      <c r="D335" s="511">
        <v>13386</v>
      </c>
      <c r="E335" s="511">
        <v>0</v>
      </c>
      <c r="F335" s="511">
        <v>13386</v>
      </c>
    </row>
    <row r="336" spans="2:6">
      <c r="B336" s="269" t="s">
        <v>1978</v>
      </c>
      <c r="C336" s="269" t="s">
        <v>2178</v>
      </c>
      <c r="D336" s="512">
        <v>1514</v>
      </c>
      <c r="E336" s="512">
        <v>0</v>
      </c>
      <c r="F336" s="512">
        <v>1514</v>
      </c>
    </row>
    <row r="337" spans="2:6">
      <c r="B337" s="510" t="s">
        <v>323</v>
      </c>
      <c r="C337" s="510" t="s">
        <v>2178</v>
      </c>
      <c r="D337" s="511">
        <v>19227</v>
      </c>
      <c r="E337" s="511">
        <v>0</v>
      </c>
      <c r="F337" s="511">
        <v>19227</v>
      </c>
    </row>
    <row r="338" spans="2:6">
      <c r="B338" s="269" t="s">
        <v>323</v>
      </c>
      <c r="C338" s="269" t="s">
        <v>3825</v>
      </c>
      <c r="D338" s="512">
        <v>7000</v>
      </c>
      <c r="E338" s="512">
        <v>0</v>
      </c>
      <c r="F338" s="512">
        <v>7000</v>
      </c>
    </row>
    <row r="339" spans="2:6">
      <c r="B339" s="510" t="s">
        <v>323</v>
      </c>
      <c r="C339" s="510" t="s">
        <v>2165</v>
      </c>
      <c r="D339" s="511">
        <v>2016</v>
      </c>
      <c r="E339" s="511">
        <v>0</v>
      </c>
      <c r="F339" s="511">
        <v>2016</v>
      </c>
    </row>
    <row r="340" spans="2:6">
      <c r="B340" s="269" t="s">
        <v>323</v>
      </c>
      <c r="C340" s="269" t="s">
        <v>2168</v>
      </c>
      <c r="D340" s="512">
        <v>2016</v>
      </c>
      <c r="E340" s="512">
        <v>0</v>
      </c>
      <c r="F340" s="512">
        <v>2016</v>
      </c>
    </row>
    <row r="341" spans="2:6">
      <c r="B341" s="510" t="s">
        <v>1949</v>
      </c>
      <c r="C341" s="510" t="s">
        <v>2152</v>
      </c>
      <c r="D341" s="511">
        <v>30100</v>
      </c>
      <c r="E341" s="511">
        <v>0</v>
      </c>
      <c r="F341" s="511">
        <v>30100</v>
      </c>
    </row>
    <row r="342" spans="2:6">
      <c r="B342" s="269" t="s">
        <v>1950</v>
      </c>
      <c r="C342" s="269" t="s">
        <v>2149</v>
      </c>
      <c r="D342" s="512">
        <v>30000</v>
      </c>
      <c r="E342" s="512">
        <v>0</v>
      </c>
      <c r="F342" s="512">
        <v>30000</v>
      </c>
    </row>
    <row r="343" spans="2:6">
      <c r="B343" s="510" t="s">
        <v>3879</v>
      </c>
      <c r="C343" s="510" t="s">
        <v>3825</v>
      </c>
      <c r="D343" s="511">
        <v>30000</v>
      </c>
      <c r="E343" s="511">
        <v>0</v>
      </c>
      <c r="F343" s="511">
        <v>30000</v>
      </c>
    </row>
    <row r="344" spans="2:6">
      <c r="B344" s="269" t="s">
        <v>3878</v>
      </c>
      <c r="C344" s="269" t="s">
        <v>3825</v>
      </c>
      <c r="D344" s="512">
        <v>30000</v>
      </c>
      <c r="E344" s="512">
        <v>0</v>
      </c>
      <c r="F344" s="512">
        <v>30000</v>
      </c>
    </row>
    <row r="345" spans="2:6">
      <c r="B345" s="510" t="s">
        <v>3880</v>
      </c>
      <c r="C345" s="510" t="s">
        <v>3825</v>
      </c>
      <c r="D345" s="511">
        <v>29973</v>
      </c>
      <c r="E345" s="511">
        <v>0</v>
      </c>
      <c r="F345" s="511">
        <v>29973</v>
      </c>
    </row>
    <row r="346" spans="2:6">
      <c r="B346" s="269" t="s">
        <v>1952</v>
      </c>
      <c r="C346" s="269" t="s">
        <v>2165</v>
      </c>
      <c r="D346" s="512">
        <v>14675</v>
      </c>
      <c r="E346" s="512">
        <v>0</v>
      </c>
      <c r="F346" s="512">
        <v>14675</v>
      </c>
    </row>
    <row r="347" spans="2:6">
      <c r="B347" s="510" t="s">
        <v>1952</v>
      </c>
      <c r="C347" s="510" t="s">
        <v>2168</v>
      </c>
      <c r="D347" s="511">
        <v>14590</v>
      </c>
      <c r="E347" s="511">
        <v>0</v>
      </c>
      <c r="F347" s="511">
        <v>14590</v>
      </c>
    </row>
    <row r="348" spans="2:6">
      <c r="B348" s="269" t="s">
        <v>1952</v>
      </c>
      <c r="C348" s="269" t="s">
        <v>2178</v>
      </c>
      <c r="D348" s="512">
        <v>486</v>
      </c>
      <c r="E348" s="512">
        <v>0</v>
      </c>
      <c r="F348" s="512">
        <v>486</v>
      </c>
    </row>
    <row r="349" spans="2:6">
      <c r="B349" s="510" t="s">
        <v>3881</v>
      </c>
      <c r="C349" s="510" t="s">
        <v>3825</v>
      </c>
      <c r="D349" s="511">
        <v>29000</v>
      </c>
      <c r="E349" s="511">
        <v>0</v>
      </c>
      <c r="F349" s="511">
        <v>29000</v>
      </c>
    </row>
    <row r="350" spans="2:6">
      <c r="B350" s="269" t="s">
        <v>418</v>
      </c>
      <c r="C350" s="269" t="s">
        <v>3825</v>
      </c>
      <c r="D350" s="512">
        <v>23400</v>
      </c>
      <c r="E350" s="512">
        <v>0</v>
      </c>
      <c r="F350" s="512">
        <v>23400</v>
      </c>
    </row>
    <row r="351" spans="2:6">
      <c r="B351" s="510" t="s">
        <v>418</v>
      </c>
      <c r="C351" s="510" t="s">
        <v>2165</v>
      </c>
      <c r="D351" s="511">
        <v>5221</v>
      </c>
      <c r="E351" s="511">
        <v>0</v>
      </c>
      <c r="F351" s="511">
        <v>5221</v>
      </c>
    </row>
    <row r="352" spans="2:6">
      <c r="B352" s="269" t="s">
        <v>488</v>
      </c>
      <c r="C352" s="269" t="s">
        <v>2168</v>
      </c>
      <c r="D352" s="512">
        <v>11480</v>
      </c>
      <c r="E352" s="512">
        <v>0</v>
      </c>
      <c r="F352" s="512">
        <v>11480</v>
      </c>
    </row>
    <row r="353" spans="2:6">
      <c r="B353" s="510" t="s">
        <v>488</v>
      </c>
      <c r="C353" s="510" t="s">
        <v>2165</v>
      </c>
      <c r="D353" s="511">
        <v>11478</v>
      </c>
      <c r="E353" s="511">
        <v>0</v>
      </c>
      <c r="F353" s="511">
        <v>11478</v>
      </c>
    </row>
    <row r="354" spans="2:6">
      <c r="B354" s="269" t="s">
        <v>488</v>
      </c>
      <c r="C354" s="269" t="s">
        <v>2137</v>
      </c>
      <c r="D354" s="512">
        <v>5643</v>
      </c>
      <c r="E354" s="512">
        <v>0</v>
      </c>
      <c r="F354" s="512">
        <v>5643</v>
      </c>
    </row>
    <row r="355" spans="2:6">
      <c r="B355" s="510" t="s">
        <v>2009</v>
      </c>
      <c r="C355" s="510" t="s">
        <v>3841</v>
      </c>
      <c r="D355" s="511">
        <v>12169</v>
      </c>
      <c r="E355" s="511">
        <v>0</v>
      </c>
      <c r="F355" s="511">
        <v>12169</v>
      </c>
    </row>
    <row r="356" spans="2:6">
      <c r="B356" s="269" t="s">
        <v>2009</v>
      </c>
      <c r="C356" s="269" t="s">
        <v>3827</v>
      </c>
      <c r="D356" s="512">
        <v>7821</v>
      </c>
      <c r="E356" s="512">
        <v>0</v>
      </c>
      <c r="F356" s="512">
        <v>7821</v>
      </c>
    </row>
    <row r="357" spans="2:6">
      <c r="B357" s="510" t="s">
        <v>2009</v>
      </c>
      <c r="C357" s="510" t="s">
        <v>2142</v>
      </c>
      <c r="D357" s="511">
        <v>3666</v>
      </c>
      <c r="E357" s="511">
        <v>0</v>
      </c>
      <c r="F357" s="511">
        <v>3666</v>
      </c>
    </row>
    <row r="358" spans="2:6">
      <c r="B358" s="269" t="s">
        <v>2009</v>
      </c>
      <c r="C358" s="269" t="s">
        <v>2144</v>
      </c>
      <c r="D358" s="512">
        <v>2440</v>
      </c>
      <c r="E358" s="512">
        <v>0</v>
      </c>
      <c r="F358" s="512">
        <v>2440</v>
      </c>
    </row>
    <row r="359" spans="2:6">
      <c r="B359" s="510" t="s">
        <v>2009</v>
      </c>
      <c r="C359" s="510" t="s">
        <v>2136</v>
      </c>
      <c r="D359" s="511">
        <v>1088</v>
      </c>
      <c r="E359" s="511">
        <v>0</v>
      </c>
      <c r="F359" s="511">
        <v>1088</v>
      </c>
    </row>
    <row r="360" spans="2:6">
      <c r="B360" s="269" t="s">
        <v>2009</v>
      </c>
      <c r="C360" s="269" t="s">
        <v>2167</v>
      </c>
      <c r="D360" s="512">
        <v>700</v>
      </c>
      <c r="E360" s="512">
        <v>0</v>
      </c>
      <c r="F360" s="512">
        <v>700</v>
      </c>
    </row>
    <row r="361" spans="2:6">
      <c r="B361" s="510" t="s">
        <v>2009</v>
      </c>
      <c r="C361" s="510" t="s">
        <v>2169</v>
      </c>
      <c r="D361" s="511">
        <v>100</v>
      </c>
      <c r="E361" s="511">
        <v>0</v>
      </c>
      <c r="F361" s="511">
        <v>100</v>
      </c>
    </row>
    <row r="362" spans="2:6">
      <c r="B362" s="269" t="s">
        <v>2009</v>
      </c>
      <c r="C362" s="269" t="s">
        <v>2151</v>
      </c>
      <c r="D362" s="512">
        <v>99</v>
      </c>
      <c r="E362" s="512">
        <v>0</v>
      </c>
      <c r="F362" s="512">
        <v>99</v>
      </c>
    </row>
    <row r="363" spans="2:6">
      <c r="B363" s="510" t="s">
        <v>3882</v>
      </c>
      <c r="C363" s="510" t="s">
        <v>3825</v>
      </c>
      <c r="D363" s="511">
        <v>28000</v>
      </c>
      <c r="E363" s="511">
        <v>0</v>
      </c>
      <c r="F363" s="511">
        <v>28000</v>
      </c>
    </row>
    <row r="364" spans="2:6">
      <c r="B364" s="269" t="s">
        <v>454</v>
      </c>
      <c r="C364" s="269" t="s">
        <v>3825</v>
      </c>
      <c r="D364" s="512">
        <v>15000</v>
      </c>
      <c r="E364" s="512">
        <v>0</v>
      </c>
      <c r="F364" s="512">
        <v>15000</v>
      </c>
    </row>
    <row r="365" spans="2:6">
      <c r="B365" s="510" t="s">
        <v>454</v>
      </c>
      <c r="C365" s="510" t="s">
        <v>2165</v>
      </c>
      <c r="D365" s="511">
        <v>12924</v>
      </c>
      <c r="E365" s="511">
        <v>0</v>
      </c>
      <c r="F365" s="511">
        <v>12924</v>
      </c>
    </row>
    <row r="366" spans="2:6">
      <c r="B366" s="269" t="s">
        <v>450</v>
      </c>
      <c r="C366" s="269" t="s">
        <v>3825</v>
      </c>
      <c r="D366" s="512">
        <v>15000</v>
      </c>
      <c r="E366" s="512">
        <v>0</v>
      </c>
      <c r="F366" s="512">
        <v>15000</v>
      </c>
    </row>
    <row r="367" spans="2:6">
      <c r="B367" s="510" t="s">
        <v>450</v>
      </c>
      <c r="C367" s="510" t="s">
        <v>2165</v>
      </c>
      <c r="D367" s="511">
        <v>12879</v>
      </c>
      <c r="E367" s="511">
        <v>0</v>
      </c>
      <c r="F367" s="511">
        <v>12879</v>
      </c>
    </row>
    <row r="368" spans="2:6">
      <c r="B368" s="269" t="s">
        <v>1961</v>
      </c>
      <c r="C368" s="269" t="s">
        <v>3825</v>
      </c>
      <c r="D368" s="512">
        <v>24500</v>
      </c>
      <c r="E368" s="512">
        <v>0</v>
      </c>
      <c r="F368" s="512">
        <v>24500</v>
      </c>
    </row>
    <row r="369" spans="2:6">
      <c r="B369" s="510" t="s">
        <v>1961</v>
      </c>
      <c r="C369" s="510" t="s">
        <v>2165</v>
      </c>
      <c r="D369" s="511">
        <v>2064</v>
      </c>
      <c r="E369" s="511">
        <v>0</v>
      </c>
      <c r="F369" s="511">
        <v>2064</v>
      </c>
    </row>
    <row r="370" spans="2:6">
      <c r="B370" s="269" t="s">
        <v>1961</v>
      </c>
      <c r="C370" s="269" t="s">
        <v>2168</v>
      </c>
      <c r="D370" s="512">
        <v>892</v>
      </c>
      <c r="E370" s="512">
        <v>0</v>
      </c>
      <c r="F370" s="512">
        <v>892</v>
      </c>
    </row>
    <row r="371" spans="2:6">
      <c r="B371" s="510" t="s">
        <v>1955</v>
      </c>
      <c r="C371" s="510" t="s">
        <v>2190</v>
      </c>
      <c r="D371" s="511">
        <v>10000</v>
      </c>
      <c r="E371" s="511">
        <v>0</v>
      </c>
      <c r="F371" s="511">
        <v>10000</v>
      </c>
    </row>
    <row r="372" spans="2:6">
      <c r="B372" s="269" t="s">
        <v>1955</v>
      </c>
      <c r="C372" s="269" t="s">
        <v>2165</v>
      </c>
      <c r="D372" s="512">
        <v>8601</v>
      </c>
      <c r="E372" s="512">
        <v>0</v>
      </c>
      <c r="F372" s="512">
        <v>8601</v>
      </c>
    </row>
    <row r="373" spans="2:6">
      <c r="B373" s="510" t="s">
        <v>1955</v>
      </c>
      <c r="C373" s="510" t="s">
        <v>2168</v>
      </c>
      <c r="D373" s="511">
        <v>8601</v>
      </c>
      <c r="E373" s="511">
        <v>0</v>
      </c>
      <c r="F373" s="511">
        <v>8601</v>
      </c>
    </row>
    <row r="374" spans="2:6">
      <c r="B374" s="269" t="s">
        <v>292</v>
      </c>
      <c r="C374" s="269" t="s">
        <v>3827</v>
      </c>
      <c r="D374" s="512">
        <v>18328</v>
      </c>
      <c r="E374" s="512">
        <v>0</v>
      </c>
      <c r="F374" s="512">
        <v>18328</v>
      </c>
    </row>
    <row r="375" spans="2:6">
      <c r="B375" s="510" t="s">
        <v>292</v>
      </c>
      <c r="C375" s="510" t="s">
        <v>2165</v>
      </c>
      <c r="D375" s="511">
        <v>6310</v>
      </c>
      <c r="E375" s="511">
        <v>0</v>
      </c>
      <c r="F375" s="511">
        <v>6310</v>
      </c>
    </row>
    <row r="376" spans="2:6">
      <c r="B376" s="269" t="s">
        <v>292</v>
      </c>
      <c r="C376" s="269" t="s">
        <v>2167</v>
      </c>
      <c r="D376" s="512">
        <v>2100</v>
      </c>
      <c r="E376" s="512">
        <v>0</v>
      </c>
      <c r="F376" s="512">
        <v>2100</v>
      </c>
    </row>
    <row r="377" spans="2:6">
      <c r="B377" s="510" t="s">
        <v>292</v>
      </c>
      <c r="C377" s="510" t="s">
        <v>2169</v>
      </c>
      <c r="D377" s="511">
        <v>300</v>
      </c>
      <c r="E377" s="511">
        <v>0</v>
      </c>
      <c r="F377" s="511">
        <v>300</v>
      </c>
    </row>
    <row r="378" spans="2:6">
      <c r="B378" s="269" t="s">
        <v>187</v>
      </c>
      <c r="C378" s="269" t="s">
        <v>2165</v>
      </c>
      <c r="D378" s="512">
        <v>27016</v>
      </c>
      <c r="E378" s="512">
        <v>0</v>
      </c>
      <c r="F378" s="512">
        <v>27016</v>
      </c>
    </row>
    <row r="379" spans="2:6">
      <c r="B379" s="510" t="s">
        <v>1956</v>
      </c>
      <c r="C379" s="510" t="s">
        <v>2168</v>
      </c>
      <c r="D379" s="511">
        <v>16255</v>
      </c>
      <c r="E379" s="511">
        <v>0</v>
      </c>
      <c r="F379" s="511">
        <v>16255</v>
      </c>
    </row>
    <row r="380" spans="2:6">
      <c r="B380" s="269" t="s">
        <v>1956</v>
      </c>
      <c r="C380" s="269" t="s">
        <v>2165</v>
      </c>
      <c r="D380" s="512">
        <v>10736</v>
      </c>
      <c r="E380" s="512">
        <v>0</v>
      </c>
      <c r="F380" s="512">
        <v>10736</v>
      </c>
    </row>
    <row r="381" spans="2:6">
      <c r="B381" s="510" t="s">
        <v>1957</v>
      </c>
      <c r="C381" s="510" t="s">
        <v>2168</v>
      </c>
      <c r="D381" s="511">
        <v>13323</v>
      </c>
      <c r="E381" s="511">
        <v>0</v>
      </c>
      <c r="F381" s="511">
        <v>13323</v>
      </c>
    </row>
    <row r="382" spans="2:6">
      <c r="B382" s="269" t="s">
        <v>1957</v>
      </c>
      <c r="C382" s="269" t="s">
        <v>2165</v>
      </c>
      <c r="D382" s="512">
        <v>13323</v>
      </c>
      <c r="E382" s="512">
        <v>0</v>
      </c>
      <c r="F382" s="512">
        <v>13323</v>
      </c>
    </row>
    <row r="383" spans="2:6">
      <c r="B383" s="510" t="s">
        <v>1959</v>
      </c>
      <c r="C383" s="510" t="s">
        <v>2138</v>
      </c>
      <c r="D383" s="511">
        <v>26388</v>
      </c>
      <c r="E383" s="511">
        <v>0</v>
      </c>
      <c r="F383" s="511">
        <v>26388</v>
      </c>
    </row>
    <row r="384" spans="2:6">
      <c r="B384" s="269" t="s">
        <v>1962</v>
      </c>
      <c r="C384" s="269" t="s">
        <v>3825</v>
      </c>
      <c r="D384" s="512">
        <v>25100</v>
      </c>
      <c r="E384" s="512">
        <v>0</v>
      </c>
      <c r="F384" s="512">
        <v>25100</v>
      </c>
    </row>
    <row r="385" spans="2:6">
      <c r="B385" s="510" t="s">
        <v>1939</v>
      </c>
      <c r="C385" s="510" t="s">
        <v>2165</v>
      </c>
      <c r="D385" s="511">
        <v>24953</v>
      </c>
      <c r="E385" s="511">
        <v>0</v>
      </c>
      <c r="F385" s="511">
        <v>24953</v>
      </c>
    </row>
    <row r="386" spans="2:6">
      <c r="B386" s="269" t="s">
        <v>1939</v>
      </c>
      <c r="C386" s="269" t="s">
        <v>3825</v>
      </c>
      <c r="D386" s="512">
        <v>60</v>
      </c>
      <c r="E386" s="512">
        <v>0</v>
      </c>
      <c r="F386" s="512">
        <v>60</v>
      </c>
    </row>
    <row r="387" spans="2:6">
      <c r="B387" s="510" t="s">
        <v>430</v>
      </c>
      <c r="C387" s="510" t="s">
        <v>3825</v>
      </c>
      <c r="D387" s="511">
        <v>25000</v>
      </c>
      <c r="E387" s="511">
        <v>0</v>
      </c>
      <c r="F387" s="511">
        <v>25000</v>
      </c>
    </row>
    <row r="388" spans="2:6">
      <c r="B388" s="269" t="s">
        <v>430</v>
      </c>
      <c r="C388" s="269" t="s">
        <v>2165</v>
      </c>
      <c r="D388" s="512">
        <v>4</v>
      </c>
      <c r="E388" s="512">
        <v>0</v>
      </c>
      <c r="F388" s="512">
        <v>4</v>
      </c>
    </row>
    <row r="389" spans="2:6">
      <c r="B389" s="510" t="s">
        <v>1964</v>
      </c>
      <c r="C389" s="510" t="s">
        <v>2184</v>
      </c>
      <c r="D389" s="511">
        <v>25000</v>
      </c>
      <c r="E389" s="511">
        <v>0</v>
      </c>
      <c r="F389" s="511">
        <v>25000</v>
      </c>
    </row>
    <row r="390" spans="2:6">
      <c r="B390" s="269" t="s">
        <v>1967</v>
      </c>
      <c r="C390" s="269" t="s">
        <v>2184</v>
      </c>
      <c r="D390" s="512">
        <v>25000</v>
      </c>
      <c r="E390" s="512">
        <v>0</v>
      </c>
      <c r="F390" s="512">
        <v>25000</v>
      </c>
    </row>
    <row r="391" spans="2:6">
      <c r="B391" s="510" t="s">
        <v>1965</v>
      </c>
      <c r="C391" s="510" t="s">
        <v>2184</v>
      </c>
      <c r="D391" s="511">
        <v>25000</v>
      </c>
      <c r="E391" s="511">
        <v>0</v>
      </c>
      <c r="F391" s="511">
        <v>25000</v>
      </c>
    </row>
    <row r="392" spans="2:6">
      <c r="B392" s="269" t="s">
        <v>1966</v>
      </c>
      <c r="C392" s="269" t="s">
        <v>2184</v>
      </c>
      <c r="D392" s="512">
        <v>25000</v>
      </c>
      <c r="E392" s="512">
        <v>0</v>
      </c>
      <c r="F392" s="512">
        <v>25000</v>
      </c>
    </row>
    <row r="393" spans="2:6">
      <c r="B393" s="510" t="s">
        <v>243</v>
      </c>
      <c r="C393" s="510" t="s">
        <v>2165</v>
      </c>
      <c r="D393" s="511">
        <v>24795</v>
      </c>
      <c r="E393" s="511">
        <v>0</v>
      </c>
      <c r="F393" s="511">
        <v>24795</v>
      </c>
    </row>
    <row r="394" spans="2:6">
      <c r="B394" s="269" t="s">
        <v>1968</v>
      </c>
      <c r="C394" s="269" t="s">
        <v>2165</v>
      </c>
      <c r="D394" s="512">
        <v>24607</v>
      </c>
      <c r="E394" s="512">
        <v>0</v>
      </c>
      <c r="F394" s="512">
        <v>24607</v>
      </c>
    </row>
    <row r="395" spans="2:6">
      <c r="B395" s="510" t="s">
        <v>1969</v>
      </c>
      <c r="C395" s="510" t="s">
        <v>3825</v>
      </c>
      <c r="D395" s="511">
        <v>21000</v>
      </c>
      <c r="E395" s="511">
        <v>0</v>
      </c>
      <c r="F395" s="511">
        <v>21000</v>
      </c>
    </row>
    <row r="396" spans="2:6">
      <c r="B396" s="269" t="s">
        <v>1969</v>
      </c>
      <c r="C396" s="269" t="s">
        <v>2165</v>
      </c>
      <c r="D396" s="512">
        <v>888</v>
      </c>
      <c r="E396" s="512">
        <v>0</v>
      </c>
      <c r="F396" s="512">
        <v>888</v>
      </c>
    </row>
    <row r="397" spans="2:6">
      <c r="B397" s="510" t="s">
        <v>1969</v>
      </c>
      <c r="C397" s="510" t="s">
        <v>2168</v>
      </c>
      <c r="D397" s="511">
        <v>888</v>
      </c>
      <c r="E397" s="511">
        <v>0</v>
      </c>
      <c r="F397" s="511">
        <v>888</v>
      </c>
    </row>
    <row r="398" spans="2:6">
      <c r="B398" s="269" t="s">
        <v>3883</v>
      </c>
      <c r="C398" s="269" t="s">
        <v>2165</v>
      </c>
      <c r="D398" s="512">
        <v>22761</v>
      </c>
      <c r="E398" s="512">
        <v>0</v>
      </c>
      <c r="F398" s="512">
        <v>22761</v>
      </c>
    </row>
    <row r="399" spans="2:6">
      <c r="B399" s="510" t="s">
        <v>147</v>
      </c>
      <c r="C399" s="510" t="s">
        <v>2165</v>
      </c>
      <c r="D399" s="511">
        <v>22429</v>
      </c>
      <c r="E399" s="511">
        <v>0</v>
      </c>
      <c r="F399" s="511">
        <v>22429</v>
      </c>
    </row>
    <row r="400" spans="2:6">
      <c r="B400" s="269" t="s">
        <v>3884</v>
      </c>
      <c r="C400" s="269" t="s">
        <v>3825</v>
      </c>
      <c r="D400" s="512">
        <v>22000</v>
      </c>
      <c r="E400" s="512">
        <v>0</v>
      </c>
      <c r="F400" s="512">
        <v>22000</v>
      </c>
    </row>
    <row r="401" spans="2:6">
      <c r="B401" s="510" t="s">
        <v>3885</v>
      </c>
      <c r="C401" s="510" t="s">
        <v>3825</v>
      </c>
      <c r="D401" s="511">
        <v>22000</v>
      </c>
      <c r="E401" s="511">
        <v>0</v>
      </c>
      <c r="F401" s="511">
        <v>22000</v>
      </c>
    </row>
    <row r="402" spans="2:6">
      <c r="B402" s="269" t="s">
        <v>1990</v>
      </c>
      <c r="C402" s="269" t="s">
        <v>2168</v>
      </c>
      <c r="D402" s="512">
        <v>10926</v>
      </c>
      <c r="E402" s="512">
        <v>0</v>
      </c>
      <c r="F402" s="512">
        <v>10926</v>
      </c>
    </row>
    <row r="403" spans="2:6">
      <c r="B403" s="510" t="s">
        <v>1990</v>
      </c>
      <c r="C403" s="510" t="s">
        <v>2165</v>
      </c>
      <c r="D403" s="511">
        <v>10926</v>
      </c>
      <c r="E403" s="511">
        <v>0</v>
      </c>
      <c r="F403" s="511">
        <v>10926</v>
      </c>
    </row>
    <row r="404" spans="2:6">
      <c r="B404" s="269" t="s">
        <v>447</v>
      </c>
      <c r="C404" s="269" t="s">
        <v>2165</v>
      </c>
      <c r="D404" s="512">
        <v>21240</v>
      </c>
      <c r="E404" s="512">
        <v>0</v>
      </c>
      <c r="F404" s="512">
        <v>21240</v>
      </c>
    </row>
    <row r="405" spans="2:6">
      <c r="B405" s="510" t="s">
        <v>1970</v>
      </c>
      <c r="C405" s="510" t="s">
        <v>2165</v>
      </c>
      <c r="D405" s="511">
        <v>10263</v>
      </c>
      <c r="E405" s="511">
        <v>0</v>
      </c>
      <c r="F405" s="511">
        <v>10263</v>
      </c>
    </row>
    <row r="406" spans="2:6">
      <c r="B406" s="269" t="s">
        <v>1970</v>
      </c>
      <c r="C406" s="269" t="s">
        <v>2168</v>
      </c>
      <c r="D406" s="512">
        <v>10263</v>
      </c>
      <c r="E406" s="512">
        <v>0</v>
      </c>
      <c r="F406" s="512">
        <v>10263</v>
      </c>
    </row>
    <row r="407" spans="2:6">
      <c r="B407" s="510" t="s">
        <v>1970</v>
      </c>
      <c r="C407" s="510" t="s">
        <v>2185</v>
      </c>
      <c r="D407" s="511">
        <v>676</v>
      </c>
      <c r="E407" s="511">
        <v>0</v>
      </c>
      <c r="F407" s="511">
        <v>676</v>
      </c>
    </row>
    <row r="408" spans="2:6">
      <c r="B408" s="269" t="s">
        <v>3887</v>
      </c>
      <c r="C408" s="269" t="s">
        <v>3825</v>
      </c>
      <c r="D408" s="512">
        <v>21000</v>
      </c>
      <c r="E408" s="512">
        <v>0</v>
      </c>
      <c r="F408" s="512">
        <v>21000</v>
      </c>
    </row>
    <row r="409" spans="2:6">
      <c r="B409" s="510" t="s">
        <v>3886</v>
      </c>
      <c r="C409" s="510" t="s">
        <v>3825</v>
      </c>
      <c r="D409" s="511">
        <v>21000</v>
      </c>
      <c r="E409" s="511">
        <v>0</v>
      </c>
      <c r="F409" s="511">
        <v>21000</v>
      </c>
    </row>
    <row r="410" spans="2:6">
      <c r="B410" s="269" t="s">
        <v>1971</v>
      </c>
      <c r="C410" s="269" t="s">
        <v>2168</v>
      </c>
      <c r="D410" s="512">
        <v>10362</v>
      </c>
      <c r="E410" s="512">
        <v>0</v>
      </c>
      <c r="F410" s="512">
        <v>10362</v>
      </c>
    </row>
    <row r="411" spans="2:6">
      <c r="B411" s="510" t="s">
        <v>1971</v>
      </c>
      <c r="C411" s="510" t="s">
        <v>2165</v>
      </c>
      <c r="D411" s="511">
        <v>10362</v>
      </c>
      <c r="E411" s="511">
        <v>0</v>
      </c>
      <c r="F411" s="511">
        <v>10362</v>
      </c>
    </row>
    <row r="412" spans="2:6">
      <c r="B412" s="269" t="s">
        <v>1973</v>
      </c>
      <c r="C412" s="269" t="s">
        <v>3825</v>
      </c>
      <c r="D412" s="512">
        <v>18250</v>
      </c>
      <c r="E412" s="512">
        <v>0</v>
      </c>
      <c r="F412" s="512">
        <v>18250</v>
      </c>
    </row>
    <row r="413" spans="2:6">
      <c r="B413" s="510" t="s">
        <v>1973</v>
      </c>
      <c r="C413" s="510" t="s">
        <v>2165</v>
      </c>
      <c r="D413" s="511">
        <v>2218</v>
      </c>
      <c r="E413" s="511">
        <v>0</v>
      </c>
      <c r="F413" s="511">
        <v>2218</v>
      </c>
    </row>
    <row r="414" spans="2:6">
      <c r="B414" s="269" t="s">
        <v>1974</v>
      </c>
      <c r="C414" s="269" t="s">
        <v>3825</v>
      </c>
      <c r="D414" s="512">
        <v>7000</v>
      </c>
      <c r="E414" s="512">
        <v>0</v>
      </c>
      <c r="F414" s="512">
        <v>7000</v>
      </c>
    </row>
    <row r="415" spans="2:6">
      <c r="B415" s="510" t="s">
        <v>1974</v>
      </c>
      <c r="C415" s="510" t="s">
        <v>2165</v>
      </c>
      <c r="D415" s="511">
        <v>6650</v>
      </c>
      <c r="E415" s="511">
        <v>0</v>
      </c>
      <c r="F415" s="511">
        <v>6650</v>
      </c>
    </row>
    <row r="416" spans="2:6">
      <c r="B416" s="269" t="s">
        <v>1974</v>
      </c>
      <c r="C416" s="269" t="s">
        <v>2168</v>
      </c>
      <c r="D416" s="512">
        <v>6650</v>
      </c>
      <c r="E416" s="512">
        <v>0</v>
      </c>
      <c r="F416" s="512">
        <v>6650</v>
      </c>
    </row>
    <row r="417" spans="2:6">
      <c r="B417" s="510" t="s">
        <v>1975</v>
      </c>
      <c r="C417" s="510" t="s">
        <v>2165</v>
      </c>
      <c r="D417" s="511">
        <v>9992</v>
      </c>
      <c r="E417" s="511">
        <v>0</v>
      </c>
      <c r="F417" s="511">
        <v>9992</v>
      </c>
    </row>
    <row r="418" spans="2:6">
      <c r="B418" s="269" t="s">
        <v>1975</v>
      </c>
      <c r="C418" s="269" t="s">
        <v>2168</v>
      </c>
      <c r="D418" s="512">
        <v>9992</v>
      </c>
      <c r="E418" s="512">
        <v>0</v>
      </c>
      <c r="F418" s="512">
        <v>9992</v>
      </c>
    </row>
    <row r="419" spans="2:6">
      <c r="B419" s="510" t="s">
        <v>1975</v>
      </c>
      <c r="C419" s="510" t="s">
        <v>3825</v>
      </c>
      <c r="D419" s="511">
        <v>50</v>
      </c>
      <c r="E419" s="511">
        <v>0</v>
      </c>
      <c r="F419" s="511">
        <v>50</v>
      </c>
    </row>
    <row r="420" spans="2:6">
      <c r="B420" s="269" t="s">
        <v>3888</v>
      </c>
      <c r="C420" s="269" t="s">
        <v>3825</v>
      </c>
      <c r="D420" s="512">
        <v>20000</v>
      </c>
      <c r="E420" s="512">
        <v>0</v>
      </c>
      <c r="F420" s="512">
        <v>20000</v>
      </c>
    </row>
    <row r="421" spans="2:6">
      <c r="B421" s="510" t="s">
        <v>3889</v>
      </c>
      <c r="C421" s="510" t="s">
        <v>3825</v>
      </c>
      <c r="D421" s="511">
        <v>20000</v>
      </c>
      <c r="E421" s="511">
        <v>0</v>
      </c>
      <c r="F421" s="511">
        <v>20000</v>
      </c>
    </row>
    <row r="422" spans="2:6">
      <c r="B422" s="269" t="s">
        <v>3891</v>
      </c>
      <c r="C422" s="269" t="s">
        <v>3825</v>
      </c>
      <c r="D422" s="512">
        <v>20000</v>
      </c>
      <c r="E422" s="512">
        <v>0</v>
      </c>
      <c r="F422" s="512">
        <v>20000</v>
      </c>
    </row>
    <row r="423" spans="2:6">
      <c r="B423" s="510" t="s">
        <v>3890</v>
      </c>
      <c r="C423" s="510" t="s">
        <v>3825</v>
      </c>
      <c r="D423" s="511">
        <v>20000</v>
      </c>
      <c r="E423" s="511">
        <v>0</v>
      </c>
      <c r="F423" s="511">
        <v>20000</v>
      </c>
    </row>
    <row r="424" spans="2:6">
      <c r="B424" s="269" t="s">
        <v>363</v>
      </c>
      <c r="C424" s="269" t="s">
        <v>2165</v>
      </c>
      <c r="D424" s="512">
        <v>18584</v>
      </c>
      <c r="E424" s="512">
        <v>0</v>
      </c>
      <c r="F424" s="512">
        <v>18584</v>
      </c>
    </row>
    <row r="425" spans="2:6">
      <c r="B425" s="510" t="s">
        <v>363</v>
      </c>
      <c r="C425" s="510" t="s">
        <v>2178</v>
      </c>
      <c r="D425" s="511">
        <v>765</v>
      </c>
      <c r="E425" s="511">
        <v>0</v>
      </c>
      <c r="F425" s="511">
        <v>765</v>
      </c>
    </row>
    <row r="426" spans="2:6">
      <c r="B426" s="269" t="s">
        <v>3892</v>
      </c>
      <c r="C426" s="269" t="s">
        <v>3825</v>
      </c>
      <c r="D426" s="512">
        <v>19100</v>
      </c>
      <c r="E426" s="512">
        <v>0</v>
      </c>
      <c r="F426" s="512">
        <v>19100</v>
      </c>
    </row>
    <row r="427" spans="2:6">
      <c r="B427" s="510" t="s">
        <v>272</v>
      </c>
      <c r="C427" s="510" t="s">
        <v>3825</v>
      </c>
      <c r="D427" s="511">
        <v>15500</v>
      </c>
      <c r="E427" s="511">
        <v>0</v>
      </c>
      <c r="F427" s="511">
        <v>15500</v>
      </c>
    </row>
    <row r="428" spans="2:6">
      <c r="B428" s="269" t="s">
        <v>272</v>
      </c>
      <c r="C428" s="269" t="s">
        <v>2165</v>
      </c>
      <c r="D428" s="512">
        <v>2447</v>
      </c>
      <c r="E428" s="512">
        <v>0</v>
      </c>
      <c r="F428" s="512">
        <v>2447</v>
      </c>
    </row>
    <row r="429" spans="2:6">
      <c r="B429" s="510" t="s">
        <v>272</v>
      </c>
      <c r="C429" s="510" t="s">
        <v>2168</v>
      </c>
      <c r="D429" s="511">
        <v>758</v>
      </c>
      <c r="E429" s="511">
        <v>0</v>
      </c>
      <c r="F429" s="511">
        <v>758</v>
      </c>
    </row>
    <row r="430" spans="2:6">
      <c r="B430" s="269" t="s">
        <v>1963</v>
      </c>
      <c r="C430" s="269" t="s">
        <v>2176</v>
      </c>
      <c r="D430" s="512">
        <v>11885</v>
      </c>
      <c r="E430" s="512">
        <v>0</v>
      </c>
      <c r="F430" s="512">
        <v>11885</v>
      </c>
    </row>
    <row r="431" spans="2:6">
      <c r="B431" s="510" t="s">
        <v>1963</v>
      </c>
      <c r="C431" s="510" t="s">
        <v>2183</v>
      </c>
      <c r="D431" s="511">
        <v>6500</v>
      </c>
      <c r="E431" s="511">
        <v>0</v>
      </c>
      <c r="F431" s="511">
        <v>6500</v>
      </c>
    </row>
    <row r="432" spans="2:6">
      <c r="B432" s="269" t="s">
        <v>1963</v>
      </c>
      <c r="C432" s="269" t="s">
        <v>2185</v>
      </c>
      <c r="D432" s="512">
        <v>278</v>
      </c>
      <c r="E432" s="512">
        <v>0</v>
      </c>
      <c r="F432" s="512">
        <v>278</v>
      </c>
    </row>
    <row r="433" spans="2:6">
      <c r="B433" s="510" t="s">
        <v>1982</v>
      </c>
      <c r="C433" s="510" t="s">
        <v>3825</v>
      </c>
      <c r="D433" s="511">
        <v>10800</v>
      </c>
      <c r="E433" s="511">
        <v>0</v>
      </c>
      <c r="F433" s="511">
        <v>10800</v>
      </c>
    </row>
    <row r="434" spans="2:6">
      <c r="B434" s="269" t="s">
        <v>1982</v>
      </c>
      <c r="C434" s="269" t="s">
        <v>2165</v>
      </c>
      <c r="D434" s="512">
        <v>3913</v>
      </c>
      <c r="E434" s="512">
        <v>0</v>
      </c>
      <c r="F434" s="512">
        <v>3913</v>
      </c>
    </row>
    <row r="435" spans="2:6">
      <c r="B435" s="510" t="s">
        <v>1982</v>
      </c>
      <c r="C435" s="510" t="s">
        <v>2168</v>
      </c>
      <c r="D435" s="511">
        <v>3913</v>
      </c>
      <c r="E435" s="511">
        <v>0</v>
      </c>
      <c r="F435" s="511">
        <v>3913</v>
      </c>
    </row>
    <row r="436" spans="2:6">
      <c r="B436" s="269" t="s">
        <v>318</v>
      </c>
      <c r="C436" s="269" t="s">
        <v>3825</v>
      </c>
      <c r="D436" s="512">
        <v>17000</v>
      </c>
      <c r="E436" s="512">
        <v>0</v>
      </c>
      <c r="F436" s="512">
        <v>17000</v>
      </c>
    </row>
    <row r="437" spans="2:6">
      <c r="B437" s="510" t="s">
        <v>318</v>
      </c>
      <c r="C437" s="510" t="s">
        <v>2165</v>
      </c>
      <c r="D437" s="511">
        <v>1229</v>
      </c>
      <c r="E437" s="511">
        <v>0</v>
      </c>
      <c r="F437" s="511">
        <v>1229</v>
      </c>
    </row>
    <row r="438" spans="2:6">
      <c r="B438" s="269" t="s">
        <v>318</v>
      </c>
      <c r="C438" s="269" t="s">
        <v>2168</v>
      </c>
      <c r="D438" s="512">
        <v>103</v>
      </c>
      <c r="E438" s="512">
        <v>0</v>
      </c>
      <c r="F438" s="512">
        <v>103</v>
      </c>
    </row>
    <row r="439" spans="2:6">
      <c r="B439" s="510" t="s">
        <v>1976</v>
      </c>
      <c r="C439" s="510" t="s">
        <v>2165</v>
      </c>
      <c r="D439" s="511">
        <v>9507</v>
      </c>
      <c r="E439" s="511">
        <v>0</v>
      </c>
      <c r="F439" s="511">
        <v>9507</v>
      </c>
    </row>
    <row r="440" spans="2:6">
      <c r="B440" s="269" t="s">
        <v>1976</v>
      </c>
      <c r="C440" s="269" t="s">
        <v>2168</v>
      </c>
      <c r="D440" s="512">
        <v>8563</v>
      </c>
      <c r="E440" s="512">
        <v>0</v>
      </c>
      <c r="F440" s="512">
        <v>8563</v>
      </c>
    </row>
    <row r="441" spans="2:6">
      <c r="B441" s="510" t="s">
        <v>409</v>
      </c>
      <c r="C441" s="510" t="s">
        <v>3825</v>
      </c>
      <c r="D441" s="511">
        <v>18000</v>
      </c>
      <c r="E441" s="511">
        <v>0</v>
      </c>
      <c r="F441" s="511">
        <v>18000</v>
      </c>
    </row>
    <row r="442" spans="2:6">
      <c r="B442" s="269" t="s">
        <v>409</v>
      </c>
      <c r="C442" s="269" t="s">
        <v>2165</v>
      </c>
      <c r="D442" s="512">
        <v>14</v>
      </c>
      <c r="E442" s="512">
        <v>0</v>
      </c>
      <c r="F442" s="512">
        <v>14</v>
      </c>
    </row>
    <row r="443" spans="2:6">
      <c r="B443" s="510" t="s">
        <v>3893</v>
      </c>
      <c r="C443" s="510" t="s">
        <v>3825</v>
      </c>
      <c r="D443" s="511">
        <v>18000</v>
      </c>
      <c r="E443" s="511">
        <v>0</v>
      </c>
      <c r="F443" s="511">
        <v>18000</v>
      </c>
    </row>
    <row r="444" spans="2:6">
      <c r="B444" s="269" t="s">
        <v>2006</v>
      </c>
      <c r="C444" s="269" t="s">
        <v>3827</v>
      </c>
      <c r="D444" s="512">
        <v>11053</v>
      </c>
      <c r="E444" s="512">
        <v>0</v>
      </c>
      <c r="F444" s="512">
        <v>11053</v>
      </c>
    </row>
    <row r="445" spans="2:6">
      <c r="B445" s="510" t="s">
        <v>2006</v>
      </c>
      <c r="C445" s="510" t="s">
        <v>3825</v>
      </c>
      <c r="D445" s="511">
        <v>2300</v>
      </c>
      <c r="E445" s="511">
        <v>0</v>
      </c>
      <c r="F445" s="511">
        <v>2300</v>
      </c>
    </row>
    <row r="446" spans="2:6">
      <c r="B446" s="269" t="s">
        <v>2006</v>
      </c>
      <c r="C446" s="269" t="s">
        <v>2167</v>
      </c>
      <c r="D446" s="512">
        <v>1400</v>
      </c>
      <c r="E446" s="512">
        <v>0</v>
      </c>
      <c r="F446" s="512">
        <v>1400</v>
      </c>
    </row>
    <row r="447" spans="2:6">
      <c r="B447" s="510" t="s">
        <v>2006</v>
      </c>
      <c r="C447" s="510" t="s">
        <v>2154</v>
      </c>
      <c r="D447" s="511">
        <v>1026</v>
      </c>
      <c r="E447" s="511">
        <v>0</v>
      </c>
      <c r="F447" s="511">
        <v>1026</v>
      </c>
    </row>
    <row r="448" spans="2:6">
      <c r="B448" s="269" t="s">
        <v>2006</v>
      </c>
      <c r="C448" s="269" t="s">
        <v>2165</v>
      </c>
      <c r="D448" s="512">
        <v>716</v>
      </c>
      <c r="E448" s="512">
        <v>0</v>
      </c>
      <c r="F448" s="512">
        <v>716</v>
      </c>
    </row>
    <row r="449" spans="2:6">
      <c r="B449" s="510" t="s">
        <v>2006</v>
      </c>
      <c r="C449" s="510" t="s">
        <v>2168</v>
      </c>
      <c r="D449" s="511">
        <v>716</v>
      </c>
      <c r="E449" s="511">
        <v>0</v>
      </c>
      <c r="F449" s="511">
        <v>716</v>
      </c>
    </row>
    <row r="450" spans="2:6">
      <c r="B450" s="269" t="s">
        <v>2006</v>
      </c>
      <c r="C450" s="269" t="s">
        <v>2144</v>
      </c>
      <c r="D450" s="512">
        <v>300</v>
      </c>
      <c r="E450" s="512">
        <v>0</v>
      </c>
      <c r="F450" s="512">
        <v>300</v>
      </c>
    </row>
    <row r="451" spans="2:6">
      <c r="B451" s="510" t="s">
        <v>2006</v>
      </c>
      <c r="C451" s="510" t="s">
        <v>2169</v>
      </c>
      <c r="D451" s="511">
        <v>200</v>
      </c>
      <c r="E451" s="511">
        <v>0</v>
      </c>
      <c r="F451" s="511">
        <v>200</v>
      </c>
    </row>
    <row r="452" spans="2:6">
      <c r="B452" s="269" t="s">
        <v>3894</v>
      </c>
      <c r="C452" s="269" t="s">
        <v>3825</v>
      </c>
      <c r="D452" s="512">
        <v>15500</v>
      </c>
      <c r="E452" s="512">
        <v>0</v>
      </c>
      <c r="F452" s="512">
        <v>15500</v>
      </c>
    </row>
    <row r="453" spans="2:6">
      <c r="B453" s="510" t="s">
        <v>3894</v>
      </c>
      <c r="C453" s="510" t="s">
        <v>2165</v>
      </c>
      <c r="D453" s="511">
        <v>1998</v>
      </c>
      <c r="E453" s="511">
        <v>0</v>
      </c>
      <c r="F453" s="511">
        <v>1998</v>
      </c>
    </row>
    <row r="454" spans="2:6">
      <c r="B454" s="269" t="s">
        <v>301</v>
      </c>
      <c r="C454" s="269" t="s">
        <v>2168</v>
      </c>
      <c r="D454" s="512">
        <v>8491</v>
      </c>
      <c r="E454" s="512">
        <v>0</v>
      </c>
      <c r="F454" s="512">
        <v>8491</v>
      </c>
    </row>
    <row r="455" spans="2:6">
      <c r="B455" s="510" t="s">
        <v>301</v>
      </c>
      <c r="C455" s="510" t="s">
        <v>2165</v>
      </c>
      <c r="D455" s="511">
        <v>8491</v>
      </c>
      <c r="E455" s="511">
        <v>0</v>
      </c>
      <c r="F455" s="511">
        <v>8491</v>
      </c>
    </row>
    <row r="456" spans="2:6">
      <c r="B456" s="269" t="s">
        <v>195</v>
      </c>
      <c r="C456" s="269" t="s">
        <v>2168</v>
      </c>
      <c r="D456" s="512">
        <v>8474</v>
      </c>
      <c r="E456" s="512">
        <v>0</v>
      </c>
      <c r="F456" s="512">
        <v>8474</v>
      </c>
    </row>
    <row r="457" spans="2:6">
      <c r="B457" s="510" t="s">
        <v>195</v>
      </c>
      <c r="C457" s="510" t="s">
        <v>2165</v>
      </c>
      <c r="D457" s="511">
        <v>8474</v>
      </c>
      <c r="E457" s="511">
        <v>0</v>
      </c>
      <c r="F457" s="511">
        <v>8474</v>
      </c>
    </row>
    <row r="458" spans="2:6">
      <c r="B458" s="269" t="s">
        <v>120</v>
      </c>
      <c r="C458" s="269" t="s">
        <v>2165</v>
      </c>
      <c r="D458" s="512">
        <v>16655</v>
      </c>
      <c r="E458" s="512">
        <v>0</v>
      </c>
      <c r="F458" s="512">
        <v>16655</v>
      </c>
    </row>
    <row r="459" spans="2:6">
      <c r="B459" s="510" t="s">
        <v>1977</v>
      </c>
      <c r="C459" s="510" t="s">
        <v>3825</v>
      </c>
      <c r="D459" s="511">
        <v>16500</v>
      </c>
      <c r="E459" s="511">
        <v>0</v>
      </c>
      <c r="F459" s="511">
        <v>16500</v>
      </c>
    </row>
    <row r="460" spans="2:6">
      <c r="B460" s="269" t="s">
        <v>2104</v>
      </c>
      <c r="C460" s="269" t="s">
        <v>2141</v>
      </c>
      <c r="D460" s="512">
        <v>16172</v>
      </c>
      <c r="E460" s="512">
        <v>0</v>
      </c>
      <c r="F460" s="512">
        <v>16172</v>
      </c>
    </row>
    <row r="461" spans="2:6">
      <c r="B461" s="510" t="s">
        <v>2104</v>
      </c>
      <c r="C461" s="510" t="s">
        <v>2136</v>
      </c>
      <c r="D461" s="511">
        <v>149</v>
      </c>
      <c r="E461" s="511">
        <v>0</v>
      </c>
      <c r="F461" s="511">
        <v>149</v>
      </c>
    </row>
    <row r="462" spans="2:6">
      <c r="B462" s="269" t="s">
        <v>3895</v>
      </c>
      <c r="C462" s="269" t="s">
        <v>3825</v>
      </c>
      <c r="D462" s="512">
        <v>16100</v>
      </c>
      <c r="E462" s="512">
        <v>0</v>
      </c>
      <c r="F462" s="512">
        <v>16100</v>
      </c>
    </row>
    <row r="463" spans="2:6">
      <c r="B463" s="510" t="s">
        <v>2000</v>
      </c>
      <c r="C463" s="510" t="s">
        <v>2165</v>
      </c>
      <c r="D463" s="511">
        <v>7556</v>
      </c>
      <c r="E463" s="511">
        <v>0</v>
      </c>
      <c r="F463" s="511">
        <v>7556</v>
      </c>
    </row>
    <row r="464" spans="2:6">
      <c r="B464" s="269" t="s">
        <v>2000</v>
      </c>
      <c r="C464" s="269" t="s">
        <v>2168</v>
      </c>
      <c r="D464" s="512">
        <v>7556</v>
      </c>
      <c r="E464" s="512">
        <v>0</v>
      </c>
      <c r="F464" s="512">
        <v>7556</v>
      </c>
    </row>
    <row r="465" spans="2:6">
      <c r="B465" s="510" t="s">
        <v>2000</v>
      </c>
      <c r="C465" s="510" t="s">
        <v>3825</v>
      </c>
      <c r="D465" s="511">
        <v>500</v>
      </c>
      <c r="E465" s="511">
        <v>0</v>
      </c>
      <c r="F465" s="511">
        <v>500</v>
      </c>
    </row>
    <row r="466" spans="2:6">
      <c r="B466" s="269" t="s">
        <v>1980</v>
      </c>
      <c r="C466" s="269" t="s">
        <v>2144</v>
      </c>
      <c r="D466" s="512">
        <v>10566</v>
      </c>
      <c r="E466" s="512">
        <v>0</v>
      </c>
      <c r="F466" s="512">
        <v>10566</v>
      </c>
    </row>
    <row r="467" spans="2:6">
      <c r="B467" s="510" t="s">
        <v>1980</v>
      </c>
      <c r="C467" s="510" t="s">
        <v>2168</v>
      </c>
      <c r="D467" s="511">
        <v>4429</v>
      </c>
      <c r="E467" s="511">
        <v>0</v>
      </c>
      <c r="F467" s="511">
        <v>4429</v>
      </c>
    </row>
    <row r="468" spans="2:6">
      <c r="B468" s="269" t="s">
        <v>1980</v>
      </c>
      <c r="C468" s="269" t="s">
        <v>2136</v>
      </c>
      <c r="D468" s="512">
        <v>298</v>
      </c>
      <c r="E468" s="512">
        <v>0</v>
      </c>
      <c r="F468" s="512">
        <v>298</v>
      </c>
    </row>
    <row r="469" spans="2:6">
      <c r="B469" s="510" t="s">
        <v>1980</v>
      </c>
      <c r="C469" s="510" t="s">
        <v>3825</v>
      </c>
      <c r="D469" s="511">
        <v>200</v>
      </c>
      <c r="E469" s="511">
        <v>0</v>
      </c>
      <c r="F469" s="511">
        <v>200</v>
      </c>
    </row>
    <row r="470" spans="2:6">
      <c r="B470" s="269" t="s">
        <v>525</v>
      </c>
      <c r="C470" s="269" t="s">
        <v>2165</v>
      </c>
      <c r="D470" s="512">
        <v>10188</v>
      </c>
      <c r="E470" s="512">
        <v>0</v>
      </c>
      <c r="F470" s="512">
        <v>10188</v>
      </c>
    </row>
    <row r="471" spans="2:6">
      <c r="B471" s="510" t="s">
        <v>525</v>
      </c>
      <c r="C471" s="510" t="s">
        <v>3825</v>
      </c>
      <c r="D471" s="511">
        <v>5000</v>
      </c>
      <c r="E471" s="511">
        <v>0</v>
      </c>
      <c r="F471" s="511">
        <v>5000</v>
      </c>
    </row>
    <row r="472" spans="2:6">
      <c r="B472" s="269" t="s">
        <v>3896</v>
      </c>
      <c r="C472" s="269" t="s">
        <v>3825</v>
      </c>
      <c r="D472" s="512">
        <v>15150</v>
      </c>
      <c r="E472" s="512">
        <v>0</v>
      </c>
      <c r="F472" s="512">
        <v>15150</v>
      </c>
    </row>
    <row r="473" spans="2:6">
      <c r="B473" s="510" t="s">
        <v>267</v>
      </c>
      <c r="C473" s="510" t="s">
        <v>3825</v>
      </c>
      <c r="D473" s="511">
        <v>13600</v>
      </c>
      <c r="E473" s="511">
        <v>0</v>
      </c>
      <c r="F473" s="511">
        <v>13600</v>
      </c>
    </row>
    <row r="474" spans="2:6">
      <c r="B474" s="269" t="s">
        <v>267</v>
      </c>
      <c r="C474" s="269" t="s">
        <v>2165</v>
      </c>
      <c r="D474" s="512">
        <v>741</v>
      </c>
      <c r="E474" s="512">
        <v>0</v>
      </c>
      <c r="F474" s="512">
        <v>741</v>
      </c>
    </row>
    <row r="475" spans="2:6">
      <c r="B475" s="510" t="s">
        <v>267</v>
      </c>
      <c r="C475" s="510" t="s">
        <v>2168</v>
      </c>
      <c r="D475" s="511">
        <v>741</v>
      </c>
      <c r="E475" s="511">
        <v>0</v>
      </c>
      <c r="F475" s="511">
        <v>741</v>
      </c>
    </row>
    <row r="476" spans="2:6">
      <c r="B476" s="269" t="s">
        <v>432</v>
      </c>
      <c r="C476" s="269" t="s">
        <v>3825</v>
      </c>
      <c r="D476" s="512">
        <v>15000</v>
      </c>
      <c r="E476" s="512">
        <v>0</v>
      </c>
      <c r="F476" s="512">
        <v>15000</v>
      </c>
    </row>
    <row r="477" spans="2:6">
      <c r="B477" s="510" t="s">
        <v>432</v>
      </c>
      <c r="C477" s="510" t="s">
        <v>2168</v>
      </c>
      <c r="D477" s="511">
        <v>7</v>
      </c>
      <c r="E477" s="511">
        <v>0</v>
      </c>
      <c r="F477" s="511">
        <v>7</v>
      </c>
    </row>
    <row r="478" spans="2:6">
      <c r="B478" s="269" t="s">
        <v>432</v>
      </c>
      <c r="C478" s="269" t="s">
        <v>2165</v>
      </c>
      <c r="D478" s="512">
        <v>5</v>
      </c>
      <c r="E478" s="512">
        <v>0</v>
      </c>
      <c r="F478" s="512">
        <v>5</v>
      </c>
    </row>
    <row r="479" spans="2:6">
      <c r="B479" s="510" t="s">
        <v>3897</v>
      </c>
      <c r="C479" s="510" t="s">
        <v>3825</v>
      </c>
      <c r="D479" s="511">
        <v>15000</v>
      </c>
      <c r="E479" s="511">
        <v>0</v>
      </c>
      <c r="F479" s="511">
        <v>15000</v>
      </c>
    </row>
    <row r="480" spans="2:6">
      <c r="B480" s="269" t="s">
        <v>3898</v>
      </c>
      <c r="C480" s="269" t="s">
        <v>3825</v>
      </c>
      <c r="D480" s="512">
        <v>15000</v>
      </c>
      <c r="E480" s="512">
        <v>0</v>
      </c>
      <c r="F480" s="512">
        <v>15000</v>
      </c>
    </row>
    <row r="481" spans="2:6">
      <c r="B481" s="510" t="s">
        <v>493</v>
      </c>
      <c r="C481" s="510" t="s">
        <v>3825</v>
      </c>
      <c r="D481" s="511">
        <v>15000</v>
      </c>
      <c r="E481" s="511">
        <v>0</v>
      </c>
      <c r="F481" s="511">
        <v>15000</v>
      </c>
    </row>
    <row r="482" spans="2:6">
      <c r="B482" s="269" t="s">
        <v>1981</v>
      </c>
      <c r="C482" s="269" t="s">
        <v>2168</v>
      </c>
      <c r="D482" s="512">
        <v>14352</v>
      </c>
      <c r="E482" s="512">
        <v>0</v>
      </c>
      <c r="F482" s="512">
        <v>14352</v>
      </c>
    </row>
    <row r="483" spans="2:6">
      <c r="B483" s="510" t="s">
        <v>1981</v>
      </c>
      <c r="C483" s="510" t="s">
        <v>3825</v>
      </c>
      <c r="D483" s="511">
        <v>500</v>
      </c>
      <c r="E483" s="511">
        <v>0</v>
      </c>
      <c r="F483" s="511">
        <v>500</v>
      </c>
    </row>
    <row r="484" spans="2:6">
      <c r="B484" s="269" t="s">
        <v>1981</v>
      </c>
      <c r="C484" s="269" t="s">
        <v>2165</v>
      </c>
      <c r="D484" s="512">
        <v>52</v>
      </c>
      <c r="E484" s="512">
        <v>0</v>
      </c>
      <c r="F484" s="512">
        <v>52</v>
      </c>
    </row>
    <row r="485" spans="2:6">
      <c r="B485" s="510" t="s">
        <v>2056</v>
      </c>
      <c r="C485" s="510" t="s">
        <v>3825</v>
      </c>
      <c r="D485" s="511">
        <v>11750</v>
      </c>
      <c r="E485" s="511">
        <v>0</v>
      </c>
      <c r="F485" s="511">
        <v>11750</v>
      </c>
    </row>
    <row r="486" spans="2:6">
      <c r="B486" s="269" t="s">
        <v>2056</v>
      </c>
      <c r="C486" s="269" t="s">
        <v>2165</v>
      </c>
      <c r="D486" s="512">
        <v>1601</v>
      </c>
      <c r="E486" s="512">
        <v>0</v>
      </c>
      <c r="F486" s="512">
        <v>1601</v>
      </c>
    </row>
    <row r="487" spans="2:6">
      <c r="B487" s="510" t="s">
        <v>2056</v>
      </c>
      <c r="C487" s="510" t="s">
        <v>2168</v>
      </c>
      <c r="D487" s="511">
        <v>1532</v>
      </c>
      <c r="E487" s="511">
        <v>0</v>
      </c>
      <c r="F487" s="511">
        <v>1532</v>
      </c>
    </row>
    <row r="488" spans="2:6">
      <c r="B488" s="269" t="s">
        <v>1972</v>
      </c>
      <c r="C488" s="269" t="s">
        <v>2141</v>
      </c>
      <c r="D488" s="512">
        <v>11748</v>
      </c>
      <c r="E488" s="512">
        <v>0</v>
      </c>
      <c r="F488" s="512">
        <v>11748</v>
      </c>
    </row>
    <row r="489" spans="2:6">
      <c r="B489" s="510" t="s">
        <v>1972</v>
      </c>
      <c r="C489" s="510" t="s">
        <v>2143</v>
      </c>
      <c r="D489" s="511">
        <v>2682</v>
      </c>
      <c r="E489" s="511">
        <v>0</v>
      </c>
      <c r="F489" s="511">
        <v>2682</v>
      </c>
    </row>
    <row r="490" spans="2:6">
      <c r="B490" s="269" t="s">
        <v>3899</v>
      </c>
      <c r="C490" s="269" t="s">
        <v>3825</v>
      </c>
      <c r="D490" s="512">
        <v>14250</v>
      </c>
      <c r="E490" s="512">
        <v>0</v>
      </c>
      <c r="F490" s="512">
        <v>14250</v>
      </c>
    </row>
    <row r="491" spans="2:6">
      <c r="B491" s="510" t="s">
        <v>3900</v>
      </c>
      <c r="C491" s="510" t="s">
        <v>3825</v>
      </c>
      <c r="D491" s="511">
        <v>14050</v>
      </c>
      <c r="E491" s="511">
        <v>0</v>
      </c>
      <c r="F491" s="511">
        <v>14050</v>
      </c>
    </row>
    <row r="492" spans="2:6">
      <c r="B492" s="269" t="s">
        <v>3901</v>
      </c>
      <c r="C492" s="269" t="s">
        <v>3825</v>
      </c>
      <c r="D492" s="512">
        <v>14000</v>
      </c>
      <c r="E492" s="512">
        <v>0</v>
      </c>
      <c r="F492" s="512">
        <v>14000</v>
      </c>
    </row>
    <row r="493" spans="2:6">
      <c r="B493" s="510" t="s">
        <v>274</v>
      </c>
      <c r="C493" s="510" t="s">
        <v>3825</v>
      </c>
      <c r="D493" s="511">
        <v>12750</v>
      </c>
      <c r="E493" s="511">
        <v>0</v>
      </c>
      <c r="F493" s="511">
        <v>12750</v>
      </c>
    </row>
    <row r="494" spans="2:6">
      <c r="B494" s="269" t="s">
        <v>274</v>
      </c>
      <c r="C494" s="269" t="s">
        <v>2165</v>
      </c>
      <c r="D494" s="512">
        <v>458</v>
      </c>
      <c r="E494" s="512">
        <v>0</v>
      </c>
      <c r="F494" s="512">
        <v>458</v>
      </c>
    </row>
    <row r="495" spans="2:6">
      <c r="B495" s="510" t="s">
        <v>274</v>
      </c>
      <c r="C495" s="510" t="s">
        <v>2168</v>
      </c>
      <c r="D495" s="511">
        <v>458</v>
      </c>
      <c r="E495" s="511">
        <v>0</v>
      </c>
      <c r="F495" s="511">
        <v>458</v>
      </c>
    </row>
    <row r="496" spans="2:6">
      <c r="B496" s="269" t="s">
        <v>460</v>
      </c>
      <c r="C496" s="269" t="s">
        <v>2165</v>
      </c>
      <c r="D496" s="512">
        <v>13605</v>
      </c>
      <c r="E496" s="512">
        <v>0</v>
      </c>
      <c r="F496" s="512">
        <v>13605</v>
      </c>
    </row>
    <row r="497" spans="2:6">
      <c r="B497" s="510" t="s">
        <v>1983</v>
      </c>
      <c r="C497" s="510" t="s">
        <v>3825</v>
      </c>
      <c r="D497" s="511">
        <v>11000</v>
      </c>
      <c r="E497" s="511">
        <v>0</v>
      </c>
      <c r="F497" s="511">
        <v>11000</v>
      </c>
    </row>
    <row r="498" spans="2:6">
      <c r="B498" s="269" t="s">
        <v>1983</v>
      </c>
      <c r="C498" s="269" t="s">
        <v>2165</v>
      </c>
      <c r="D498" s="512">
        <v>1193</v>
      </c>
      <c r="E498" s="512">
        <v>0</v>
      </c>
      <c r="F498" s="512">
        <v>1193</v>
      </c>
    </row>
    <row r="499" spans="2:6">
      <c r="B499" s="510" t="s">
        <v>1983</v>
      </c>
      <c r="C499" s="510" t="s">
        <v>2168</v>
      </c>
      <c r="D499" s="511">
        <v>1193</v>
      </c>
      <c r="E499" s="511">
        <v>0</v>
      </c>
      <c r="F499" s="511">
        <v>1193</v>
      </c>
    </row>
    <row r="500" spans="2:6">
      <c r="B500" s="269" t="s">
        <v>218</v>
      </c>
      <c r="C500" s="269" t="s">
        <v>3825</v>
      </c>
      <c r="D500" s="512">
        <v>10500</v>
      </c>
      <c r="E500" s="512">
        <v>0</v>
      </c>
      <c r="F500" s="512">
        <v>10500</v>
      </c>
    </row>
    <row r="501" spans="2:6">
      <c r="B501" s="510" t="s">
        <v>218</v>
      </c>
      <c r="C501" s="510" t="s">
        <v>2165</v>
      </c>
      <c r="D501" s="511">
        <v>2683</v>
      </c>
      <c r="E501" s="511">
        <v>0</v>
      </c>
      <c r="F501" s="511">
        <v>2683</v>
      </c>
    </row>
    <row r="502" spans="2:6">
      <c r="B502" s="269" t="s">
        <v>1984</v>
      </c>
      <c r="C502" s="269" t="s">
        <v>3825</v>
      </c>
      <c r="D502" s="512">
        <v>12500</v>
      </c>
      <c r="E502" s="512">
        <v>0</v>
      </c>
      <c r="F502" s="512">
        <v>12500</v>
      </c>
    </row>
    <row r="503" spans="2:6">
      <c r="B503" s="510" t="s">
        <v>1984</v>
      </c>
      <c r="C503" s="510" t="s">
        <v>2165</v>
      </c>
      <c r="D503" s="511">
        <v>276</v>
      </c>
      <c r="E503" s="511">
        <v>0</v>
      </c>
      <c r="F503" s="511">
        <v>276</v>
      </c>
    </row>
    <row r="504" spans="2:6">
      <c r="B504" s="269" t="s">
        <v>1984</v>
      </c>
      <c r="C504" s="269" t="s">
        <v>2168</v>
      </c>
      <c r="D504" s="512">
        <v>276</v>
      </c>
      <c r="E504" s="512">
        <v>0</v>
      </c>
      <c r="F504" s="512">
        <v>276</v>
      </c>
    </row>
    <row r="505" spans="2:6">
      <c r="B505" s="510" t="s">
        <v>473</v>
      </c>
      <c r="C505" s="510" t="s">
        <v>2168</v>
      </c>
      <c r="D505" s="511">
        <v>6450</v>
      </c>
      <c r="E505" s="511">
        <v>0</v>
      </c>
      <c r="F505" s="511">
        <v>6450</v>
      </c>
    </row>
    <row r="506" spans="2:6">
      <c r="B506" s="269" t="s">
        <v>473</v>
      </c>
      <c r="C506" s="269" t="s">
        <v>2165</v>
      </c>
      <c r="D506" s="512">
        <v>6450</v>
      </c>
      <c r="E506" s="512">
        <v>0</v>
      </c>
      <c r="F506" s="512">
        <v>6450</v>
      </c>
    </row>
    <row r="507" spans="2:6">
      <c r="B507" s="510" t="s">
        <v>1985</v>
      </c>
      <c r="C507" s="510" t="s">
        <v>3825</v>
      </c>
      <c r="D507" s="511">
        <v>11500</v>
      </c>
      <c r="E507" s="511">
        <v>0</v>
      </c>
      <c r="F507" s="511">
        <v>11500</v>
      </c>
    </row>
    <row r="508" spans="2:6">
      <c r="B508" s="269" t="s">
        <v>1985</v>
      </c>
      <c r="C508" s="269" t="s">
        <v>2168</v>
      </c>
      <c r="D508" s="512">
        <v>977</v>
      </c>
      <c r="E508" s="512">
        <v>0</v>
      </c>
      <c r="F508" s="512">
        <v>977</v>
      </c>
    </row>
    <row r="509" spans="2:6">
      <c r="B509" s="510" t="s">
        <v>1985</v>
      </c>
      <c r="C509" s="510" t="s">
        <v>2165</v>
      </c>
      <c r="D509" s="511">
        <v>197</v>
      </c>
      <c r="E509" s="511">
        <v>0</v>
      </c>
      <c r="F509" s="511">
        <v>197</v>
      </c>
    </row>
    <row r="510" spans="2:6">
      <c r="B510" s="269" t="s">
        <v>1986</v>
      </c>
      <c r="C510" s="269" t="s">
        <v>2137</v>
      </c>
      <c r="D510" s="512">
        <v>12364</v>
      </c>
      <c r="E510" s="512">
        <v>0</v>
      </c>
      <c r="F510" s="512">
        <v>12364</v>
      </c>
    </row>
    <row r="511" spans="2:6">
      <c r="B511" s="510" t="s">
        <v>1991</v>
      </c>
      <c r="C511" s="510" t="s">
        <v>3825</v>
      </c>
      <c r="D511" s="511">
        <v>10500</v>
      </c>
      <c r="E511" s="511">
        <v>0</v>
      </c>
      <c r="F511" s="511">
        <v>10500</v>
      </c>
    </row>
    <row r="512" spans="2:6">
      <c r="B512" s="269" t="s">
        <v>1991</v>
      </c>
      <c r="C512" s="269" t="s">
        <v>2178</v>
      </c>
      <c r="D512" s="512">
        <v>1767</v>
      </c>
      <c r="E512" s="512">
        <v>0</v>
      </c>
      <c r="F512" s="512">
        <v>1767</v>
      </c>
    </row>
    <row r="513" spans="2:6">
      <c r="B513" s="510" t="s">
        <v>1991</v>
      </c>
      <c r="C513" s="510" t="s">
        <v>2165</v>
      </c>
      <c r="D513" s="511">
        <v>45</v>
      </c>
      <c r="E513" s="511">
        <v>0</v>
      </c>
      <c r="F513" s="511">
        <v>45</v>
      </c>
    </row>
    <row r="514" spans="2:6">
      <c r="B514" s="269" t="s">
        <v>306</v>
      </c>
      <c r="C514" s="269" t="s">
        <v>2168</v>
      </c>
      <c r="D514" s="512">
        <v>6080</v>
      </c>
      <c r="E514" s="512">
        <v>0</v>
      </c>
      <c r="F514" s="512">
        <v>6080</v>
      </c>
    </row>
    <row r="515" spans="2:6">
      <c r="B515" s="510" t="s">
        <v>306</v>
      </c>
      <c r="C515" s="510" t="s">
        <v>2165</v>
      </c>
      <c r="D515" s="511">
        <v>6080</v>
      </c>
      <c r="E515" s="511">
        <v>0</v>
      </c>
      <c r="F515" s="511">
        <v>6080</v>
      </c>
    </row>
    <row r="516" spans="2:6">
      <c r="B516" s="269" t="s">
        <v>150</v>
      </c>
      <c r="C516" s="269" t="s">
        <v>2165</v>
      </c>
      <c r="D516" s="512">
        <v>11843</v>
      </c>
      <c r="E516" s="512">
        <v>0</v>
      </c>
      <c r="F516" s="512">
        <v>11843</v>
      </c>
    </row>
    <row r="517" spans="2:6">
      <c r="B517" s="510" t="s">
        <v>1993</v>
      </c>
      <c r="C517" s="510" t="s">
        <v>2192</v>
      </c>
      <c r="D517" s="511">
        <v>6200</v>
      </c>
      <c r="E517" s="511">
        <v>0</v>
      </c>
      <c r="F517" s="511">
        <v>6200</v>
      </c>
    </row>
    <row r="518" spans="2:6">
      <c r="B518" s="269" t="s">
        <v>1993</v>
      </c>
      <c r="C518" s="269" t="s">
        <v>3825</v>
      </c>
      <c r="D518" s="512">
        <v>3500</v>
      </c>
      <c r="E518" s="512">
        <v>0</v>
      </c>
      <c r="F518" s="512">
        <v>3500</v>
      </c>
    </row>
    <row r="519" spans="2:6">
      <c r="B519" s="510" t="s">
        <v>1993</v>
      </c>
      <c r="C519" s="510" t="s">
        <v>2165</v>
      </c>
      <c r="D519" s="511">
        <v>1579</v>
      </c>
      <c r="E519" s="511">
        <v>0</v>
      </c>
      <c r="F519" s="511">
        <v>1579</v>
      </c>
    </row>
    <row r="520" spans="2:6">
      <c r="B520" s="269" t="s">
        <v>1993</v>
      </c>
      <c r="C520" s="269" t="s">
        <v>2168</v>
      </c>
      <c r="D520" s="512">
        <v>321</v>
      </c>
      <c r="E520" s="512">
        <v>0</v>
      </c>
      <c r="F520" s="512">
        <v>321</v>
      </c>
    </row>
    <row r="521" spans="2:6">
      <c r="B521" s="510" t="s">
        <v>3902</v>
      </c>
      <c r="C521" s="510" t="s">
        <v>2154</v>
      </c>
      <c r="D521" s="511">
        <v>11547</v>
      </c>
      <c r="E521" s="511">
        <v>0</v>
      </c>
      <c r="F521" s="511">
        <v>11547</v>
      </c>
    </row>
    <row r="522" spans="2:6">
      <c r="B522" s="269" t="s">
        <v>1987</v>
      </c>
      <c r="C522" s="269" t="s">
        <v>3825</v>
      </c>
      <c r="D522" s="512">
        <v>11050</v>
      </c>
      <c r="E522" s="512">
        <v>0</v>
      </c>
      <c r="F522" s="512">
        <v>11050</v>
      </c>
    </row>
    <row r="523" spans="2:6">
      <c r="B523" s="510" t="s">
        <v>1987</v>
      </c>
      <c r="C523" s="510" t="s">
        <v>2165</v>
      </c>
      <c r="D523" s="511">
        <v>219</v>
      </c>
      <c r="E523" s="511">
        <v>0</v>
      </c>
      <c r="F523" s="511">
        <v>219</v>
      </c>
    </row>
    <row r="524" spans="2:6">
      <c r="B524" s="269" t="s">
        <v>1987</v>
      </c>
      <c r="C524" s="269" t="s">
        <v>2168</v>
      </c>
      <c r="D524" s="512">
        <v>219</v>
      </c>
      <c r="E524" s="512">
        <v>0</v>
      </c>
      <c r="F524" s="512">
        <v>219</v>
      </c>
    </row>
    <row r="525" spans="2:6">
      <c r="B525" s="510" t="s">
        <v>1988</v>
      </c>
      <c r="C525" s="510" t="s">
        <v>3825</v>
      </c>
      <c r="D525" s="511">
        <v>7000</v>
      </c>
      <c r="E525" s="511">
        <v>0</v>
      </c>
      <c r="F525" s="511">
        <v>7000</v>
      </c>
    </row>
    <row r="526" spans="2:6">
      <c r="B526" s="269" t="s">
        <v>1988</v>
      </c>
      <c r="C526" s="269" t="s">
        <v>2193</v>
      </c>
      <c r="D526" s="512">
        <v>3985</v>
      </c>
      <c r="E526" s="512">
        <v>0</v>
      </c>
      <c r="F526" s="512">
        <v>3985</v>
      </c>
    </row>
    <row r="527" spans="2:6">
      <c r="B527" s="510" t="s">
        <v>1988</v>
      </c>
      <c r="C527" s="510" t="s">
        <v>2165</v>
      </c>
      <c r="D527" s="511">
        <v>128</v>
      </c>
      <c r="E527" s="511">
        <v>0</v>
      </c>
      <c r="F527" s="511">
        <v>128</v>
      </c>
    </row>
    <row r="528" spans="2:6">
      <c r="B528" s="269" t="s">
        <v>1988</v>
      </c>
      <c r="C528" s="269" t="s">
        <v>2168</v>
      </c>
      <c r="D528" s="512">
        <v>128</v>
      </c>
      <c r="E528" s="512">
        <v>0</v>
      </c>
      <c r="F528" s="512">
        <v>128</v>
      </c>
    </row>
    <row r="529" spans="2:6">
      <c r="B529" s="510" t="s">
        <v>3903</v>
      </c>
      <c r="C529" s="510" t="s">
        <v>2165</v>
      </c>
      <c r="D529" s="511">
        <v>11213</v>
      </c>
      <c r="E529" s="511">
        <v>0</v>
      </c>
      <c r="F529" s="511">
        <v>11213</v>
      </c>
    </row>
    <row r="530" spans="2:6">
      <c r="B530" s="269" t="s">
        <v>1989</v>
      </c>
      <c r="C530" s="269" t="s">
        <v>2141</v>
      </c>
      <c r="D530" s="512">
        <v>10632</v>
      </c>
      <c r="E530" s="512">
        <v>0</v>
      </c>
      <c r="F530" s="512">
        <v>10632</v>
      </c>
    </row>
    <row r="531" spans="2:6">
      <c r="B531" s="510" t="s">
        <v>1989</v>
      </c>
      <c r="C531" s="510" t="s">
        <v>2137</v>
      </c>
      <c r="D531" s="511">
        <v>432</v>
      </c>
      <c r="E531" s="511">
        <v>0</v>
      </c>
      <c r="F531" s="511">
        <v>432</v>
      </c>
    </row>
    <row r="532" spans="2:6">
      <c r="B532" s="269" t="s">
        <v>3904</v>
      </c>
      <c r="C532" s="269" t="s">
        <v>3825</v>
      </c>
      <c r="D532" s="512">
        <v>11000</v>
      </c>
      <c r="E532" s="512">
        <v>0</v>
      </c>
      <c r="F532" s="512">
        <v>11000</v>
      </c>
    </row>
    <row r="533" spans="2:6">
      <c r="B533" s="510" t="s">
        <v>353</v>
      </c>
      <c r="C533" s="510" t="s">
        <v>3825</v>
      </c>
      <c r="D533" s="511">
        <v>10500</v>
      </c>
      <c r="E533" s="511">
        <v>0</v>
      </c>
      <c r="F533" s="511">
        <v>10500</v>
      </c>
    </row>
    <row r="534" spans="2:6">
      <c r="B534" s="269" t="s">
        <v>353</v>
      </c>
      <c r="C534" s="269" t="s">
        <v>2165</v>
      </c>
      <c r="D534" s="512">
        <v>98</v>
      </c>
      <c r="E534" s="512">
        <v>0</v>
      </c>
      <c r="F534" s="512">
        <v>98</v>
      </c>
    </row>
    <row r="535" spans="2:6">
      <c r="B535" s="510" t="s">
        <v>353</v>
      </c>
      <c r="C535" s="510" t="s">
        <v>2168</v>
      </c>
      <c r="D535" s="511">
        <v>98</v>
      </c>
      <c r="E535" s="511">
        <v>0</v>
      </c>
      <c r="F535" s="511">
        <v>98</v>
      </c>
    </row>
    <row r="536" spans="2:6">
      <c r="B536" s="269" t="s">
        <v>389</v>
      </c>
      <c r="C536" s="269" t="s">
        <v>3825</v>
      </c>
      <c r="D536" s="512">
        <v>10500</v>
      </c>
      <c r="E536" s="512">
        <v>0</v>
      </c>
      <c r="F536" s="512">
        <v>10500</v>
      </c>
    </row>
    <row r="537" spans="2:6">
      <c r="B537" s="510" t="s">
        <v>389</v>
      </c>
      <c r="C537" s="510" t="s">
        <v>2165</v>
      </c>
      <c r="D537" s="511">
        <v>191</v>
      </c>
      <c r="E537" s="511">
        <v>0</v>
      </c>
      <c r="F537" s="511">
        <v>191</v>
      </c>
    </row>
    <row r="538" spans="2:6">
      <c r="B538" s="269" t="s">
        <v>486</v>
      </c>
      <c r="C538" s="269" t="s">
        <v>2154</v>
      </c>
      <c r="D538" s="512">
        <v>9405</v>
      </c>
      <c r="E538" s="512">
        <v>0</v>
      </c>
      <c r="F538" s="512">
        <v>9405</v>
      </c>
    </row>
    <row r="539" spans="2:6">
      <c r="B539" s="510" t="s">
        <v>486</v>
      </c>
      <c r="C539" s="510" t="s">
        <v>2165</v>
      </c>
      <c r="D539" s="511">
        <v>1167</v>
      </c>
      <c r="E539" s="511">
        <v>0</v>
      </c>
      <c r="F539" s="511">
        <v>1167</v>
      </c>
    </row>
    <row r="540" spans="2:6">
      <c r="B540" s="269" t="s">
        <v>338</v>
      </c>
      <c r="C540" s="269" t="s">
        <v>3825</v>
      </c>
      <c r="D540" s="512">
        <v>10500</v>
      </c>
      <c r="E540" s="512">
        <v>0</v>
      </c>
      <c r="F540" s="512">
        <v>10500</v>
      </c>
    </row>
    <row r="541" spans="2:6">
      <c r="B541" s="510" t="s">
        <v>3905</v>
      </c>
      <c r="C541" s="510" t="s">
        <v>3825</v>
      </c>
      <c r="D541" s="511">
        <v>10500</v>
      </c>
      <c r="E541" s="511">
        <v>0</v>
      </c>
      <c r="F541" s="511">
        <v>10500</v>
      </c>
    </row>
    <row r="542" spans="2:6">
      <c r="B542" s="269" t="s">
        <v>3906</v>
      </c>
      <c r="C542" s="269" t="s">
        <v>3827</v>
      </c>
      <c r="D542" s="512">
        <v>10085</v>
      </c>
      <c r="E542" s="512">
        <v>0</v>
      </c>
      <c r="F542" s="512">
        <v>10085</v>
      </c>
    </row>
    <row r="543" spans="2:6">
      <c r="B543" s="510" t="s">
        <v>3906</v>
      </c>
      <c r="C543" s="510" t="s">
        <v>2167</v>
      </c>
      <c r="D543" s="511">
        <v>350</v>
      </c>
      <c r="E543" s="511">
        <v>0</v>
      </c>
      <c r="F543" s="511">
        <v>350</v>
      </c>
    </row>
    <row r="544" spans="2:6">
      <c r="B544" s="269" t="s">
        <v>3906</v>
      </c>
      <c r="C544" s="269" t="s">
        <v>2169</v>
      </c>
      <c r="D544" s="512">
        <v>50</v>
      </c>
      <c r="E544" s="512">
        <v>0</v>
      </c>
      <c r="F544" s="512">
        <v>50</v>
      </c>
    </row>
    <row r="545" spans="2:6">
      <c r="B545" s="510" t="s">
        <v>539</v>
      </c>
      <c r="C545" s="510" t="s">
        <v>3825</v>
      </c>
      <c r="D545" s="511">
        <v>10476</v>
      </c>
      <c r="E545" s="511">
        <v>0</v>
      </c>
      <c r="F545" s="511">
        <v>10476</v>
      </c>
    </row>
    <row r="546" spans="2:6">
      <c r="B546" s="269" t="s">
        <v>1992</v>
      </c>
      <c r="C546" s="269" t="s">
        <v>3825</v>
      </c>
      <c r="D546" s="512">
        <v>9050</v>
      </c>
      <c r="E546" s="512">
        <v>0</v>
      </c>
      <c r="F546" s="512">
        <v>9050</v>
      </c>
    </row>
    <row r="547" spans="2:6">
      <c r="B547" s="510" t="s">
        <v>1992</v>
      </c>
      <c r="C547" s="510" t="s">
        <v>2165</v>
      </c>
      <c r="D547" s="511">
        <v>1046</v>
      </c>
      <c r="E547" s="511">
        <v>0</v>
      </c>
      <c r="F547" s="511">
        <v>1046</v>
      </c>
    </row>
    <row r="548" spans="2:6">
      <c r="B548" s="269" t="s">
        <v>1992</v>
      </c>
      <c r="C548" s="269" t="s">
        <v>2168</v>
      </c>
      <c r="D548" s="512">
        <v>313</v>
      </c>
      <c r="E548" s="512">
        <v>0</v>
      </c>
      <c r="F548" s="512">
        <v>313</v>
      </c>
    </row>
    <row r="549" spans="2:6">
      <c r="B549" s="510" t="s">
        <v>1994</v>
      </c>
      <c r="C549" s="510" t="s">
        <v>3825</v>
      </c>
      <c r="D549" s="511">
        <v>10000</v>
      </c>
      <c r="E549" s="511">
        <v>0</v>
      </c>
      <c r="F549" s="511">
        <v>10000</v>
      </c>
    </row>
    <row r="550" spans="2:6">
      <c r="B550" s="269" t="s">
        <v>1994</v>
      </c>
      <c r="C550" s="269" t="s">
        <v>2165</v>
      </c>
      <c r="D550" s="512">
        <v>30</v>
      </c>
      <c r="E550" s="512">
        <v>0</v>
      </c>
      <c r="F550" s="512">
        <v>30</v>
      </c>
    </row>
    <row r="551" spans="2:6">
      <c r="B551" s="510" t="s">
        <v>1995</v>
      </c>
      <c r="C551" s="510" t="s">
        <v>2168</v>
      </c>
      <c r="D551" s="511">
        <v>5014</v>
      </c>
      <c r="E551" s="511">
        <v>0</v>
      </c>
      <c r="F551" s="511">
        <v>5014</v>
      </c>
    </row>
    <row r="552" spans="2:6">
      <c r="B552" s="269" t="s">
        <v>1995</v>
      </c>
      <c r="C552" s="269" t="s">
        <v>2165</v>
      </c>
      <c r="D552" s="512">
        <v>5014</v>
      </c>
      <c r="E552" s="512">
        <v>0</v>
      </c>
      <c r="F552" s="512">
        <v>5014</v>
      </c>
    </row>
    <row r="553" spans="2:6">
      <c r="B553" s="510" t="s">
        <v>3908</v>
      </c>
      <c r="C553" s="510" t="s">
        <v>3825</v>
      </c>
      <c r="D553" s="511">
        <v>10000</v>
      </c>
      <c r="E553" s="511">
        <v>0</v>
      </c>
      <c r="F553" s="511">
        <v>10000</v>
      </c>
    </row>
    <row r="554" spans="2:6">
      <c r="B554" s="269" t="s">
        <v>3907</v>
      </c>
      <c r="C554" s="269" t="s">
        <v>3825</v>
      </c>
      <c r="D554" s="512">
        <v>10000</v>
      </c>
      <c r="E554" s="512">
        <v>0</v>
      </c>
      <c r="F554" s="512">
        <v>10000</v>
      </c>
    </row>
    <row r="555" spans="2:6">
      <c r="B555" s="510" t="s">
        <v>3909</v>
      </c>
      <c r="C555" s="510" t="s">
        <v>3825</v>
      </c>
      <c r="D555" s="511">
        <v>10000</v>
      </c>
      <c r="E555" s="511">
        <v>0</v>
      </c>
      <c r="F555" s="511">
        <v>10000</v>
      </c>
    </row>
    <row r="556" spans="2:6">
      <c r="B556" s="269" t="s">
        <v>3910</v>
      </c>
      <c r="C556" s="269" t="s">
        <v>3825</v>
      </c>
      <c r="D556" s="512">
        <v>9970</v>
      </c>
      <c r="E556" s="512">
        <v>0</v>
      </c>
      <c r="F556" s="512">
        <v>9970</v>
      </c>
    </row>
    <row r="557" spans="2:6">
      <c r="B557" s="510" t="s">
        <v>518</v>
      </c>
      <c r="C557" s="510" t="s">
        <v>2165</v>
      </c>
      <c r="D557" s="511">
        <v>9939</v>
      </c>
      <c r="E557" s="511">
        <v>0</v>
      </c>
      <c r="F557" s="511">
        <v>9939</v>
      </c>
    </row>
    <row r="558" spans="2:6">
      <c r="B558" s="269" t="s">
        <v>518</v>
      </c>
      <c r="C558" s="269" t="s">
        <v>3825</v>
      </c>
      <c r="D558" s="512">
        <v>15</v>
      </c>
      <c r="E558" s="512">
        <v>0</v>
      </c>
      <c r="F558" s="512">
        <v>15</v>
      </c>
    </row>
    <row r="559" spans="2:6">
      <c r="B559" s="510" t="s">
        <v>449</v>
      </c>
      <c r="C559" s="510" t="s">
        <v>2165</v>
      </c>
      <c r="D559" s="511">
        <v>9910</v>
      </c>
      <c r="E559" s="511">
        <v>0</v>
      </c>
      <c r="F559" s="511">
        <v>9910</v>
      </c>
    </row>
    <row r="560" spans="2:6">
      <c r="B560" s="269" t="s">
        <v>1996</v>
      </c>
      <c r="C560" s="269" t="s">
        <v>3825</v>
      </c>
      <c r="D560" s="512">
        <v>8750</v>
      </c>
      <c r="E560" s="512">
        <v>0</v>
      </c>
      <c r="F560" s="512">
        <v>8750</v>
      </c>
    </row>
    <row r="561" spans="2:6">
      <c r="B561" s="510" t="s">
        <v>1996</v>
      </c>
      <c r="C561" s="510" t="s">
        <v>2165</v>
      </c>
      <c r="D561" s="511">
        <v>568</v>
      </c>
      <c r="E561" s="511">
        <v>0</v>
      </c>
      <c r="F561" s="511">
        <v>568</v>
      </c>
    </row>
    <row r="562" spans="2:6">
      <c r="B562" s="269" t="s">
        <v>1996</v>
      </c>
      <c r="C562" s="269" t="s">
        <v>2168</v>
      </c>
      <c r="D562" s="512">
        <v>568</v>
      </c>
      <c r="E562" s="512">
        <v>0</v>
      </c>
      <c r="F562" s="512">
        <v>568</v>
      </c>
    </row>
    <row r="563" spans="2:6">
      <c r="B563" s="510" t="s">
        <v>1997</v>
      </c>
      <c r="C563" s="510" t="s">
        <v>3825</v>
      </c>
      <c r="D563" s="511">
        <v>9250</v>
      </c>
      <c r="E563" s="511">
        <v>0</v>
      </c>
      <c r="F563" s="511">
        <v>9250</v>
      </c>
    </row>
    <row r="564" spans="2:6">
      <c r="B564" s="269" t="s">
        <v>1997</v>
      </c>
      <c r="C564" s="269" t="s">
        <v>2165</v>
      </c>
      <c r="D564" s="512">
        <v>212</v>
      </c>
      <c r="E564" s="512">
        <v>0</v>
      </c>
      <c r="F564" s="512">
        <v>212</v>
      </c>
    </row>
    <row r="565" spans="2:6">
      <c r="B565" s="510" t="s">
        <v>1997</v>
      </c>
      <c r="C565" s="510" t="s">
        <v>2168</v>
      </c>
      <c r="D565" s="511">
        <v>212</v>
      </c>
      <c r="E565" s="511">
        <v>0</v>
      </c>
      <c r="F565" s="511">
        <v>212</v>
      </c>
    </row>
    <row r="566" spans="2:6">
      <c r="B566" s="269" t="s">
        <v>1998</v>
      </c>
      <c r="C566" s="269" t="s">
        <v>3825</v>
      </c>
      <c r="D566" s="512">
        <v>9250</v>
      </c>
      <c r="E566" s="512">
        <v>0</v>
      </c>
      <c r="F566" s="512">
        <v>9250</v>
      </c>
    </row>
    <row r="567" spans="2:6">
      <c r="B567" s="510" t="s">
        <v>1998</v>
      </c>
      <c r="C567" s="510" t="s">
        <v>2165</v>
      </c>
      <c r="D567" s="511">
        <v>66</v>
      </c>
      <c r="E567" s="511">
        <v>0</v>
      </c>
      <c r="F567" s="511">
        <v>66</v>
      </c>
    </row>
    <row r="568" spans="2:6">
      <c r="B568" s="269" t="s">
        <v>205</v>
      </c>
      <c r="C568" s="269" t="s">
        <v>3825</v>
      </c>
      <c r="D568" s="512">
        <v>9050</v>
      </c>
      <c r="E568" s="512">
        <v>0</v>
      </c>
      <c r="F568" s="512">
        <v>9050</v>
      </c>
    </row>
    <row r="569" spans="2:6">
      <c r="B569" s="510" t="s">
        <v>205</v>
      </c>
      <c r="C569" s="510" t="s">
        <v>2165</v>
      </c>
      <c r="D569" s="511">
        <v>249</v>
      </c>
      <c r="E569" s="511">
        <v>0</v>
      </c>
      <c r="F569" s="511">
        <v>249</v>
      </c>
    </row>
    <row r="570" spans="2:6">
      <c r="B570" s="269" t="s">
        <v>275</v>
      </c>
      <c r="C570" s="269" t="s">
        <v>2168</v>
      </c>
      <c r="D570" s="512">
        <v>4613</v>
      </c>
      <c r="E570" s="512">
        <v>0</v>
      </c>
      <c r="F570" s="512">
        <v>4613</v>
      </c>
    </row>
    <row r="571" spans="2:6">
      <c r="B571" s="510" t="s">
        <v>275</v>
      </c>
      <c r="C571" s="510" t="s">
        <v>2165</v>
      </c>
      <c r="D571" s="511">
        <v>4613</v>
      </c>
      <c r="E571" s="511">
        <v>0</v>
      </c>
      <c r="F571" s="511">
        <v>4613</v>
      </c>
    </row>
    <row r="572" spans="2:6">
      <c r="B572" s="269" t="s">
        <v>265</v>
      </c>
      <c r="C572" s="269" t="s">
        <v>2165</v>
      </c>
      <c r="D572" s="512">
        <v>4530</v>
      </c>
      <c r="E572" s="512">
        <v>0</v>
      </c>
      <c r="F572" s="512">
        <v>4530</v>
      </c>
    </row>
    <row r="573" spans="2:6">
      <c r="B573" s="510" t="s">
        <v>265</v>
      </c>
      <c r="C573" s="510" t="s">
        <v>2168</v>
      </c>
      <c r="D573" s="511">
        <v>4529</v>
      </c>
      <c r="E573" s="511">
        <v>0</v>
      </c>
      <c r="F573" s="511">
        <v>4529</v>
      </c>
    </row>
    <row r="574" spans="2:6">
      <c r="B574" s="269" t="s">
        <v>240</v>
      </c>
      <c r="C574" s="269" t="s">
        <v>2192</v>
      </c>
      <c r="D574" s="512">
        <v>5000</v>
      </c>
      <c r="E574" s="512">
        <v>0</v>
      </c>
      <c r="F574" s="512">
        <v>5000</v>
      </c>
    </row>
    <row r="575" spans="2:6">
      <c r="B575" s="510" t="s">
        <v>240</v>
      </c>
      <c r="C575" s="510" t="s">
        <v>2165</v>
      </c>
      <c r="D575" s="511">
        <v>4019</v>
      </c>
      <c r="E575" s="511">
        <v>0</v>
      </c>
      <c r="F575" s="511">
        <v>4019</v>
      </c>
    </row>
    <row r="576" spans="2:6">
      <c r="B576" s="269" t="s">
        <v>3912</v>
      </c>
      <c r="C576" s="269" t="s">
        <v>3825</v>
      </c>
      <c r="D576" s="512">
        <v>9000</v>
      </c>
      <c r="E576" s="512">
        <v>0</v>
      </c>
      <c r="F576" s="512">
        <v>9000</v>
      </c>
    </row>
    <row r="577" spans="2:6">
      <c r="B577" s="510" t="s">
        <v>3911</v>
      </c>
      <c r="C577" s="510" t="s">
        <v>3825</v>
      </c>
      <c r="D577" s="511">
        <v>9000</v>
      </c>
      <c r="E577" s="511">
        <v>0</v>
      </c>
      <c r="F577" s="511">
        <v>9000</v>
      </c>
    </row>
    <row r="578" spans="2:6">
      <c r="B578" s="269" t="s">
        <v>1953</v>
      </c>
      <c r="C578" s="269" t="s">
        <v>2143</v>
      </c>
      <c r="D578" s="512">
        <v>8985</v>
      </c>
      <c r="E578" s="512">
        <v>0</v>
      </c>
      <c r="F578" s="512">
        <v>8985</v>
      </c>
    </row>
    <row r="579" spans="2:6">
      <c r="B579" s="510" t="s">
        <v>2001</v>
      </c>
      <c r="C579" s="510" t="s">
        <v>2168</v>
      </c>
      <c r="D579" s="511">
        <v>4441</v>
      </c>
      <c r="E579" s="511">
        <v>0</v>
      </c>
      <c r="F579" s="511">
        <v>4441</v>
      </c>
    </row>
    <row r="580" spans="2:6">
      <c r="B580" s="269" t="s">
        <v>2001</v>
      </c>
      <c r="C580" s="269" t="s">
        <v>2165</v>
      </c>
      <c r="D580" s="512">
        <v>4441</v>
      </c>
      <c r="E580" s="512">
        <v>0</v>
      </c>
      <c r="F580" s="512">
        <v>4441</v>
      </c>
    </row>
    <row r="581" spans="2:6">
      <c r="B581" s="510" t="s">
        <v>178</v>
      </c>
      <c r="C581" s="510" t="s">
        <v>2168</v>
      </c>
      <c r="D581" s="511">
        <v>4441</v>
      </c>
      <c r="E581" s="511">
        <v>0</v>
      </c>
      <c r="F581" s="511">
        <v>4441</v>
      </c>
    </row>
    <row r="582" spans="2:6">
      <c r="B582" s="269" t="s">
        <v>178</v>
      </c>
      <c r="C582" s="269" t="s">
        <v>2165</v>
      </c>
      <c r="D582" s="512">
        <v>4441</v>
      </c>
      <c r="E582" s="512">
        <v>0</v>
      </c>
      <c r="F582" s="512">
        <v>4441</v>
      </c>
    </row>
    <row r="583" spans="2:6">
      <c r="B583" s="510" t="s">
        <v>2003</v>
      </c>
      <c r="C583" s="510" t="s">
        <v>2168</v>
      </c>
      <c r="D583" s="511">
        <v>8636</v>
      </c>
      <c r="E583" s="511">
        <v>0</v>
      </c>
      <c r="F583" s="511">
        <v>8636</v>
      </c>
    </row>
    <row r="584" spans="2:6">
      <c r="B584" s="269" t="s">
        <v>3913</v>
      </c>
      <c r="C584" s="269" t="s">
        <v>2154</v>
      </c>
      <c r="D584" s="512">
        <v>8586</v>
      </c>
      <c r="E584" s="512">
        <v>0</v>
      </c>
      <c r="F584" s="512">
        <v>8586</v>
      </c>
    </row>
    <row r="585" spans="2:6">
      <c r="B585" s="510" t="s">
        <v>398</v>
      </c>
      <c r="C585" s="510" t="s">
        <v>3825</v>
      </c>
      <c r="D585" s="511">
        <v>8500</v>
      </c>
      <c r="E585" s="511">
        <v>0</v>
      </c>
      <c r="F585" s="511">
        <v>8500</v>
      </c>
    </row>
    <row r="586" spans="2:6">
      <c r="B586" s="269" t="s">
        <v>398</v>
      </c>
      <c r="C586" s="269" t="s">
        <v>2165</v>
      </c>
      <c r="D586" s="512">
        <v>54</v>
      </c>
      <c r="E586" s="512">
        <v>0</v>
      </c>
      <c r="F586" s="512">
        <v>54</v>
      </c>
    </row>
    <row r="587" spans="2:6">
      <c r="B587" s="510" t="s">
        <v>390</v>
      </c>
      <c r="C587" s="510" t="s">
        <v>2168</v>
      </c>
      <c r="D587" s="511">
        <v>4272</v>
      </c>
      <c r="E587" s="511">
        <v>0</v>
      </c>
      <c r="F587" s="511">
        <v>4272</v>
      </c>
    </row>
    <row r="588" spans="2:6">
      <c r="B588" s="269" t="s">
        <v>390</v>
      </c>
      <c r="C588" s="269" t="s">
        <v>2165</v>
      </c>
      <c r="D588" s="512">
        <v>4272</v>
      </c>
      <c r="E588" s="512">
        <v>0</v>
      </c>
      <c r="F588" s="512">
        <v>4272</v>
      </c>
    </row>
    <row r="589" spans="2:6">
      <c r="B589" s="510" t="s">
        <v>2004</v>
      </c>
      <c r="C589" s="510" t="s">
        <v>2165</v>
      </c>
      <c r="D589" s="511">
        <v>8376</v>
      </c>
      <c r="E589" s="511">
        <v>0</v>
      </c>
      <c r="F589" s="511">
        <v>8376</v>
      </c>
    </row>
    <row r="590" spans="2:6">
      <c r="B590" s="269" t="s">
        <v>3914</v>
      </c>
      <c r="C590" s="269" t="s">
        <v>2165</v>
      </c>
      <c r="D590" s="512">
        <v>8307</v>
      </c>
      <c r="E590" s="512">
        <v>0</v>
      </c>
      <c r="F590" s="512">
        <v>8307</v>
      </c>
    </row>
    <row r="591" spans="2:6">
      <c r="B591" s="510" t="s">
        <v>3842</v>
      </c>
      <c r="C591" s="510" t="s">
        <v>3827</v>
      </c>
      <c r="D591" s="511">
        <v>5412</v>
      </c>
      <c r="E591" s="511">
        <v>0</v>
      </c>
      <c r="F591" s="511">
        <v>5412</v>
      </c>
    </row>
    <row r="592" spans="2:6">
      <c r="B592" s="269" t="s">
        <v>3842</v>
      </c>
      <c r="C592" s="269" t="s">
        <v>3841</v>
      </c>
      <c r="D592" s="512">
        <v>2013</v>
      </c>
      <c r="E592" s="512">
        <v>0</v>
      </c>
      <c r="F592" s="512">
        <v>2013</v>
      </c>
    </row>
    <row r="593" spans="2:6">
      <c r="B593" s="510" t="s">
        <v>3842</v>
      </c>
      <c r="C593" s="510" t="s">
        <v>2167</v>
      </c>
      <c r="D593" s="511">
        <v>700</v>
      </c>
      <c r="E593" s="511">
        <v>0</v>
      </c>
      <c r="F593" s="511">
        <v>700</v>
      </c>
    </row>
    <row r="594" spans="2:6">
      <c r="B594" s="269" t="s">
        <v>3842</v>
      </c>
      <c r="C594" s="269" t="s">
        <v>2169</v>
      </c>
      <c r="D594" s="512">
        <v>100</v>
      </c>
      <c r="E594" s="512">
        <v>0</v>
      </c>
      <c r="F594" s="512">
        <v>100</v>
      </c>
    </row>
    <row r="595" spans="2:6">
      <c r="B595" s="510" t="s">
        <v>3915</v>
      </c>
      <c r="C595" s="510" t="s">
        <v>3825</v>
      </c>
      <c r="D595" s="511">
        <v>8100</v>
      </c>
      <c r="E595" s="511">
        <v>0</v>
      </c>
      <c r="F595" s="511">
        <v>8100</v>
      </c>
    </row>
    <row r="596" spans="2:6">
      <c r="B596" s="269" t="s">
        <v>2030</v>
      </c>
      <c r="C596" s="269" t="s">
        <v>2168</v>
      </c>
      <c r="D596" s="512">
        <v>4008</v>
      </c>
      <c r="E596" s="512">
        <v>0</v>
      </c>
      <c r="F596" s="512">
        <v>4008</v>
      </c>
    </row>
    <row r="597" spans="2:6">
      <c r="B597" s="510" t="s">
        <v>2030</v>
      </c>
      <c r="C597" s="510" t="s">
        <v>2165</v>
      </c>
      <c r="D597" s="511">
        <v>4008</v>
      </c>
      <c r="E597" s="511">
        <v>0</v>
      </c>
      <c r="F597" s="511">
        <v>4008</v>
      </c>
    </row>
    <row r="598" spans="2:6">
      <c r="B598" s="269" t="s">
        <v>3916</v>
      </c>
      <c r="C598" s="269" t="s">
        <v>3825</v>
      </c>
      <c r="D598" s="512">
        <v>8000</v>
      </c>
      <c r="E598" s="512">
        <v>0</v>
      </c>
      <c r="F598" s="512">
        <v>8000</v>
      </c>
    </row>
    <row r="599" spans="2:6">
      <c r="B599" s="510" t="s">
        <v>2007</v>
      </c>
      <c r="C599" s="510" t="s">
        <v>3825</v>
      </c>
      <c r="D599" s="511">
        <v>8000</v>
      </c>
      <c r="E599" s="511">
        <v>0</v>
      </c>
      <c r="F599" s="511">
        <v>8000</v>
      </c>
    </row>
    <row r="600" spans="2:6">
      <c r="B600" s="269" t="s">
        <v>2010</v>
      </c>
      <c r="C600" s="269" t="s">
        <v>3825</v>
      </c>
      <c r="D600" s="512">
        <v>5000</v>
      </c>
      <c r="E600" s="512">
        <v>0</v>
      </c>
      <c r="F600" s="512">
        <v>5000</v>
      </c>
    </row>
    <row r="601" spans="2:6">
      <c r="B601" s="510" t="s">
        <v>2010</v>
      </c>
      <c r="C601" s="510" t="s">
        <v>2144</v>
      </c>
      <c r="D601" s="511">
        <v>708</v>
      </c>
      <c r="E601" s="511">
        <v>0</v>
      </c>
      <c r="F601" s="511">
        <v>708</v>
      </c>
    </row>
    <row r="602" spans="2:6">
      <c r="B602" s="269" t="s">
        <v>2010</v>
      </c>
      <c r="C602" s="269" t="s">
        <v>2136</v>
      </c>
      <c r="D602" s="512">
        <v>707</v>
      </c>
      <c r="E602" s="512">
        <v>0</v>
      </c>
      <c r="F602" s="512">
        <v>707</v>
      </c>
    </row>
    <row r="603" spans="2:6">
      <c r="B603" s="510" t="s">
        <v>2010</v>
      </c>
      <c r="C603" s="510" t="s">
        <v>2165</v>
      </c>
      <c r="D603" s="511">
        <v>588</v>
      </c>
      <c r="E603" s="511">
        <v>0</v>
      </c>
      <c r="F603" s="511">
        <v>588</v>
      </c>
    </row>
    <row r="604" spans="2:6">
      <c r="B604" s="269" t="s">
        <v>2010</v>
      </c>
      <c r="C604" s="269" t="s">
        <v>2178</v>
      </c>
      <c r="D604" s="512">
        <v>584</v>
      </c>
      <c r="E604" s="512">
        <v>0</v>
      </c>
      <c r="F604" s="512">
        <v>584</v>
      </c>
    </row>
    <row r="605" spans="2:6">
      <c r="B605" s="510" t="s">
        <v>2010</v>
      </c>
      <c r="C605" s="510" t="s">
        <v>2151</v>
      </c>
      <c r="D605" s="511">
        <v>272</v>
      </c>
      <c r="E605" s="511">
        <v>0</v>
      </c>
      <c r="F605" s="511">
        <v>272</v>
      </c>
    </row>
    <row r="606" spans="2:6">
      <c r="B606" s="269" t="s">
        <v>451</v>
      </c>
      <c r="C606" s="269" t="s">
        <v>2165</v>
      </c>
      <c r="D606" s="512">
        <v>7809</v>
      </c>
      <c r="E606" s="512">
        <v>0</v>
      </c>
      <c r="F606" s="512">
        <v>7809</v>
      </c>
    </row>
    <row r="607" spans="2:6">
      <c r="B607" s="510" t="s">
        <v>3917</v>
      </c>
      <c r="C607" s="510" t="s">
        <v>2154</v>
      </c>
      <c r="D607" s="511">
        <v>7572</v>
      </c>
      <c r="E607" s="511">
        <v>0</v>
      </c>
      <c r="F607" s="511">
        <v>7572</v>
      </c>
    </row>
    <row r="608" spans="2:6">
      <c r="B608" s="269" t="s">
        <v>3918</v>
      </c>
      <c r="C608" s="269" t="s">
        <v>3825</v>
      </c>
      <c r="D608" s="512">
        <v>7500</v>
      </c>
      <c r="E608" s="512">
        <v>0</v>
      </c>
      <c r="F608" s="512">
        <v>7500</v>
      </c>
    </row>
    <row r="609" spans="2:6">
      <c r="B609" s="510" t="s">
        <v>2008</v>
      </c>
      <c r="C609" s="510" t="s">
        <v>3825</v>
      </c>
      <c r="D609" s="511">
        <v>5000</v>
      </c>
      <c r="E609" s="511">
        <v>0</v>
      </c>
      <c r="F609" s="511">
        <v>5000</v>
      </c>
    </row>
    <row r="610" spans="2:6">
      <c r="B610" s="269" t="s">
        <v>2008</v>
      </c>
      <c r="C610" s="269" t="s">
        <v>2165</v>
      </c>
      <c r="D610" s="512">
        <v>1192</v>
      </c>
      <c r="E610" s="512">
        <v>0</v>
      </c>
      <c r="F610" s="512">
        <v>1192</v>
      </c>
    </row>
    <row r="611" spans="2:6">
      <c r="B611" s="510" t="s">
        <v>2008</v>
      </c>
      <c r="C611" s="510" t="s">
        <v>2168</v>
      </c>
      <c r="D611" s="511">
        <v>1192</v>
      </c>
      <c r="E611" s="511">
        <v>0</v>
      </c>
      <c r="F611" s="511">
        <v>1192</v>
      </c>
    </row>
    <row r="612" spans="2:6">
      <c r="B612" s="269" t="s">
        <v>295</v>
      </c>
      <c r="C612" s="269" t="s">
        <v>2168</v>
      </c>
      <c r="D612" s="512">
        <v>3629</v>
      </c>
      <c r="E612" s="512">
        <v>0</v>
      </c>
      <c r="F612" s="512">
        <v>3629</v>
      </c>
    </row>
    <row r="613" spans="2:6">
      <c r="B613" s="510" t="s">
        <v>295</v>
      </c>
      <c r="C613" s="510" t="s">
        <v>2165</v>
      </c>
      <c r="D613" s="511">
        <v>3629</v>
      </c>
      <c r="E613" s="511">
        <v>0</v>
      </c>
      <c r="F613" s="511">
        <v>3629</v>
      </c>
    </row>
    <row r="614" spans="2:6">
      <c r="B614" s="269" t="s">
        <v>2011</v>
      </c>
      <c r="C614" s="269" t="s">
        <v>2165</v>
      </c>
      <c r="D614" s="512">
        <v>7133</v>
      </c>
      <c r="E614" s="512">
        <v>0</v>
      </c>
      <c r="F614" s="512">
        <v>7133</v>
      </c>
    </row>
    <row r="615" spans="2:6">
      <c r="B615" s="510" t="s">
        <v>2012</v>
      </c>
      <c r="C615" s="510" t="s">
        <v>2165</v>
      </c>
      <c r="D615" s="511">
        <v>3553</v>
      </c>
      <c r="E615" s="511">
        <v>0</v>
      </c>
      <c r="F615" s="511">
        <v>3553</v>
      </c>
    </row>
    <row r="616" spans="2:6">
      <c r="B616" s="269" t="s">
        <v>2012</v>
      </c>
      <c r="C616" s="269" t="s">
        <v>2168</v>
      </c>
      <c r="D616" s="512">
        <v>3546</v>
      </c>
      <c r="E616" s="512">
        <v>0</v>
      </c>
      <c r="F616" s="512">
        <v>3546</v>
      </c>
    </row>
    <row r="617" spans="2:6">
      <c r="B617" s="510" t="s">
        <v>3919</v>
      </c>
      <c r="C617" s="510" t="s">
        <v>2165</v>
      </c>
      <c r="D617" s="511">
        <v>7084</v>
      </c>
      <c r="E617" s="511">
        <v>0</v>
      </c>
      <c r="F617" s="511">
        <v>7084</v>
      </c>
    </row>
    <row r="618" spans="2:6">
      <c r="B618" s="269" t="s">
        <v>3920</v>
      </c>
      <c r="C618" s="269" t="s">
        <v>3825</v>
      </c>
      <c r="D618" s="512">
        <v>7050</v>
      </c>
      <c r="E618" s="512">
        <v>0</v>
      </c>
      <c r="F618" s="512">
        <v>7050</v>
      </c>
    </row>
    <row r="619" spans="2:6">
      <c r="B619" s="510" t="s">
        <v>3921</v>
      </c>
      <c r="C619" s="510" t="s">
        <v>3825</v>
      </c>
      <c r="D619" s="511">
        <v>7050</v>
      </c>
      <c r="E619" s="511">
        <v>0</v>
      </c>
      <c r="F619" s="511">
        <v>7050</v>
      </c>
    </row>
    <row r="620" spans="2:6">
      <c r="B620" s="269" t="s">
        <v>324</v>
      </c>
      <c r="C620" s="269" t="s">
        <v>3825</v>
      </c>
      <c r="D620" s="512">
        <v>7000</v>
      </c>
      <c r="E620" s="512">
        <v>0</v>
      </c>
      <c r="F620" s="512">
        <v>7000</v>
      </c>
    </row>
    <row r="621" spans="2:6">
      <c r="B621" s="510" t="s">
        <v>324</v>
      </c>
      <c r="C621" s="510" t="s">
        <v>2165</v>
      </c>
      <c r="D621" s="511">
        <v>32</v>
      </c>
      <c r="E621" s="511">
        <v>0</v>
      </c>
      <c r="F621" s="511">
        <v>32</v>
      </c>
    </row>
    <row r="622" spans="2:6">
      <c r="B622" s="269" t="s">
        <v>2013</v>
      </c>
      <c r="C622" s="269" t="s">
        <v>3825</v>
      </c>
      <c r="D622" s="512">
        <v>7000</v>
      </c>
      <c r="E622" s="512">
        <v>0</v>
      </c>
      <c r="F622" s="512">
        <v>7000</v>
      </c>
    </row>
    <row r="623" spans="2:6">
      <c r="B623" s="510" t="s">
        <v>2013</v>
      </c>
      <c r="C623" s="510" t="s">
        <v>2165</v>
      </c>
      <c r="D623" s="511">
        <v>26</v>
      </c>
      <c r="E623" s="511">
        <v>0</v>
      </c>
      <c r="F623" s="511">
        <v>26</v>
      </c>
    </row>
    <row r="624" spans="2:6">
      <c r="B624" s="269" t="s">
        <v>214</v>
      </c>
      <c r="C624" s="269" t="s">
        <v>2165</v>
      </c>
      <c r="D624" s="512">
        <v>7021</v>
      </c>
      <c r="E624" s="512">
        <v>0</v>
      </c>
      <c r="F624" s="512">
        <v>7021</v>
      </c>
    </row>
    <row r="625" spans="2:6">
      <c r="B625" s="510" t="s">
        <v>3924</v>
      </c>
      <c r="C625" s="510" t="s">
        <v>3825</v>
      </c>
      <c r="D625" s="511">
        <v>7000</v>
      </c>
      <c r="E625" s="511">
        <v>0</v>
      </c>
      <c r="F625" s="511">
        <v>7000</v>
      </c>
    </row>
    <row r="626" spans="2:6">
      <c r="B626" s="269" t="s">
        <v>3922</v>
      </c>
      <c r="C626" s="269" t="s">
        <v>3825</v>
      </c>
      <c r="D626" s="512">
        <v>7000</v>
      </c>
      <c r="E626" s="512">
        <v>0</v>
      </c>
      <c r="F626" s="512">
        <v>7000</v>
      </c>
    </row>
    <row r="627" spans="2:6">
      <c r="B627" s="510" t="s">
        <v>3923</v>
      </c>
      <c r="C627" s="510" t="s">
        <v>3825</v>
      </c>
      <c r="D627" s="511">
        <v>7000</v>
      </c>
      <c r="E627" s="511">
        <v>0</v>
      </c>
      <c r="F627" s="511">
        <v>7000</v>
      </c>
    </row>
    <row r="628" spans="2:6">
      <c r="B628" s="269" t="s">
        <v>3925</v>
      </c>
      <c r="C628" s="269" t="s">
        <v>2165</v>
      </c>
      <c r="D628" s="512">
        <v>6882</v>
      </c>
      <c r="E628" s="512">
        <v>0</v>
      </c>
      <c r="F628" s="512">
        <v>6882</v>
      </c>
    </row>
    <row r="629" spans="2:6">
      <c r="B629" s="510" t="s">
        <v>3926</v>
      </c>
      <c r="C629" s="510" t="s">
        <v>2154</v>
      </c>
      <c r="D629" s="511">
        <v>6864</v>
      </c>
      <c r="E629" s="511">
        <v>0</v>
      </c>
      <c r="F629" s="511">
        <v>6864</v>
      </c>
    </row>
    <row r="630" spans="2:6">
      <c r="B630" s="269" t="s">
        <v>2058</v>
      </c>
      <c r="C630" s="269" t="s">
        <v>2176</v>
      </c>
      <c r="D630" s="512">
        <v>5375</v>
      </c>
      <c r="E630" s="512">
        <v>0</v>
      </c>
      <c r="F630" s="512">
        <v>5375</v>
      </c>
    </row>
    <row r="631" spans="2:6">
      <c r="B631" s="510" t="s">
        <v>2058</v>
      </c>
      <c r="C631" s="510" t="s">
        <v>2165</v>
      </c>
      <c r="D631" s="511">
        <v>740</v>
      </c>
      <c r="E631" s="511">
        <v>0</v>
      </c>
      <c r="F631" s="511">
        <v>740</v>
      </c>
    </row>
    <row r="632" spans="2:6">
      <c r="B632" s="269" t="s">
        <v>2058</v>
      </c>
      <c r="C632" s="269" t="s">
        <v>2168</v>
      </c>
      <c r="D632" s="512">
        <v>740</v>
      </c>
      <c r="E632" s="512">
        <v>0</v>
      </c>
      <c r="F632" s="512">
        <v>740</v>
      </c>
    </row>
    <row r="633" spans="2:6">
      <c r="B633" s="510" t="s">
        <v>3927</v>
      </c>
      <c r="C633" s="510" t="s">
        <v>2165</v>
      </c>
      <c r="D633" s="511">
        <v>6784</v>
      </c>
      <c r="E633" s="511">
        <v>0</v>
      </c>
      <c r="F633" s="511">
        <v>6784</v>
      </c>
    </row>
    <row r="634" spans="2:6">
      <c r="B634" s="269" t="s">
        <v>504</v>
      </c>
      <c r="C634" s="269" t="s">
        <v>3825</v>
      </c>
      <c r="D634" s="512">
        <v>5000</v>
      </c>
      <c r="E634" s="512">
        <v>0</v>
      </c>
      <c r="F634" s="512">
        <v>5000</v>
      </c>
    </row>
    <row r="635" spans="2:6">
      <c r="B635" s="510" t="s">
        <v>504</v>
      </c>
      <c r="C635" s="510" t="s">
        <v>2165</v>
      </c>
      <c r="D635" s="511">
        <v>1613</v>
      </c>
      <c r="E635" s="511">
        <v>0</v>
      </c>
      <c r="F635" s="511">
        <v>1613</v>
      </c>
    </row>
    <row r="636" spans="2:6">
      <c r="B636" s="269" t="s">
        <v>247</v>
      </c>
      <c r="C636" s="269" t="s">
        <v>2168</v>
      </c>
      <c r="D636" s="512">
        <v>3303</v>
      </c>
      <c r="E636" s="512">
        <v>0</v>
      </c>
      <c r="F636" s="512">
        <v>3303</v>
      </c>
    </row>
    <row r="637" spans="2:6">
      <c r="B637" s="510" t="s">
        <v>247</v>
      </c>
      <c r="C637" s="510" t="s">
        <v>2165</v>
      </c>
      <c r="D637" s="511">
        <v>3303</v>
      </c>
      <c r="E637" s="511">
        <v>0</v>
      </c>
      <c r="F637" s="511">
        <v>3303</v>
      </c>
    </row>
    <row r="638" spans="2:6">
      <c r="B638" s="269" t="s">
        <v>2015</v>
      </c>
      <c r="C638" s="269" t="s">
        <v>2168</v>
      </c>
      <c r="D638" s="512">
        <v>6567</v>
      </c>
      <c r="E638" s="512">
        <v>0</v>
      </c>
      <c r="F638" s="512">
        <v>6567</v>
      </c>
    </row>
    <row r="639" spans="2:6">
      <c r="B639" s="510" t="s">
        <v>3928</v>
      </c>
      <c r="C639" s="510" t="s">
        <v>2154</v>
      </c>
      <c r="D639" s="511">
        <v>6300</v>
      </c>
      <c r="E639" s="511">
        <v>0</v>
      </c>
      <c r="F639" s="511">
        <v>6300</v>
      </c>
    </row>
    <row r="640" spans="2:6">
      <c r="B640" s="269" t="s">
        <v>2016</v>
      </c>
      <c r="C640" s="269" t="s">
        <v>3825</v>
      </c>
      <c r="D640" s="512">
        <v>5500</v>
      </c>
      <c r="E640" s="512">
        <v>0</v>
      </c>
      <c r="F640" s="512">
        <v>5500</v>
      </c>
    </row>
    <row r="641" spans="2:6">
      <c r="B641" s="510" t="s">
        <v>2016</v>
      </c>
      <c r="C641" s="510" t="s">
        <v>2165</v>
      </c>
      <c r="D641" s="511">
        <v>740</v>
      </c>
      <c r="E641" s="511">
        <v>0</v>
      </c>
      <c r="F641" s="511">
        <v>740</v>
      </c>
    </row>
    <row r="642" spans="2:6">
      <c r="B642" s="269" t="s">
        <v>3929</v>
      </c>
      <c r="C642" s="269" t="s">
        <v>3825</v>
      </c>
      <c r="D642" s="512">
        <v>6100</v>
      </c>
      <c r="E642" s="512">
        <v>0</v>
      </c>
      <c r="F642" s="512">
        <v>6100</v>
      </c>
    </row>
    <row r="643" spans="2:6">
      <c r="B643" s="510" t="s">
        <v>2018</v>
      </c>
      <c r="C643" s="510" t="s">
        <v>3825</v>
      </c>
      <c r="D643" s="511">
        <v>6050</v>
      </c>
      <c r="E643" s="511">
        <v>0</v>
      </c>
      <c r="F643" s="511">
        <v>6050</v>
      </c>
    </row>
    <row r="644" spans="2:6">
      <c r="B644" s="269" t="s">
        <v>2017</v>
      </c>
      <c r="C644" s="269" t="s">
        <v>3825</v>
      </c>
      <c r="D644" s="512">
        <v>6050</v>
      </c>
      <c r="E644" s="512">
        <v>0</v>
      </c>
      <c r="F644" s="512">
        <v>6050</v>
      </c>
    </row>
    <row r="645" spans="2:6">
      <c r="B645" s="510" t="s">
        <v>3930</v>
      </c>
      <c r="C645" s="510" t="s">
        <v>3825</v>
      </c>
      <c r="D645" s="511">
        <v>6000</v>
      </c>
      <c r="E645" s="511">
        <v>0</v>
      </c>
      <c r="F645" s="511">
        <v>6000</v>
      </c>
    </row>
    <row r="646" spans="2:6">
      <c r="B646" s="269" t="s">
        <v>2019</v>
      </c>
      <c r="C646" s="269" t="s">
        <v>2165</v>
      </c>
      <c r="D646" s="512">
        <v>3327</v>
      </c>
      <c r="E646" s="512">
        <v>0</v>
      </c>
      <c r="F646" s="512">
        <v>3327</v>
      </c>
    </row>
    <row r="647" spans="2:6">
      <c r="B647" s="510" t="s">
        <v>2019</v>
      </c>
      <c r="C647" s="510" t="s">
        <v>2168</v>
      </c>
      <c r="D647" s="511">
        <v>2386</v>
      </c>
      <c r="E647" s="511">
        <v>0</v>
      </c>
      <c r="F647" s="511">
        <v>2386</v>
      </c>
    </row>
    <row r="648" spans="2:6">
      <c r="B648" s="269" t="s">
        <v>3931</v>
      </c>
      <c r="C648" s="269" t="s">
        <v>3825</v>
      </c>
      <c r="D648" s="512">
        <v>5550</v>
      </c>
      <c r="E648" s="512">
        <v>0</v>
      </c>
      <c r="F648" s="512">
        <v>5550</v>
      </c>
    </row>
    <row r="649" spans="2:6">
      <c r="B649" s="510" t="s">
        <v>2020</v>
      </c>
      <c r="C649" s="510" t="s">
        <v>3825</v>
      </c>
      <c r="D649" s="511">
        <v>5500</v>
      </c>
      <c r="E649" s="511">
        <v>0</v>
      </c>
      <c r="F649" s="511">
        <v>5500</v>
      </c>
    </row>
    <row r="650" spans="2:6">
      <c r="B650" s="269" t="s">
        <v>2020</v>
      </c>
      <c r="C650" s="269" t="s">
        <v>2165</v>
      </c>
      <c r="D650" s="512">
        <v>3</v>
      </c>
      <c r="E650" s="512">
        <v>0</v>
      </c>
      <c r="F650" s="512">
        <v>3</v>
      </c>
    </row>
    <row r="651" spans="2:6">
      <c r="B651" s="510" t="s">
        <v>3933</v>
      </c>
      <c r="C651" s="510" t="s">
        <v>3825</v>
      </c>
      <c r="D651" s="511">
        <v>5500</v>
      </c>
      <c r="E651" s="511">
        <v>0</v>
      </c>
      <c r="F651" s="511">
        <v>5500</v>
      </c>
    </row>
    <row r="652" spans="2:6">
      <c r="B652" s="269" t="s">
        <v>3932</v>
      </c>
      <c r="C652" s="269" t="s">
        <v>3825</v>
      </c>
      <c r="D652" s="512">
        <v>5500</v>
      </c>
      <c r="E652" s="512">
        <v>0</v>
      </c>
      <c r="F652" s="512">
        <v>5500</v>
      </c>
    </row>
    <row r="653" spans="2:6">
      <c r="B653" s="510" t="s">
        <v>3934</v>
      </c>
      <c r="C653" s="510" t="s">
        <v>3825</v>
      </c>
      <c r="D653" s="511">
        <v>5500</v>
      </c>
      <c r="E653" s="511">
        <v>0</v>
      </c>
      <c r="F653" s="511">
        <v>5500</v>
      </c>
    </row>
    <row r="654" spans="2:6">
      <c r="B654" s="269" t="s">
        <v>2014</v>
      </c>
      <c r="C654" s="269" t="s">
        <v>3825</v>
      </c>
      <c r="D654" s="512">
        <v>5500</v>
      </c>
      <c r="E654" s="512">
        <v>0</v>
      </c>
      <c r="F654" s="512">
        <v>5500</v>
      </c>
    </row>
    <row r="655" spans="2:6">
      <c r="B655" s="510" t="s">
        <v>414</v>
      </c>
      <c r="C655" s="510" t="s">
        <v>3825</v>
      </c>
      <c r="D655" s="511">
        <v>5350</v>
      </c>
      <c r="E655" s="511">
        <v>0</v>
      </c>
      <c r="F655" s="511">
        <v>5350</v>
      </c>
    </row>
    <row r="656" spans="2:6">
      <c r="B656" s="269" t="s">
        <v>414</v>
      </c>
      <c r="C656" s="269" t="s">
        <v>2165</v>
      </c>
      <c r="D656" s="512">
        <v>20</v>
      </c>
      <c r="E656" s="512">
        <v>0</v>
      </c>
      <c r="F656" s="512">
        <v>20</v>
      </c>
    </row>
    <row r="657" spans="2:6">
      <c r="B657" s="510" t="s">
        <v>414</v>
      </c>
      <c r="C657" s="510" t="s">
        <v>2168</v>
      </c>
      <c r="D657" s="511">
        <v>20</v>
      </c>
      <c r="E657" s="511">
        <v>0</v>
      </c>
      <c r="F657" s="511">
        <v>20</v>
      </c>
    </row>
    <row r="658" spans="2:6">
      <c r="B658" s="269" t="s">
        <v>3935</v>
      </c>
      <c r="C658" s="269" t="s">
        <v>2165</v>
      </c>
      <c r="D658" s="512">
        <v>5268</v>
      </c>
      <c r="E658" s="512">
        <v>0</v>
      </c>
      <c r="F658" s="512">
        <v>5268</v>
      </c>
    </row>
    <row r="659" spans="2:6">
      <c r="B659" s="510" t="s">
        <v>2022</v>
      </c>
      <c r="C659" s="510" t="s">
        <v>2178</v>
      </c>
      <c r="D659" s="511">
        <v>5245</v>
      </c>
      <c r="E659" s="511">
        <v>0</v>
      </c>
      <c r="F659" s="511">
        <v>5245</v>
      </c>
    </row>
    <row r="660" spans="2:6">
      <c r="B660" s="269" t="s">
        <v>3936</v>
      </c>
      <c r="C660" s="269" t="s">
        <v>2154</v>
      </c>
      <c r="D660" s="512">
        <v>5230</v>
      </c>
      <c r="E660" s="512">
        <v>0</v>
      </c>
      <c r="F660" s="512">
        <v>5230</v>
      </c>
    </row>
    <row r="661" spans="2:6">
      <c r="B661" s="510" t="s">
        <v>2049</v>
      </c>
      <c r="C661" s="510" t="s">
        <v>2168</v>
      </c>
      <c r="D661" s="511">
        <v>2591</v>
      </c>
      <c r="E661" s="511">
        <v>0</v>
      </c>
      <c r="F661" s="511">
        <v>2591</v>
      </c>
    </row>
    <row r="662" spans="2:6">
      <c r="B662" s="269" t="s">
        <v>2049</v>
      </c>
      <c r="C662" s="269" t="s">
        <v>2165</v>
      </c>
      <c r="D662" s="512">
        <v>2591</v>
      </c>
      <c r="E662" s="512">
        <v>0</v>
      </c>
      <c r="F662" s="512">
        <v>2591</v>
      </c>
    </row>
    <row r="663" spans="2:6">
      <c r="B663" s="510" t="s">
        <v>164</v>
      </c>
      <c r="C663" s="510" t="s">
        <v>2168</v>
      </c>
      <c r="D663" s="511">
        <v>2591</v>
      </c>
      <c r="E663" s="511">
        <v>0</v>
      </c>
      <c r="F663" s="511">
        <v>2591</v>
      </c>
    </row>
    <row r="664" spans="2:6">
      <c r="B664" s="269" t="s">
        <v>164</v>
      </c>
      <c r="C664" s="269" t="s">
        <v>2165</v>
      </c>
      <c r="D664" s="512">
        <v>2591</v>
      </c>
      <c r="E664" s="512">
        <v>0</v>
      </c>
      <c r="F664" s="512">
        <v>2591</v>
      </c>
    </row>
    <row r="665" spans="2:6">
      <c r="B665" s="510" t="s">
        <v>123</v>
      </c>
      <c r="C665" s="510" t="s">
        <v>2168</v>
      </c>
      <c r="D665" s="511">
        <v>2591</v>
      </c>
      <c r="E665" s="511">
        <v>0</v>
      </c>
      <c r="F665" s="511">
        <v>2591</v>
      </c>
    </row>
    <row r="666" spans="2:6">
      <c r="B666" s="269" t="s">
        <v>123</v>
      </c>
      <c r="C666" s="269" t="s">
        <v>2165</v>
      </c>
      <c r="D666" s="512">
        <v>2591</v>
      </c>
      <c r="E666" s="512">
        <v>0</v>
      </c>
      <c r="F666" s="512">
        <v>2591</v>
      </c>
    </row>
    <row r="667" spans="2:6">
      <c r="B667" s="510" t="s">
        <v>2023</v>
      </c>
      <c r="C667" s="510" t="s">
        <v>2185</v>
      </c>
      <c r="D667" s="511">
        <v>5144</v>
      </c>
      <c r="E667" s="511">
        <v>0</v>
      </c>
      <c r="F667" s="511">
        <v>5144</v>
      </c>
    </row>
    <row r="668" spans="2:6">
      <c r="B668" s="269" t="s">
        <v>148</v>
      </c>
      <c r="C668" s="269" t="s">
        <v>2168</v>
      </c>
      <c r="D668" s="512">
        <v>2554</v>
      </c>
      <c r="E668" s="512">
        <v>0</v>
      </c>
      <c r="F668" s="512">
        <v>2554</v>
      </c>
    </row>
    <row r="669" spans="2:6">
      <c r="B669" s="510" t="s">
        <v>148</v>
      </c>
      <c r="C669" s="510" t="s">
        <v>2165</v>
      </c>
      <c r="D669" s="511">
        <v>2554</v>
      </c>
      <c r="E669" s="511">
        <v>0</v>
      </c>
      <c r="F669" s="511">
        <v>2554</v>
      </c>
    </row>
    <row r="670" spans="2:6">
      <c r="B670" s="269" t="s">
        <v>378</v>
      </c>
      <c r="C670" s="269" t="s">
        <v>3825</v>
      </c>
      <c r="D670" s="512">
        <v>5000</v>
      </c>
      <c r="E670" s="512">
        <v>0</v>
      </c>
      <c r="F670" s="512">
        <v>5000</v>
      </c>
    </row>
    <row r="671" spans="2:6">
      <c r="B671" s="510" t="s">
        <v>378</v>
      </c>
      <c r="C671" s="510" t="s">
        <v>2165</v>
      </c>
      <c r="D671" s="511">
        <v>60</v>
      </c>
      <c r="E671" s="511">
        <v>0</v>
      </c>
      <c r="F671" s="511">
        <v>60</v>
      </c>
    </row>
    <row r="672" spans="2:6">
      <c r="B672" s="269" t="s">
        <v>2024</v>
      </c>
      <c r="C672" s="269" t="s">
        <v>2168</v>
      </c>
      <c r="D672" s="512">
        <v>2320</v>
      </c>
      <c r="E672" s="512">
        <v>0</v>
      </c>
      <c r="F672" s="512">
        <v>2320</v>
      </c>
    </row>
    <row r="673" spans="2:6">
      <c r="B673" s="510" t="s">
        <v>2024</v>
      </c>
      <c r="C673" s="510" t="s">
        <v>2165</v>
      </c>
      <c r="D673" s="511">
        <v>2220</v>
      </c>
      <c r="E673" s="511">
        <v>0</v>
      </c>
      <c r="F673" s="511">
        <v>2220</v>
      </c>
    </row>
    <row r="674" spans="2:6">
      <c r="B674" s="269" t="s">
        <v>2024</v>
      </c>
      <c r="C674" s="269" t="s">
        <v>2178</v>
      </c>
      <c r="D674" s="512">
        <v>505</v>
      </c>
      <c r="E674" s="512">
        <v>0</v>
      </c>
      <c r="F674" s="512">
        <v>505</v>
      </c>
    </row>
    <row r="675" spans="2:6">
      <c r="B675" s="510" t="s">
        <v>3937</v>
      </c>
      <c r="C675" s="510" t="s">
        <v>3825</v>
      </c>
      <c r="D675" s="511">
        <v>5000</v>
      </c>
      <c r="E675" s="511">
        <v>0</v>
      </c>
      <c r="F675" s="511">
        <v>5000</v>
      </c>
    </row>
    <row r="676" spans="2:6">
      <c r="B676" s="269" t="s">
        <v>2025</v>
      </c>
      <c r="C676" s="269" t="s">
        <v>2178</v>
      </c>
      <c r="D676" s="512">
        <v>4895</v>
      </c>
      <c r="E676" s="512">
        <v>0</v>
      </c>
      <c r="F676" s="512">
        <v>4895</v>
      </c>
    </row>
    <row r="677" spans="2:6">
      <c r="B677" s="510" t="s">
        <v>2027</v>
      </c>
      <c r="C677" s="510" t="s">
        <v>2168</v>
      </c>
      <c r="D677" s="511">
        <v>2410</v>
      </c>
      <c r="E677" s="511">
        <v>0</v>
      </c>
      <c r="F677" s="511">
        <v>2410</v>
      </c>
    </row>
    <row r="678" spans="2:6">
      <c r="B678" s="269" t="s">
        <v>2027</v>
      </c>
      <c r="C678" s="269" t="s">
        <v>2165</v>
      </c>
      <c r="D678" s="512">
        <v>2409</v>
      </c>
      <c r="E678" s="512">
        <v>0</v>
      </c>
      <c r="F678" s="512">
        <v>2409</v>
      </c>
    </row>
    <row r="679" spans="2:6">
      <c r="B679" s="510" t="s">
        <v>58</v>
      </c>
      <c r="C679" s="510" t="s">
        <v>2168</v>
      </c>
      <c r="D679" s="511">
        <v>2400</v>
      </c>
      <c r="E679" s="511">
        <v>0</v>
      </c>
      <c r="F679" s="511">
        <v>2400</v>
      </c>
    </row>
    <row r="680" spans="2:6">
      <c r="B680" s="269" t="s">
        <v>58</v>
      </c>
      <c r="C680" s="269" t="s">
        <v>2165</v>
      </c>
      <c r="D680" s="512">
        <v>2400</v>
      </c>
      <c r="E680" s="512">
        <v>0</v>
      </c>
      <c r="F680" s="512">
        <v>2400</v>
      </c>
    </row>
    <row r="681" spans="2:6">
      <c r="B681" s="510" t="s">
        <v>303</v>
      </c>
      <c r="C681" s="510" t="s">
        <v>2194</v>
      </c>
      <c r="D681" s="511">
        <v>3500</v>
      </c>
      <c r="E681" s="511">
        <v>0</v>
      </c>
      <c r="F681" s="511">
        <v>3500</v>
      </c>
    </row>
    <row r="682" spans="2:6">
      <c r="B682" s="269" t="s">
        <v>303</v>
      </c>
      <c r="C682" s="269" t="s">
        <v>2165</v>
      </c>
      <c r="D682" s="512">
        <v>620</v>
      </c>
      <c r="E682" s="512">
        <v>0</v>
      </c>
      <c r="F682" s="512">
        <v>620</v>
      </c>
    </row>
    <row r="683" spans="2:6">
      <c r="B683" s="510" t="s">
        <v>303</v>
      </c>
      <c r="C683" s="510" t="s">
        <v>2168</v>
      </c>
      <c r="D683" s="511">
        <v>620</v>
      </c>
      <c r="E683" s="511">
        <v>0</v>
      </c>
      <c r="F683" s="511">
        <v>620</v>
      </c>
    </row>
    <row r="684" spans="2:6">
      <c r="B684" s="269" t="s">
        <v>224</v>
      </c>
      <c r="C684" s="269" t="s">
        <v>2168</v>
      </c>
      <c r="D684" s="512">
        <v>2348</v>
      </c>
      <c r="E684" s="512">
        <v>0</v>
      </c>
      <c r="F684" s="512">
        <v>2348</v>
      </c>
    </row>
    <row r="685" spans="2:6">
      <c r="B685" s="510" t="s">
        <v>224</v>
      </c>
      <c r="C685" s="510" t="s">
        <v>2165</v>
      </c>
      <c r="D685" s="511">
        <v>2328</v>
      </c>
      <c r="E685" s="511">
        <v>0</v>
      </c>
      <c r="F685" s="511">
        <v>2328</v>
      </c>
    </row>
    <row r="686" spans="2:6">
      <c r="B686" s="269" t="s">
        <v>386</v>
      </c>
      <c r="C686" s="269" t="s">
        <v>3825</v>
      </c>
      <c r="D686" s="512">
        <v>4550</v>
      </c>
      <c r="E686" s="512">
        <v>0</v>
      </c>
      <c r="F686" s="512">
        <v>4550</v>
      </c>
    </row>
    <row r="687" spans="2:6">
      <c r="B687" s="510" t="s">
        <v>386</v>
      </c>
      <c r="C687" s="510" t="s">
        <v>2165</v>
      </c>
      <c r="D687" s="511">
        <v>2</v>
      </c>
      <c r="E687" s="511">
        <v>0</v>
      </c>
      <c r="F687" s="511">
        <v>2</v>
      </c>
    </row>
    <row r="688" spans="2:6">
      <c r="B688" s="269" t="s">
        <v>3938</v>
      </c>
      <c r="C688" s="269" t="s">
        <v>2154</v>
      </c>
      <c r="D688" s="512">
        <v>4435</v>
      </c>
      <c r="E688" s="512">
        <v>0</v>
      </c>
      <c r="F688" s="512">
        <v>4435</v>
      </c>
    </row>
    <row r="689" spans="2:6">
      <c r="B689" s="510" t="s">
        <v>2028</v>
      </c>
      <c r="C689" s="510" t="s">
        <v>2168</v>
      </c>
      <c r="D689" s="511">
        <v>2914</v>
      </c>
      <c r="E689" s="511">
        <v>0</v>
      </c>
      <c r="F689" s="511">
        <v>2914</v>
      </c>
    </row>
    <row r="690" spans="2:6">
      <c r="B690" s="269" t="s">
        <v>2028</v>
      </c>
      <c r="C690" s="269" t="s">
        <v>2165</v>
      </c>
      <c r="D690" s="512">
        <v>1480</v>
      </c>
      <c r="E690" s="512">
        <v>0</v>
      </c>
      <c r="F690" s="512">
        <v>1480</v>
      </c>
    </row>
    <row r="691" spans="2:6">
      <c r="B691" s="510" t="s">
        <v>2029</v>
      </c>
      <c r="C691" s="510" t="s">
        <v>2144</v>
      </c>
      <c r="D691" s="511">
        <v>2194</v>
      </c>
      <c r="E691" s="511">
        <v>0</v>
      </c>
      <c r="F691" s="511">
        <v>2194</v>
      </c>
    </row>
    <row r="692" spans="2:6">
      <c r="B692" s="269" t="s">
        <v>2029</v>
      </c>
      <c r="C692" s="269" t="s">
        <v>2136</v>
      </c>
      <c r="D692" s="512">
        <v>881</v>
      </c>
      <c r="E692" s="512">
        <v>0</v>
      </c>
      <c r="F692" s="512">
        <v>881</v>
      </c>
    </row>
    <row r="693" spans="2:6">
      <c r="B693" s="510" t="s">
        <v>2029</v>
      </c>
      <c r="C693" s="510" t="s">
        <v>2151</v>
      </c>
      <c r="D693" s="511">
        <v>805</v>
      </c>
      <c r="E693" s="511">
        <v>0</v>
      </c>
      <c r="F693" s="511">
        <v>805</v>
      </c>
    </row>
    <row r="694" spans="2:6">
      <c r="B694" s="269" t="s">
        <v>2029</v>
      </c>
      <c r="C694" s="269" t="s">
        <v>2165</v>
      </c>
      <c r="D694" s="512">
        <v>230</v>
      </c>
      <c r="E694" s="512">
        <v>0</v>
      </c>
      <c r="F694" s="512">
        <v>230</v>
      </c>
    </row>
    <row r="695" spans="2:6">
      <c r="B695" s="510" t="s">
        <v>2029</v>
      </c>
      <c r="C695" s="510" t="s">
        <v>2168</v>
      </c>
      <c r="D695" s="511">
        <v>230</v>
      </c>
      <c r="E695" s="511">
        <v>0</v>
      </c>
      <c r="F695" s="511">
        <v>230</v>
      </c>
    </row>
    <row r="696" spans="2:6">
      <c r="B696" s="269" t="s">
        <v>223</v>
      </c>
      <c r="C696" s="269" t="s">
        <v>2165</v>
      </c>
      <c r="D696" s="512">
        <v>4191</v>
      </c>
      <c r="E696" s="512">
        <v>0</v>
      </c>
      <c r="F696" s="512">
        <v>4191</v>
      </c>
    </row>
    <row r="697" spans="2:6">
      <c r="B697" s="510" t="s">
        <v>478</v>
      </c>
      <c r="C697" s="510" t="s">
        <v>2165</v>
      </c>
      <c r="D697" s="511">
        <v>4020</v>
      </c>
      <c r="E697" s="511">
        <v>0</v>
      </c>
      <c r="F697" s="511">
        <v>4020</v>
      </c>
    </row>
    <row r="698" spans="2:6">
      <c r="B698" s="269" t="s">
        <v>3939</v>
      </c>
      <c r="C698" s="269" t="s">
        <v>3827</v>
      </c>
      <c r="D698" s="512">
        <v>3605</v>
      </c>
      <c r="E698" s="512">
        <v>0</v>
      </c>
      <c r="F698" s="512">
        <v>3605</v>
      </c>
    </row>
    <row r="699" spans="2:6">
      <c r="B699" s="510" t="s">
        <v>3939</v>
      </c>
      <c r="C699" s="510" t="s">
        <v>2167</v>
      </c>
      <c r="D699" s="511">
        <v>350</v>
      </c>
      <c r="E699" s="511">
        <v>0</v>
      </c>
      <c r="F699" s="511">
        <v>350</v>
      </c>
    </row>
    <row r="700" spans="2:6">
      <c r="B700" s="269" t="s">
        <v>3939</v>
      </c>
      <c r="C700" s="269" t="s">
        <v>2169</v>
      </c>
      <c r="D700" s="512">
        <v>50</v>
      </c>
      <c r="E700" s="512">
        <v>0</v>
      </c>
      <c r="F700" s="512">
        <v>50</v>
      </c>
    </row>
    <row r="701" spans="2:6">
      <c r="B701" s="510" t="s">
        <v>3940</v>
      </c>
      <c r="C701" s="510" t="s">
        <v>3825</v>
      </c>
      <c r="D701" s="511">
        <v>4000</v>
      </c>
      <c r="E701" s="511">
        <v>0</v>
      </c>
      <c r="F701" s="511">
        <v>4000</v>
      </c>
    </row>
    <row r="702" spans="2:6">
      <c r="B702" s="269" t="s">
        <v>3941</v>
      </c>
      <c r="C702" s="269" t="s">
        <v>3825</v>
      </c>
      <c r="D702" s="512">
        <v>4000</v>
      </c>
      <c r="E702" s="512">
        <v>0</v>
      </c>
      <c r="F702" s="512">
        <v>4000</v>
      </c>
    </row>
    <row r="703" spans="2:6">
      <c r="B703" s="510" t="s">
        <v>3942</v>
      </c>
      <c r="C703" s="510" t="s">
        <v>3825</v>
      </c>
      <c r="D703" s="511">
        <v>4000</v>
      </c>
      <c r="E703" s="511">
        <v>0</v>
      </c>
      <c r="F703" s="511">
        <v>4000</v>
      </c>
    </row>
    <row r="704" spans="2:6">
      <c r="B704" s="269" t="s">
        <v>2034</v>
      </c>
      <c r="C704" s="269" t="s">
        <v>2151</v>
      </c>
      <c r="D704" s="512">
        <v>3363</v>
      </c>
      <c r="E704" s="512">
        <v>0</v>
      </c>
      <c r="F704" s="512">
        <v>3363</v>
      </c>
    </row>
    <row r="705" spans="2:6">
      <c r="B705" s="510" t="s">
        <v>2034</v>
      </c>
      <c r="C705" s="510" t="s">
        <v>2168</v>
      </c>
      <c r="D705" s="511">
        <v>296</v>
      </c>
      <c r="E705" s="511">
        <v>0</v>
      </c>
      <c r="F705" s="511">
        <v>296</v>
      </c>
    </row>
    <row r="706" spans="2:6">
      <c r="B706" s="269" t="s">
        <v>2034</v>
      </c>
      <c r="C706" s="269" t="s">
        <v>2165</v>
      </c>
      <c r="D706" s="512">
        <v>296</v>
      </c>
      <c r="E706" s="512">
        <v>0</v>
      </c>
      <c r="F706" s="512">
        <v>296</v>
      </c>
    </row>
    <row r="707" spans="2:6">
      <c r="B707" s="510" t="s">
        <v>2103</v>
      </c>
      <c r="C707" s="510" t="s">
        <v>3825</v>
      </c>
      <c r="D707" s="511">
        <v>3500</v>
      </c>
      <c r="E707" s="511">
        <v>0</v>
      </c>
      <c r="F707" s="511">
        <v>3500</v>
      </c>
    </row>
    <row r="708" spans="2:6">
      <c r="B708" s="269" t="s">
        <v>2103</v>
      </c>
      <c r="C708" s="269" t="s">
        <v>2165</v>
      </c>
      <c r="D708" s="512">
        <v>184</v>
      </c>
      <c r="E708" s="512">
        <v>0</v>
      </c>
      <c r="F708" s="512">
        <v>184</v>
      </c>
    </row>
    <row r="709" spans="2:6">
      <c r="B709" s="510" t="s">
        <v>2103</v>
      </c>
      <c r="C709" s="510" t="s">
        <v>2168</v>
      </c>
      <c r="D709" s="511">
        <v>184</v>
      </c>
      <c r="E709" s="511">
        <v>0</v>
      </c>
      <c r="F709" s="511">
        <v>184</v>
      </c>
    </row>
    <row r="710" spans="2:6">
      <c r="B710" s="269" t="s">
        <v>36</v>
      </c>
      <c r="C710" s="269" t="s">
        <v>2185</v>
      </c>
      <c r="D710" s="512">
        <v>3853</v>
      </c>
      <c r="E710" s="512">
        <v>0</v>
      </c>
      <c r="F710" s="512">
        <v>3853</v>
      </c>
    </row>
    <row r="711" spans="2:6">
      <c r="B711" s="510" t="s">
        <v>498</v>
      </c>
      <c r="C711" s="510" t="s">
        <v>2165</v>
      </c>
      <c r="D711" s="511">
        <v>3852</v>
      </c>
      <c r="E711" s="511">
        <v>0</v>
      </c>
      <c r="F711" s="511">
        <v>3852</v>
      </c>
    </row>
    <row r="712" spans="2:6">
      <c r="B712" s="269" t="s">
        <v>2032</v>
      </c>
      <c r="C712" s="269" t="s">
        <v>2165</v>
      </c>
      <c r="D712" s="512">
        <v>3836</v>
      </c>
      <c r="E712" s="512">
        <v>0</v>
      </c>
      <c r="F712" s="512">
        <v>3836</v>
      </c>
    </row>
    <row r="713" spans="2:6">
      <c r="B713" s="510" t="s">
        <v>2033</v>
      </c>
      <c r="C713" s="510" t="s">
        <v>2168</v>
      </c>
      <c r="D713" s="511">
        <v>1888</v>
      </c>
      <c r="E713" s="511">
        <v>0</v>
      </c>
      <c r="F713" s="511">
        <v>1888</v>
      </c>
    </row>
    <row r="714" spans="2:6">
      <c r="B714" s="269" t="s">
        <v>2033</v>
      </c>
      <c r="C714" s="269" t="s">
        <v>2165</v>
      </c>
      <c r="D714" s="512">
        <v>1888</v>
      </c>
      <c r="E714" s="512">
        <v>0</v>
      </c>
      <c r="F714" s="512">
        <v>1888</v>
      </c>
    </row>
    <row r="715" spans="2:6">
      <c r="B715" s="510" t="s">
        <v>2035</v>
      </c>
      <c r="C715" s="510" t="s">
        <v>2144</v>
      </c>
      <c r="D715" s="511">
        <v>2660</v>
      </c>
      <c r="E715" s="511">
        <v>0</v>
      </c>
      <c r="F715" s="511">
        <v>2660</v>
      </c>
    </row>
    <row r="716" spans="2:6">
      <c r="B716" s="269" t="s">
        <v>2035</v>
      </c>
      <c r="C716" s="269" t="s">
        <v>2136</v>
      </c>
      <c r="D716" s="512">
        <v>448</v>
      </c>
      <c r="E716" s="512">
        <v>0</v>
      </c>
      <c r="F716" s="512">
        <v>448</v>
      </c>
    </row>
    <row r="717" spans="2:6">
      <c r="B717" s="510" t="s">
        <v>2035</v>
      </c>
      <c r="C717" s="510" t="s">
        <v>2165</v>
      </c>
      <c r="D717" s="511">
        <v>275</v>
      </c>
      <c r="E717" s="511">
        <v>0</v>
      </c>
      <c r="F717" s="511">
        <v>275</v>
      </c>
    </row>
    <row r="718" spans="2:6">
      <c r="B718" s="269" t="s">
        <v>2035</v>
      </c>
      <c r="C718" s="269" t="s">
        <v>2168</v>
      </c>
      <c r="D718" s="512">
        <v>275</v>
      </c>
      <c r="E718" s="512">
        <v>0</v>
      </c>
      <c r="F718" s="512">
        <v>275</v>
      </c>
    </row>
    <row r="719" spans="2:6">
      <c r="B719" s="510" t="s">
        <v>2036</v>
      </c>
      <c r="C719" s="510" t="s">
        <v>2165</v>
      </c>
      <c r="D719" s="511">
        <v>3625</v>
      </c>
      <c r="E719" s="511">
        <v>0</v>
      </c>
      <c r="F719" s="511">
        <v>3625</v>
      </c>
    </row>
    <row r="720" spans="2:6">
      <c r="B720" s="269" t="s">
        <v>2037</v>
      </c>
      <c r="C720" s="269" t="s">
        <v>3825</v>
      </c>
      <c r="D720" s="512">
        <v>3500</v>
      </c>
      <c r="E720" s="512">
        <v>0</v>
      </c>
      <c r="F720" s="512">
        <v>3500</v>
      </c>
    </row>
    <row r="721" spans="2:6">
      <c r="B721" s="510" t="s">
        <v>2037</v>
      </c>
      <c r="C721" s="510" t="s">
        <v>2165</v>
      </c>
      <c r="D721" s="511">
        <v>8</v>
      </c>
      <c r="E721" s="511">
        <v>0</v>
      </c>
      <c r="F721" s="511">
        <v>8</v>
      </c>
    </row>
    <row r="722" spans="2:6">
      <c r="B722" s="269" t="s">
        <v>2037</v>
      </c>
      <c r="C722" s="269" t="s">
        <v>2168</v>
      </c>
      <c r="D722" s="512">
        <v>8</v>
      </c>
      <c r="E722" s="512">
        <v>0</v>
      </c>
      <c r="F722" s="512">
        <v>8</v>
      </c>
    </row>
    <row r="723" spans="2:6">
      <c r="B723" s="510" t="s">
        <v>465</v>
      </c>
      <c r="C723" s="510" t="s">
        <v>2165</v>
      </c>
      <c r="D723" s="511">
        <v>3508</v>
      </c>
      <c r="E723" s="511">
        <v>0</v>
      </c>
      <c r="F723" s="511">
        <v>3508</v>
      </c>
    </row>
    <row r="724" spans="2:6">
      <c r="B724" s="269" t="s">
        <v>2038</v>
      </c>
      <c r="C724" s="269" t="s">
        <v>3825</v>
      </c>
      <c r="D724" s="512">
        <v>3500</v>
      </c>
      <c r="E724" s="512">
        <v>0</v>
      </c>
      <c r="F724" s="512">
        <v>3500</v>
      </c>
    </row>
    <row r="725" spans="2:6">
      <c r="B725" s="510" t="s">
        <v>2038</v>
      </c>
      <c r="C725" s="510" t="s">
        <v>2165</v>
      </c>
      <c r="D725" s="511">
        <v>7</v>
      </c>
      <c r="E725" s="511">
        <v>0</v>
      </c>
      <c r="F725" s="511">
        <v>7</v>
      </c>
    </row>
    <row r="726" spans="2:6">
      <c r="B726" s="269" t="s">
        <v>3943</v>
      </c>
      <c r="C726" s="269" t="s">
        <v>3825</v>
      </c>
      <c r="D726" s="512">
        <v>3500</v>
      </c>
      <c r="E726" s="512">
        <v>0</v>
      </c>
      <c r="F726" s="512">
        <v>3500</v>
      </c>
    </row>
    <row r="727" spans="2:6">
      <c r="B727" s="510" t="s">
        <v>495</v>
      </c>
      <c r="C727" s="510" t="s">
        <v>2165</v>
      </c>
      <c r="D727" s="511">
        <v>1961</v>
      </c>
      <c r="E727" s="511">
        <v>0</v>
      </c>
      <c r="F727" s="511">
        <v>1961</v>
      </c>
    </row>
    <row r="728" spans="2:6">
      <c r="B728" s="269" t="s">
        <v>495</v>
      </c>
      <c r="C728" s="269" t="s">
        <v>3825</v>
      </c>
      <c r="D728" s="512">
        <v>1500</v>
      </c>
      <c r="E728" s="512">
        <v>0</v>
      </c>
      <c r="F728" s="512">
        <v>1500</v>
      </c>
    </row>
    <row r="729" spans="2:6">
      <c r="B729" s="510" t="s">
        <v>2039</v>
      </c>
      <c r="C729" s="510" t="s">
        <v>2165</v>
      </c>
      <c r="D729" s="511">
        <v>3436</v>
      </c>
      <c r="E729" s="511">
        <v>0</v>
      </c>
      <c r="F729" s="511">
        <v>3436</v>
      </c>
    </row>
    <row r="730" spans="2:6">
      <c r="B730" s="269" t="s">
        <v>231</v>
      </c>
      <c r="C730" s="269" t="s">
        <v>2165</v>
      </c>
      <c r="D730" s="512">
        <v>3427</v>
      </c>
      <c r="E730" s="512">
        <v>0</v>
      </c>
      <c r="F730" s="512">
        <v>3427</v>
      </c>
    </row>
    <row r="731" spans="2:6">
      <c r="B731" s="510" t="s">
        <v>3944</v>
      </c>
      <c r="C731" s="510" t="s">
        <v>2165</v>
      </c>
      <c r="D731" s="511">
        <v>3412</v>
      </c>
      <c r="E731" s="511">
        <v>0</v>
      </c>
      <c r="F731" s="511">
        <v>3412</v>
      </c>
    </row>
    <row r="732" spans="2:6">
      <c r="B732" s="269" t="s">
        <v>2040</v>
      </c>
      <c r="C732" s="269" t="s">
        <v>2144</v>
      </c>
      <c r="D732" s="512">
        <v>2015</v>
      </c>
      <c r="E732" s="512">
        <v>0</v>
      </c>
      <c r="F732" s="512">
        <v>2015</v>
      </c>
    </row>
    <row r="733" spans="2:6">
      <c r="B733" s="510" t="s">
        <v>2040</v>
      </c>
      <c r="C733" s="510" t="s">
        <v>2136</v>
      </c>
      <c r="D733" s="511">
        <v>1392</v>
      </c>
      <c r="E733" s="511">
        <v>0</v>
      </c>
      <c r="F733" s="511">
        <v>1392</v>
      </c>
    </row>
    <row r="734" spans="2:6">
      <c r="B734" s="269" t="s">
        <v>3945</v>
      </c>
      <c r="C734" s="269" t="s">
        <v>2154</v>
      </c>
      <c r="D734" s="512">
        <v>3401</v>
      </c>
      <c r="E734" s="512">
        <v>0</v>
      </c>
      <c r="F734" s="512">
        <v>3401</v>
      </c>
    </row>
    <row r="735" spans="2:6">
      <c r="B735" s="510" t="s">
        <v>1924</v>
      </c>
      <c r="C735" s="510" t="s">
        <v>2147</v>
      </c>
      <c r="D735" s="511">
        <v>2672</v>
      </c>
      <c r="E735" s="511">
        <v>0</v>
      </c>
      <c r="F735" s="511">
        <v>2672</v>
      </c>
    </row>
    <row r="736" spans="2:6">
      <c r="B736" s="269" t="s">
        <v>1924</v>
      </c>
      <c r="C736" s="269" t="s">
        <v>2180</v>
      </c>
      <c r="D736" s="512">
        <v>413</v>
      </c>
      <c r="E736" s="512">
        <v>0</v>
      </c>
      <c r="F736" s="512">
        <v>413</v>
      </c>
    </row>
    <row r="737" spans="2:6">
      <c r="B737" s="510" t="s">
        <v>1924</v>
      </c>
      <c r="C737" s="510" t="s">
        <v>2167</v>
      </c>
      <c r="D737" s="511">
        <v>264</v>
      </c>
      <c r="E737" s="511">
        <v>0</v>
      </c>
      <c r="F737" s="511">
        <v>264</v>
      </c>
    </row>
    <row r="738" spans="2:6">
      <c r="B738" s="269" t="s">
        <v>1940</v>
      </c>
      <c r="C738" s="269" t="s">
        <v>2165</v>
      </c>
      <c r="D738" s="512">
        <v>3275</v>
      </c>
      <c r="E738" s="512">
        <v>0</v>
      </c>
      <c r="F738" s="512">
        <v>3275</v>
      </c>
    </row>
    <row r="739" spans="2:6">
      <c r="B739" s="510" t="s">
        <v>2041</v>
      </c>
      <c r="C739" s="510" t="s">
        <v>2137</v>
      </c>
      <c r="D739" s="511">
        <v>3248</v>
      </c>
      <c r="E739" s="511">
        <v>0</v>
      </c>
      <c r="F739" s="511">
        <v>3248</v>
      </c>
    </row>
    <row r="740" spans="2:6">
      <c r="B740" s="269" t="s">
        <v>1909</v>
      </c>
      <c r="C740" s="269" t="s">
        <v>2168</v>
      </c>
      <c r="D740" s="512">
        <v>1608</v>
      </c>
      <c r="E740" s="512">
        <v>0</v>
      </c>
      <c r="F740" s="512">
        <v>1608</v>
      </c>
    </row>
    <row r="741" spans="2:6">
      <c r="B741" s="510" t="s">
        <v>1909</v>
      </c>
      <c r="C741" s="510" t="s">
        <v>2165</v>
      </c>
      <c r="D741" s="511">
        <v>1608</v>
      </c>
      <c r="E741" s="511">
        <v>0</v>
      </c>
      <c r="F741" s="511">
        <v>1608</v>
      </c>
    </row>
    <row r="742" spans="2:6">
      <c r="B742" s="269" t="s">
        <v>376</v>
      </c>
      <c r="C742" s="269" t="s">
        <v>3825</v>
      </c>
      <c r="D742" s="512">
        <v>3050</v>
      </c>
      <c r="E742" s="512">
        <v>0</v>
      </c>
      <c r="F742" s="512">
        <v>3050</v>
      </c>
    </row>
    <row r="743" spans="2:6">
      <c r="B743" s="510" t="s">
        <v>376</v>
      </c>
      <c r="C743" s="510" t="s">
        <v>2165</v>
      </c>
      <c r="D743" s="511">
        <v>4</v>
      </c>
      <c r="E743" s="511">
        <v>0</v>
      </c>
      <c r="F743" s="511">
        <v>4</v>
      </c>
    </row>
    <row r="744" spans="2:6">
      <c r="B744" s="269" t="s">
        <v>3946</v>
      </c>
      <c r="C744" s="269" t="s">
        <v>3825</v>
      </c>
      <c r="D744" s="512">
        <v>3050</v>
      </c>
      <c r="E744" s="512">
        <v>0</v>
      </c>
      <c r="F744" s="512">
        <v>3050</v>
      </c>
    </row>
    <row r="745" spans="2:6">
      <c r="B745" s="510" t="s">
        <v>2042</v>
      </c>
      <c r="C745" s="510" t="s">
        <v>2165</v>
      </c>
      <c r="D745" s="511">
        <v>2894</v>
      </c>
      <c r="E745" s="511">
        <v>0</v>
      </c>
      <c r="F745" s="511">
        <v>2894</v>
      </c>
    </row>
    <row r="746" spans="2:6">
      <c r="B746" s="269" t="s">
        <v>2042</v>
      </c>
      <c r="C746" s="269" t="s">
        <v>2185</v>
      </c>
      <c r="D746" s="512">
        <v>139</v>
      </c>
      <c r="E746" s="512">
        <v>0</v>
      </c>
      <c r="F746" s="512">
        <v>139</v>
      </c>
    </row>
    <row r="747" spans="2:6">
      <c r="B747" s="510" t="s">
        <v>3947</v>
      </c>
      <c r="C747" s="510" t="s">
        <v>3825</v>
      </c>
      <c r="D747" s="511">
        <v>3000</v>
      </c>
      <c r="E747" s="511">
        <v>0</v>
      </c>
      <c r="F747" s="511">
        <v>3000</v>
      </c>
    </row>
    <row r="748" spans="2:6">
      <c r="B748" s="269" t="s">
        <v>216</v>
      </c>
      <c r="C748" s="269" t="s">
        <v>2165</v>
      </c>
      <c r="D748" s="512">
        <v>2961</v>
      </c>
      <c r="E748" s="512">
        <v>0</v>
      </c>
      <c r="F748" s="512">
        <v>2961</v>
      </c>
    </row>
    <row r="749" spans="2:6">
      <c r="B749" s="510" t="s">
        <v>157</v>
      </c>
      <c r="C749" s="510" t="s">
        <v>2168</v>
      </c>
      <c r="D749" s="511">
        <v>1480</v>
      </c>
      <c r="E749" s="511">
        <v>0</v>
      </c>
      <c r="F749" s="511">
        <v>1480</v>
      </c>
    </row>
    <row r="750" spans="2:6">
      <c r="B750" s="269" t="s">
        <v>157</v>
      </c>
      <c r="C750" s="269" t="s">
        <v>2165</v>
      </c>
      <c r="D750" s="512">
        <v>1480</v>
      </c>
      <c r="E750" s="512">
        <v>0</v>
      </c>
      <c r="F750" s="512">
        <v>1480</v>
      </c>
    </row>
    <row r="751" spans="2:6">
      <c r="B751" s="510" t="s">
        <v>2043</v>
      </c>
      <c r="C751" s="510" t="s">
        <v>2165</v>
      </c>
      <c r="D751" s="511">
        <v>2907</v>
      </c>
      <c r="E751" s="511">
        <v>0</v>
      </c>
      <c r="F751" s="511">
        <v>2907</v>
      </c>
    </row>
    <row r="752" spans="2:6">
      <c r="B752" s="269" t="s">
        <v>2045</v>
      </c>
      <c r="C752" s="269" t="s">
        <v>2168</v>
      </c>
      <c r="D752" s="512">
        <v>2894</v>
      </c>
      <c r="E752" s="512">
        <v>0</v>
      </c>
      <c r="F752" s="512">
        <v>2894</v>
      </c>
    </row>
    <row r="753" spans="2:6">
      <c r="B753" s="510" t="s">
        <v>2760</v>
      </c>
      <c r="C753" s="510" t="s">
        <v>2143</v>
      </c>
      <c r="D753" s="511">
        <v>2842</v>
      </c>
      <c r="E753" s="511">
        <v>0</v>
      </c>
      <c r="F753" s="511">
        <v>2842</v>
      </c>
    </row>
    <row r="754" spans="2:6">
      <c r="B754" s="269" t="s">
        <v>2046</v>
      </c>
      <c r="C754" s="269" t="s">
        <v>2137</v>
      </c>
      <c r="D754" s="512">
        <v>2798</v>
      </c>
      <c r="E754" s="512">
        <v>0</v>
      </c>
      <c r="F754" s="512">
        <v>2798</v>
      </c>
    </row>
    <row r="755" spans="2:6">
      <c r="B755" s="510" t="s">
        <v>2047</v>
      </c>
      <c r="C755" s="510" t="s">
        <v>2141</v>
      </c>
      <c r="D755" s="511">
        <v>2767</v>
      </c>
      <c r="E755" s="511">
        <v>0</v>
      </c>
      <c r="F755" s="511">
        <v>2767</v>
      </c>
    </row>
    <row r="756" spans="2:6">
      <c r="B756" s="269" t="s">
        <v>334</v>
      </c>
      <c r="C756" s="269" t="s">
        <v>2165</v>
      </c>
      <c r="D756" s="512">
        <v>2712</v>
      </c>
      <c r="E756" s="512">
        <v>0</v>
      </c>
      <c r="F756" s="512">
        <v>2712</v>
      </c>
    </row>
    <row r="757" spans="2:6">
      <c r="B757" s="510" t="s">
        <v>1897</v>
      </c>
      <c r="C757" s="510" t="s">
        <v>2165</v>
      </c>
      <c r="D757" s="511">
        <v>2704</v>
      </c>
      <c r="E757" s="511">
        <v>0</v>
      </c>
      <c r="F757" s="511">
        <v>2704</v>
      </c>
    </row>
    <row r="758" spans="2:6">
      <c r="B758" s="269" t="s">
        <v>2048</v>
      </c>
      <c r="C758" s="269" t="s">
        <v>2168</v>
      </c>
      <c r="D758" s="512">
        <v>1331</v>
      </c>
      <c r="E758" s="512">
        <v>0</v>
      </c>
      <c r="F758" s="512">
        <v>1331</v>
      </c>
    </row>
    <row r="759" spans="2:6">
      <c r="B759" s="510" t="s">
        <v>2048</v>
      </c>
      <c r="C759" s="510" t="s">
        <v>2165</v>
      </c>
      <c r="D759" s="511">
        <v>1331</v>
      </c>
      <c r="E759" s="511">
        <v>0</v>
      </c>
      <c r="F759" s="511">
        <v>1331</v>
      </c>
    </row>
    <row r="760" spans="2:6">
      <c r="B760" s="269" t="s">
        <v>294</v>
      </c>
      <c r="C760" s="269" t="s">
        <v>2165</v>
      </c>
      <c r="D760" s="512">
        <v>2585</v>
      </c>
      <c r="E760" s="512">
        <v>0</v>
      </c>
      <c r="F760" s="512">
        <v>2585</v>
      </c>
    </row>
    <row r="761" spans="2:6">
      <c r="B761" s="510" t="s">
        <v>221</v>
      </c>
      <c r="C761" s="510" t="s">
        <v>2165</v>
      </c>
      <c r="D761" s="511">
        <v>1218</v>
      </c>
      <c r="E761" s="511">
        <v>0</v>
      </c>
      <c r="F761" s="511">
        <v>1218</v>
      </c>
    </row>
    <row r="762" spans="2:6">
      <c r="B762" s="269" t="s">
        <v>221</v>
      </c>
      <c r="C762" s="269" t="s">
        <v>2168</v>
      </c>
      <c r="D762" s="512">
        <v>1216</v>
      </c>
      <c r="E762" s="512">
        <v>0</v>
      </c>
      <c r="F762" s="512">
        <v>1216</v>
      </c>
    </row>
    <row r="763" spans="2:6">
      <c r="B763" s="510" t="s">
        <v>314</v>
      </c>
      <c r="C763" s="510" t="s">
        <v>2165</v>
      </c>
      <c r="D763" s="511">
        <v>1212</v>
      </c>
      <c r="E763" s="511">
        <v>0</v>
      </c>
      <c r="F763" s="511">
        <v>1212</v>
      </c>
    </row>
    <row r="764" spans="2:6">
      <c r="B764" s="269" t="s">
        <v>314</v>
      </c>
      <c r="C764" s="269" t="s">
        <v>2168</v>
      </c>
      <c r="D764" s="512">
        <v>1209</v>
      </c>
      <c r="E764" s="512">
        <v>0</v>
      </c>
      <c r="F764" s="512">
        <v>1209</v>
      </c>
    </row>
    <row r="765" spans="2:6">
      <c r="B765" s="510" t="s">
        <v>2062</v>
      </c>
      <c r="C765" s="510" t="s">
        <v>2165</v>
      </c>
      <c r="D765" s="511">
        <v>1766</v>
      </c>
      <c r="E765" s="511">
        <v>0</v>
      </c>
      <c r="F765" s="511">
        <v>1766</v>
      </c>
    </row>
    <row r="766" spans="2:6">
      <c r="B766" s="269" t="s">
        <v>2062</v>
      </c>
      <c r="C766" s="269" t="s">
        <v>2168</v>
      </c>
      <c r="D766" s="512">
        <v>619</v>
      </c>
      <c r="E766" s="512">
        <v>0</v>
      </c>
      <c r="F766" s="512">
        <v>619</v>
      </c>
    </row>
    <row r="767" spans="2:6">
      <c r="B767" s="510" t="s">
        <v>286</v>
      </c>
      <c r="C767" s="510" t="s">
        <v>2168</v>
      </c>
      <c r="D767" s="511">
        <v>1148</v>
      </c>
      <c r="E767" s="511">
        <v>0</v>
      </c>
      <c r="F767" s="511">
        <v>1148</v>
      </c>
    </row>
    <row r="768" spans="2:6">
      <c r="B768" s="269" t="s">
        <v>286</v>
      </c>
      <c r="C768" s="269" t="s">
        <v>2165</v>
      </c>
      <c r="D768" s="512">
        <v>1147</v>
      </c>
      <c r="E768" s="512">
        <v>0</v>
      </c>
      <c r="F768" s="512">
        <v>1147</v>
      </c>
    </row>
    <row r="769" spans="2:6">
      <c r="B769" s="510" t="s">
        <v>3948</v>
      </c>
      <c r="C769" s="510" t="s">
        <v>2165</v>
      </c>
      <c r="D769" s="511">
        <v>2220</v>
      </c>
      <c r="E769" s="511">
        <v>0</v>
      </c>
      <c r="F769" s="511">
        <v>2220</v>
      </c>
    </row>
    <row r="770" spans="2:6">
      <c r="B770" s="269" t="s">
        <v>2031</v>
      </c>
      <c r="C770" s="269" t="s">
        <v>2165</v>
      </c>
      <c r="D770" s="512">
        <v>2220</v>
      </c>
      <c r="E770" s="512">
        <v>0</v>
      </c>
      <c r="F770" s="512">
        <v>2220</v>
      </c>
    </row>
    <row r="771" spans="2:6">
      <c r="B771" s="510" t="s">
        <v>2050</v>
      </c>
      <c r="C771" s="510" t="s">
        <v>2137</v>
      </c>
      <c r="D771" s="511">
        <v>2213</v>
      </c>
      <c r="E771" s="511">
        <v>0</v>
      </c>
      <c r="F771" s="511">
        <v>2213</v>
      </c>
    </row>
    <row r="772" spans="2:6">
      <c r="B772" s="269" t="s">
        <v>2051</v>
      </c>
      <c r="C772" s="269" t="s">
        <v>3825</v>
      </c>
      <c r="D772" s="512">
        <v>1500</v>
      </c>
      <c r="E772" s="512">
        <v>0</v>
      </c>
      <c r="F772" s="512">
        <v>1500</v>
      </c>
    </row>
    <row r="773" spans="2:6">
      <c r="B773" s="510" t="s">
        <v>2051</v>
      </c>
      <c r="C773" s="510" t="s">
        <v>2165</v>
      </c>
      <c r="D773" s="511">
        <v>346</v>
      </c>
      <c r="E773" s="511">
        <v>0</v>
      </c>
      <c r="F773" s="511">
        <v>346</v>
      </c>
    </row>
    <row r="774" spans="2:6">
      <c r="B774" s="269" t="s">
        <v>2051</v>
      </c>
      <c r="C774" s="269" t="s">
        <v>2168</v>
      </c>
      <c r="D774" s="512">
        <v>346</v>
      </c>
      <c r="E774" s="512">
        <v>0</v>
      </c>
      <c r="F774" s="512">
        <v>346</v>
      </c>
    </row>
    <row r="775" spans="2:6">
      <c r="B775" s="510" t="s">
        <v>3949</v>
      </c>
      <c r="C775" s="510" t="s">
        <v>3825</v>
      </c>
      <c r="D775" s="511">
        <v>2050</v>
      </c>
      <c r="E775" s="511">
        <v>0</v>
      </c>
      <c r="F775" s="511">
        <v>2050</v>
      </c>
    </row>
    <row r="776" spans="2:6">
      <c r="B776" s="269" t="s">
        <v>3950</v>
      </c>
      <c r="C776" s="269" t="s">
        <v>3825</v>
      </c>
      <c r="D776" s="512">
        <v>2050</v>
      </c>
      <c r="E776" s="512">
        <v>0</v>
      </c>
      <c r="F776" s="512">
        <v>2050</v>
      </c>
    </row>
    <row r="777" spans="2:6">
      <c r="B777" s="510" t="s">
        <v>217</v>
      </c>
      <c r="C777" s="510" t="s">
        <v>2168</v>
      </c>
      <c r="D777" s="511">
        <v>1006</v>
      </c>
      <c r="E777" s="511">
        <v>0</v>
      </c>
      <c r="F777" s="511">
        <v>1006</v>
      </c>
    </row>
    <row r="778" spans="2:6">
      <c r="B778" s="269" t="s">
        <v>217</v>
      </c>
      <c r="C778" s="269" t="s">
        <v>2165</v>
      </c>
      <c r="D778" s="512">
        <v>1006</v>
      </c>
      <c r="E778" s="512">
        <v>0</v>
      </c>
      <c r="F778" s="512">
        <v>1006</v>
      </c>
    </row>
    <row r="779" spans="2:6">
      <c r="B779" s="510" t="s">
        <v>190</v>
      </c>
      <c r="C779" s="510" t="s">
        <v>2165</v>
      </c>
      <c r="D779" s="511">
        <v>2005</v>
      </c>
      <c r="E779" s="511">
        <v>0</v>
      </c>
      <c r="F779" s="511">
        <v>2005</v>
      </c>
    </row>
    <row r="780" spans="2:6">
      <c r="B780" s="269" t="s">
        <v>3951</v>
      </c>
      <c r="C780" s="269" t="s">
        <v>3825</v>
      </c>
      <c r="D780" s="512">
        <v>2000</v>
      </c>
      <c r="E780" s="512">
        <v>0</v>
      </c>
      <c r="F780" s="512">
        <v>2000</v>
      </c>
    </row>
    <row r="781" spans="2:6">
      <c r="B781" s="510" t="s">
        <v>3952</v>
      </c>
      <c r="C781" s="510" t="s">
        <v>3825</v>
      </c>
      <c r="D781" s="511">
        <v>2000</v>
      </c>
      <c r="E781" s="511">
        <v>0</v>
      </c>
      <c r="F781" s="511">
        <v>2000</v>
      </c>
    </row>
    <row r="782" spans="2:6">
      <c r="B782" s="269" t="s">
        <v>3954</v>
      </c>
      <c r="C782" s="269" t="s">
        <v>3825</v>
      </c>
      <c r="D782" s="512">
        <v>2000</v>
      </c>
      <c r="E782" s="512">
        <v>0</v>
      </c>
      <c r="F782" s="512">
        <v>2000</v>
      </c>
    </row>
    <row r="783" spans="2:6">
      <c r="B783" s="510" t="s">
        <v>3953</v>
      </c>
      <c r="C783" s="510" t="s">
        <v>3825</v>
      </c>
      <c r="D783" s="511">
        <v>2000</v>
      </c>
      <c r="E783" s="511">
        <v>0</v>
      </c>
      <c r="F783" s="511">
        <v>2000</v>
      </c>
    </row>
    <row r="784" spans="2:6">
      <c r="B784" s="269" t="s">
        <v>3955</v>
      </c>
      <c r="C784" s="269" t="s">
        <v>3827</v>
      </c>
      <c r="D784" s="512">
        <v>1596</v>
      </c>
      <c r="E784" s="512">
        <v>0</v>
      </c>
      <c r="F784" s="512">
        <v>1596</v>
      </c>
    </row>
    <row r="785" spans="2:6">
      <c r="B785" s="510" t="s">
        <v>3955</v>
      </c>
      <c r="C785" s="510" t="s">
        <v>2167</v>
      </c>
      <c r="D785" s="511">
        <v>350</v>
      </c>
      <c r="E785" s="511">
        <v>0</v>
      </c>
      <c r="F785" s="511">
        <v>350</v>
      </c>
    </row>
    <row r="786" spans="2:6">
      <c r="B786" s="269" t="s">
        <v>3955</v>
      </c>
      <c r="C786" s="269" t="s">
        <v>2169</v>
      </c>
      <c r="D786" s="512">
        <v>50</v>
      </c>
      <c r="E786" s="512">
        <v>0</v>
      </c>
      <c r="F786" s="512">
        <v>50</v>
      </c>
    </row>
    <row r="787" spans="2:6">
      <c r="B787" s="510" t="s">
        <v>276</v>
      </c>
      <c r="C787" s="510" t="s">
        <v>2168</v>
      </c>
      <c r="D787" s="511">
        <v>987</v>
      </c>
      <c r="E787" s="511">
        <v>0</v>
      </c>
      <c r="F787" s="511">
        <v>987</v>
      </c>
    </row>
    <row r="788" spans="2:6">
      <c r="B788" s="269" t="s">
        <v>276</v>
      </c>
      <c r="C788" s="269" t="s">
        <v>2165</v>
      </c>
      <c r="D788" s="512">
        <v>987</v>
      </c>
      <c r="E788" s="512">
        <v>0</v>
      </c>
      <c r="F788" s="512">
        <v>987</v>
      </c>
    </row>
    <row r="789" spans="2:6">
      <c r="B789" s="510" t="s">
        <v>2077</v>
      </c>
      <c r="C789" s="510" t="s">
        <v>2178</v>
      </c>
      <c r="D789" s="511">
        <v>1332</v>
      </c>
      <c r="E789" s="511">
        <v>0</v>
      </c>
      <c r="F789" s="511">
        <v>1332</v>
      </c>
    </row>
    <row r="790" spans="2:6">
      <c r="B790" s="269" t="s">
        <v>2077</v>
      </c>
      <c r="C790" s="269" t="s">
        <v>2165</v>
      </c>
      <c r="D790" s="512">
        <v>302</v>
      </c>
      <c r="E790" s="512">
        <v>0</v>
      </c>
      <c r="F790" s="512">
        <v>302</v>
      </c>
    </row>
    <row r="791" spans="2:6">
      <c r="B791" s="510" t="s">
        <v>2077</v>
      </c>
      <c r="C791" s="510" t="s">
        <v>2168</v>
      </c>
      <c r="D791" s="511">
        <v>302</v>
      </c>
      <c r="E791" s="511">
        <v>0</v>
      </c>
      <c r="F791" s="511">
        <v>302</v>
      </c>
    </row>
    <row r="792" spans="2:6">
      <c r="B792" s="269" t="s">
        <v>285</v>
      </c>
      <c r="C792" s="269" t="s">
        <v>2165</v>
      </c>
      <c r="D792" s="512">
        <v>1932</v>
      </c>
      <c r="E792" s="512">
        <v>0</v>
      </c>
      <c r="F792" s="512">
        <v>1932</v>
      </c>
    </row>
    <row r="793" spans="2:6">
      <c r="B793" s="510" t="s">
        <v>2052</v>
      </c>
      <c r="C793" s="510" t="s">
        <v>2137</v>
      </c>
      <c r="D793" s="511">
        <v>1921</v>
      </c>
      <c r="E793" s="511">
        <v>0</v>
      </c>
      <c r="F793" s="511">
        <v>1921</v>
      </c>
    </row>
    <row r="794" spans="2:6">
      <c r="B794" s="269" t="s">
        <v>446</v>
      </c>
      <c r="C794" s="269" t="s">
        <v>2165</v>
      </c>
      <c r="D794" s="512">
        <v>1904</v>
      </c>
      <c r="E794" s="512">
        <v>0</v>
      </c>
      <c r="F794" s="512">
        <v>1904</v>
      </c>
    </row>
    <row r="795" spans="2:6">
      <c r="B795" s="510" t="s">
        <v>2053</v>
      </c>
      <c r="C795" s="510" t="s">
        <v>2144</v>
      </c>
      <c r="D795" s="511">
        <v>933</v>
      </c>
      <c r="E795" s="511">
        <v>0</v>
      </c>
      <c r="F795" s="511">
        <v>933</v>
      </c>
    </row>
    <row r="796" spans="2:6">
      <c r="B796" s="269" t="s">
        <v>2053</v>
      </c>
      <c r="C796" s="269" t="s">
        <v>2142</v>
      </c>
      <c r="D796" s="512">
        <v>878</v>
      </c>
      <c r="E796" s="512">
        <v>0</v>
      </c>
      <c r="F796" s="512">
        <v>878</v>
      </c>
    </row>
    <row r="797" spans="2:6">
      <c r="B797" s="510" t="s">
        <v>2053</v>
      </c>
      <c r="C797" s="510" t="s">
        <v>2136</v>
      </c>
      <c r="D797" s="511">
        <v>90</v>
      </c>
      <c r="E797" s="511">
        <v>0</v>
      </c>
      <c r="F797" s="511">
        <v>90</v>
      </c>
    </row>
    <row r="798" spans="2:6">
      <c r="B798" s="269" t="s">
        <v>383</v>
      </c>
      <c r="C798" s="269" t="s">
        <v>3825</v>
      </c>
      <c r="D798" s="512">
        <v>1750</v>
      </c>
      <c r="E798" s="512">
        <v>0</v>
      </c>
      <c r="F798" s="512">
        <v>1750</v>
      </c>
    </row>
    <row r="799" spans="2:6">
      <c r="B799" s="510" t="s">
        <v>383</v>
      </c>
      <c r="C799" s="510" t="s">
        <v>2165</v>
      </c>
      <c r="D799" s="511">
        <v>73</v>
      </c>
      <c r="E799" s="511">
        <v>0</v>
      </c>
      <c r="F799" s="511">
        <v>73</v>
      </c>
    </row>
    <row r="800" spans="2:6">
      <c r="B800" s="269" t="s">
        <v>2054</v>
      </c>
      <c r="C800" s="269" t="s">
        <v>2137</v>
      </c>
      <c r="D800" s="512">
        <v>1802</v>
      </c>
      <c r="E800" s="512">
        <v>0</v>
      </c>
      <c r="F800" s="512">
        <v>1802</v>
      </c>
    </row>
    <row r="801" spans="2:6">
      <c r="B801" s="510" t="s">
        <v>405</v>
      </c>
      <c r="C801" s="510" t="s">
        <v>3825</v>
      </c>
      <c r="D801" s="511">
        <v>1500</v>
      </c>
      <c r="E801" s="511">
        <v>0</v>
      </c>
      <c r="F801" s="511">
        <v>1500</v>
      </c>
    </row>
    <row r="802" spans="2:6">
      <c r="B802" s="269" t="s">
        <v>405</v>
      </c>
      <c r="C802" s="269" t="s">
        <v>2165</v>
      </c>
      <c r="D802" s="512">
        <v>117</v>
      </c>
      <c r="E802" s="512">
        <v>0</v>
      </c>
      <c r="F802" s="512">
        <v>117</v>
      </c>
    </row>
    <row r="803" spans="2:6">
      <c r="B803" s="510" t="s">
        <v>405</v>
      </c>
      <c r="C803" s="510" t="s">
        <v>2168</v>
      </c>
      <c r="D803" s="511">
        <v>117</v>
      </c>
      <c r="E803" s="511">
        <v>0</v>
      </c>
      <c r="F803" s="511">
        <v>117</v>
      </c>
    </row>
    <row r="804" spans="2:6">
      <c r="B804" s="269" t="s">
        <v>2055</v>
      </c>
      <c r="C804" s="269" t="s">
        <v>2137</v>
      </c>
      <c r="D804" s="512">
        <v>1687</v>
      </c>
      <c r="E804" s="512">
        <v>0</v>
      </c>
      <c r="F804" s="512">
        <v>1687</v>
      </c>
    </row>
    <row r="805" spans="2:6">
      <c r="B805" s="510" t="s">
        <v>3956</v>
      </c>
      <c r="C805" s="510" t="s">
        <v>3825</v>
      </c>
      <c r="D805" s="511">
        <v>1500</v>
      </c>
      <c r="E805" s="511">
        <v>0</v>
      </c>
      <c r="F805" s="511">
        <v>1500</v>
      </c>
    </row>
    <row r="806" spans="2:6">
      <c r="B806" s="269" t="s">
        <v>3956</v>
      </c>
      <c r="C806" s="269" t="s">
        <v>2165</v>
      </c>
      <c r="D806" s="512">
        <v>148</v>
      </c>
      <c r="E806" s="512">
        <v>0</v>
      </c>
      <c r="F806" s="512">
        <v>148</v>
      </c>
    </row>
    <row r="807" spans="2:6">
      <c r="B807" s="510" t="s">
        <v>3957</v>
      </c>
      <c r="C807" s="510" t="s">
        <v>3827</v>
      </c>
      <c r="D807" s="511">
        <v>1203</v>
      </c>
      <c r="E807" s="511">
        <v>0</v>
      </c>
      <c r="F807" s="511">
        <v>1203</v>
      </c>
    </row>
    <row r="808" spans="2:6">
      <c r="B808" s="269" t="s">
        <v>3957</v>
      </c>
      <c r="C808" s="269" t="s">
        <v>2167</v>
      </c>
      <c r="D808" s="512">
        <v>300</v>
      </c>
      <c r="E808" s="512">
        <v>0</v>
      </c>
      <c r="F808" s="512">
        <v>300</v>
      </c>
    </row>
    <row r="809" spans="2:6">
      <c r="B809" s="510" t="s">
        <v>3957</v>
      </c>
      <c r="C809" s="510" t="s">
        <v>2169</v>
      </c>
      <c r="D809" s="511">
        <v>50</v>
      </c>
      <c r="E809" s="511">
        <v>0</v>
      </c>
      <c r="F809" s="511">
        <v>50</v>
      </c>
    </row>
    <row r="810" spans="2:6">
      <c r="B810" s="269" t="s">
        <v>3958</v>
      </c>
      <c r="C810" s="269" t="s">
        <v>2165</v>
      </c>
      <c r="D810" s="512">
        <v>1530</v>
      </c>
      <c r="E810" s="512">
        <v>0</v>
      </c>
      <c r="F810" s="512">
        <v>1530</v>
      </c>
    </row>
    <row r="811" spans="2:6">
      <c r="B811" s="510" t="s">
        <v>310</v>
      </c>
      <c r="C811" s="510" t="s">
        <v>2165</v>
      </c>
      <c r="D811" s="511">
        <v>1524</v>
      </c>
      <c r="E811" s="511">
        <v>0</v>
      </c>
      <c r="F811" s="511">
        <v>1524</v>
      </c>
    </row>
    <row r="812" spans="2:6">
      <c r="B812" s="269" t="s">
        <v>2057</v>
      </c>
      <c r="C812" s="269" t="s">
        <v>2136</v>
      </c>
      <c r="D812" s="512">
        <v>1507</v>
      </c>
      <c r="E812" s="512">
        <v>0</v>
      </c>
      <c r="F812" s="512">
        <v>1507</v>
      </c>
    </row>
    <row r="813" spans="2:6">
      <c r="B813" s="510" t="s">
        <v>3959</v>
      </c>
      <c r="C813" s="510" t="s">
        <v>3825</v>
      </c>
      <c r="D813" s="511">
        <v>1500</v>
      </c>
      <c r="E813" s="511">
        <v>0</v>
      </c>
      <c r="F813" s="511">
        <v>1500</v>
      </c>
    </row>
    <row r="814" spans="2:6">
      <c r="B814" s="269" t="s">
        <v>3960</v>
      </c>
      <c r="C814" s="269" t="s">
        <v>3825</v>
      </c>
      <c r="D814" s="512">
        <v>1500</v>
      </c>
      <c r="E814" s="512">
        <v>0</v>
      </c>
      <c r="F814" s="512">
        <v>1500</v>
      </c>
    </row>
    <row r="815" spans="2:6">
      <c r="B815" s="510" t="s">
        <v>3961</v>
      </c>
      <c r="C815" s="510" t="s">
        <v>3825</v>
      </c>
      <c r="D815" s="511">
        <v>1500</v>
      </c>
      <c r="E815" s="511">
        <v>0</v>
      </c>
      <c r="F815" s="511">
        <v>1500</v>
      </c>
    </row>
    <row r="816" spans="2:6">
      <c r="B816" s="269" t="s">
        <v>3962</v>
      </c>
      <c r="C816" s="269" t="s">
        <v>3825</v>
      </c>
      <c r="D816" s="512">
        <v>1500</v>
      </c>
      <c r="E816" s="512">
        <v>0</v>
      </c>
      <c r="F816" s="512">
        <v>1500</v>
      </c>
    </row>
    <row r="817" spans="2:6">
      <c r="B817" s="510" t="s">
        <v>3963</v>
      </c>
      <c r="C817" s="510" t="s">
        <v>2154</v>
      </c>
      <c r="D817" s="511">
        <v>1498</v>
      </c>
      <c r="E817" s="511">
        <v>0</v>
      </c>
      <c r="F817" s="511">
        <v>1498</v>
      </c>
    </row>
    <row r="818" spans="2:6">
      <c r="B818" s="269" t="s">
        <v>3246</v>
      </c>
      <c r="C818" s="269" t="s">
        <v>2154</v>
      </c>
      <c r="D818" s="512">
        <v>1457</v>
      </c>
      <c r="E818" s="512">
        <v>0</v>
      </c>
      <c r="F818" s="512">
        <v>1457</v>
      </c>
    </row>
    <row r="819" spans="2:6">
      <c r="B819" s="510" t="s">
        <v>521</v>
      </c>
      <c r="C819" s="510" t="s">
        <v>2165</v>
      </c>
      <c r="D819" s="511">
        <v>1446</v>
      </c>
      <c r="E819" s="511">
        <v>0</v>
      </c>
      <c r="F819" s="511">
        <v>1446</v>
      </c>
    </row>
    <row r="820" spans="2:6">
      <c r="B820" s="269" t="s">
        <v>2074</v>
      </c>
      <c r="C820" s="269" t="s">
        <v>2168</v>
      </c>
      <c r="D820" s="512">
        <v>716</v>
      </c>
      <c r="E820" s="512">
        <v>0</v>
      </c>
      <c r="F820" s="512">
        <v>716</v>
      </c>
    </row>
    <row r="821" spans="2:6">
      <c r="B821" s="510" t="s">
        <v>2074</v>
      </c>
      <c r="C821" s="510" t="s">
        <v>2165</v>
      </c>
      <c r="D821" s="511">
        <v>716</v>
      </c>
      <c r="E821" s="511">
        <v>0</v>
      </c>
      <c r="F821" s="511">
        <v>716</v>
      </c>
    </row>
    <row r="822" spans="2:6">
      <c r="B822" s="269" t="s">
        <v>529</v>
      </c>
      <c r="C822" s="269" t="s">
        <v>2165</v>
      </c>
      <c r="D822" s="512">
        <v>1423</v>
      </c>
      <c r="E822" s="512">
        <v>0</v>
      </c>
      <c r="F822" s="512">
        <v>1423</v>
      </c>
    </row>
    <row r="823" spans="2:6">
      <c r="B823" s="510" t="s">
        <v>2044</v>
      </c>
      <c r="C823" s="510" t="s">
        <v>2168</v>
      </c>
      <c r="D823" s="511">
        <v>703</v>
      </c>
      <c r="E823" s="511">
        <v>0</v>
      </c>
      <c r="F823" s="511">
        <v>703</v>
      </c>
    </row>
    <row r="824" spans="2:6">
      <c r="B824" s="269" t="s">
        <v>2044</v>
      </c>
      <c r="C824" s="269" t="s">
        <v>2165</v>
      </c>
      <c r="D824" s="512">
        <v>703</v>
      </c>
      <c r="E824" s="512">
        <v>0</v>
      </c>
      <c r="F824" s="512">
        <v>703</v>
      </c>
    </row>
    <row r="825" spans="2:6">
      <c r="B825" s="510" t="s">
        <v>138</v>
      </c>
      <c r="C825" s="510" t="s">
        <v>2165</v>
      </c>
      <c r="D825" s="511">
        <v>1111</v>
      </c>
      <c r="E825" s="511">
        <v>0</v>
      </c>
      <c r="F825" s="511">
        <v>1111</v>
      </c>
    </row>
    <row r="826" spans="2:6">
      <c r="B826" s="269" t="s">
        <v>138</v>
      </c>
      <c r="C826" s="269" t="s">
        <v>2178</v>
      </c>
      <c r="D826" s="512">
        <v>252</v>
      </c>
      <c r="E826" s="512">
        <v>0</v>
      </c>
      <c r="F826" s="512">
        <v>252</v>
      </c>
    </row>
    <row r="827" spans="2:6">
      <c r="B827" s="510" t="s">
        <v>2060</v>
      </c>
      <c r="C827" s="510" t="s">
        <v>2168</v>
      </c>
      <c r="D827" s="511">
        <v>1283</v>
      </c>
      <c r="E827" s="511">
        <v>0</v>
      </c>
      <c r="F827" s="511">
        <v>1283</v>
      </c>
    </row>
    <row r="828" spans="2:6">
      <c r="B828" s="269" t="s">
        <v>165</v>
      </c>
      <c r="C828" s="269" t="s">
        <v>2165</v>
      </c>
      <c r="D828" s="512">
        <v>1275</v>
      </c>
      <c r="E828" s="512">
        <v>0</v>
      </c>
      <c r="F828" s="512">
        <v>1275</v>
      </c>
    </row>
    <row r="829" spans="2:6">
      <c r="B829" s="510" t="s">
        <v>2061</v>
      </c>
      <c r="C829" s="510" t="s">
        <v>2136</v>
      </c>
      <c r="D829" s="511">
        <v>1240</v>
      </c>
      <c r="E829" s="511">
        <v>0</v>
      </c>
      <c r="F829" s="511">
        <v>1240</v>
      </c>
    </row>
    <row r="830" spans="2:6">
      <c r="B830" s="269" t="s">
        <v>503</v>
      </c>
      <c r="C830" s="269" t="s">
        <v>2168</v>
      </c>
      <c r="D830" s="512">
        <v>592</v>
      </c>
      <c r="E830" s="512">
        <v>0</v>
      </c>
      <c r="F830" s="512">
        <v>592</v>
      </c>
    </row>
    <row r="831" spans="2:6">
      <c r="B831" s="510" t="s">
        <v>503</v>
      </c>
      <c r="C831" s="510" t="s">
        <v>2165</v>
      </c>
      <c r="D831" s="511">
        <v>592</v>
      </c>
      <c r="E831" s="511">
        <v>0</v>
      </c>
      <c r="F831" s="511">
        <v>592</v>
      </c>
    </row>
    <row r="832" spans="2:6">
      <c r="B832" s="269" t="s">
        <v>464</v>
      </c>
      <c r="C832" s="269" t="s">
        <v>2168</v>
      </c>
      <c r="D832" s="512">
        <v>562</v>
      </c>
      <c r="E832" s="512">
        <v>0</v>
      </c>
      <c r="F832" s="512">
        <v>562</v>
      </c>
    </row>
    <row r="833" spans="2:6">
      <c r="B833" s="510" t="s">
        <v>464</v>
      </c>
      <c r="C833" s="510" t="s">
        <v>2165</v>
      </c>
      <c r="D833" s="511">
        <v>562</v>
      </c>
      <c r="E833" s="511">
        <v>0</v>
      </c>
      <c r="F833" s="511">
        <v>562</v>
      </c>
    </row>
    <row r="834" spans="2:6">
      <c r="B834" s="269" t="s">
        <v>233</v>
      </c>
      <c r="C834" s="269" t="s">
        <v>2165</v>
      </c>
      <c r="D834" s="512">
        <v>1119</v>
      </c>
      <c r="E834" s="512">
        <v>0</v>
      </c>
      <c r="F834" s="512">
        <v>1119</v>
      </c>
    </row>
    <row r="835" spans="2:6">
      <c r="B835" s="510" t="s">
        <v>2063</v>
      </c>
      <c r="C835" s="510" t="s">
        <v>2141</v>
      </c>
      <c r="D835" s="511">
        <v>598</v>
      </c>
      <c r="E835" s="511">
        <v>0</v>
      </c>
      <c r="F835" s="511">
        <v>598</v>
      </c>
    </row>
    <row r="836" spans="2:6">
      <c r="B836" s="269" t="s">
        <v>2063</v>
      </c>
      <c r="C836" s="269" t="s">
        <v>2167</v>
      </c>
      <c r="D836" s="512">
        <v>264</v>
      </c>
      <c r="E836" s="512">
        <v>0</v>
      </c>
      <c r="F836" s="512">
        <v>264</v>
      </c>
    </row>
    <row r="837" spans="2:6">
      <c r="B837" s="510" t="s">
        <v>2063</v>
      </c>
      <c r="C837" s="510" t="s">
        <v>2157</v>
      </c>
      <c r="D837" s="511">
        <v>191</v>
      </c>
      <c r="E837" s="511">
        <v>0</v>
      </c>
      <c r="F837" s="511">
        <v>191</v>
      </c>
    </row>
    <row r="838" spans="2:6">
      <c r="B838" s="269" t="s">
        <v>2063</v>
      </c>
      <c r="C838" s="269" t="s">
        <v>2180</v>
      </c>
      <c r="D838" s="512">
        <v>38</v>
      </c>
      <c r="E838" s="512">
        <v>0</v>
      </c>
      <c r="F838" s="512">
        <v>38</v>
      </c>
    </row>
    <row r="839" spans="2:6">
      <c r="B839" s="510" t="s">
        <v>2063</v>
      </c>
      <c r="C839" s="510" t="s">
        <v>2165</v>
      </c>
      <c r="D839" s="511">
        <v>11</v>
      </c>
      <c r="E839" s="511">
        <v>0</v>
      </c>
      <c r="F839" s="511">
        <v>11</v>
      </c>
    </row>
    <row r="840" spans="2:6">
      <c r="B840" s="269" t="s">
        <v>2063</v>
      </c>
      <c r="C840" s="269" t="s">
        <v>2168</v>
      </c>
      <c r="D840" s="512">
        <v>11</v>
      </c>
      <c r="E840" s="512">
        <v>0</v>
      </c>
      <c r="F840" s="512">
        <v>11</v>
      </c>
    </row>
    <row r="841" spans="2:6">
      <c r="B841" s="510" t="s">
        <v>313</v>
      </c>
      <c r="C841" s="510" t="s">
        <v>2168</v>
      </c>
      <c r="D841" s="511">
        <v>552</v>
      </c>
      <c r="E841" s="511">
        <v>0</v>
      </c>
      <c r="F841" s="511">
        <v>552</v>
      </c>
    </row>
    <row r="842" spans="2:6">
      <c r="B842" s="269" t="s">
        <v>313</v>
      </c>
      <c r="C842" s="269" t="s">
        <v>2165</v>
      </c>
      <c r="D842" s="512">
        <v>552</v>
      </c>
      <c r="E842" s="512">
        <v>0</v>
      </c>
      <c r="F842" s="512">
        <v>552</v>
      </c>
    </row>
    <row r="843" spans="2:6">
      <c r="B843" s="510" t="s">
        <v>2064</v>
      </c>
      <c r="C843" s="510" t="s">
        <v>2168</v>
      </c>
      <c r="D843" s="511">
        <v>551</v>
      </c>
      <c r="E843" s="511">
        <v>0</v>
      </c>
      <c r="F843" s="511">
        <v>551</v>
      </c>
    </row>
    <row r="844" spans="2:6">
      <c r="B844" s="269" t="s">
        <v>2064</v>
      </c>
      <c r="C844" s="269" t="s">
        <v>2165</v>
      </c>
      <c r="D844" s="512">
        <v>551</v>
      </c>
      <c r="E844" s="512">
        <v>0</v>
      </c>
      <c r="F844" s="512">
        <v>551</v>
      </c>
    </row>
    <row r="845" spans="2:6">
      <c r="B845" s="510" t="s">
        <v>304</v>
      </c>
      <c r="C845" s="510" t="s">
        <v>2165</v>
      </c>
      <c r="D845" s="511">
        <v>1083</v>
      </c>
      <c r="E845" s="511">
        <v>0</v>
      </c>
      <c r="F845" s="511">
        <v>1083</v>
      </c>
    </row>
    <row r="846" spans="2:6">
      <c r="B846" s="269" t="s">
        <v>305</v>
      </c>
      <c r="C846" s="269" t="s">
        <v>3825</v>
      </c>
      <c r="D846" s="512">
        <v>500</v>
      </c>
      <c r="E846" s="512">
        <v>0</v>
      </c>
      <c r="F846" s="512">
        <v>500</v>
      </c>
    </row>
    <row r="847" spans="2:6">
      <c r="B847" s="510" t="s">
        <v>305</v>
      </c>
      <c r="C847" s="510" t="s">
        <v>2165</v>
      </c>
      <c r="D847" s="511">
        <v>276</v>
      </c>
      <c r="E847" s="511">
        <v>0</v>
      </c>
      <c r="F847" s="511">
        <v>276</v>
      </c>
    </row>
    <row r="848" spans="2:6">
      <c r="B848" s="269" t="s">
        <v>305</v>
      </c>
      <c r="C848" s="269" t="s">
        <v>2168</v>
      </c>
      <c r="D848" s="512">
        <v>276</v>
      </c>
      <c r="E848" s="512">
        <v>0</v>
      </c>
      <c r="F848" s="512">
        <v>276</v>
      </c>
    </row>
    <row r="849" spans="2:6">
      <c r="B849" s="510" t="s">
        <v>3964</v>
      </c>
      <c r="C849" s="510" t="s">
        <v>3825</v>
      </c>
      <c r="D849" s="511">
        <v>1050</v>
      </c>
      <c r="E849" s="511">
        <v>0</v>
      </c>
      <c r="F849" s="511">
        <v>1050</v>
      </c>
    </row>
    <row r="850" spans="2:6">
      <c r="B850" s="269" t="s">
        <v>2065</v>
      </c>
      <c r="C850" s="269" t="s">
        <v>2165</v>
      </c>
      <c r="D850" s="512">
        <v>505</v>
      </c>
      <c r="E850" s="512">
        <v>0</v>
      </c>
      <c r="F850" s="512">
        <v>505</v>
      </c>
    </row>
    <row r="851" spans="2:6">
      <c r="B851" s="510" t="s">
        <v>2065</v>
      </c>
      <c r="C851" s="510" t="s">
        <v>2168</v>
      </c>
      <c r="D851" s="511">
        <v>501</v>
      </c>
      <c r="E851" s="511">
        <v>0</v>
      </c>
      <c r="F851" s="511">
        <v>501</v>
      </c>
    </row>
    <row r="852" spans="2:6">
      <c r="B852" s="269" t="s">
        <v>3965</v>
      </c>
      <c r="C852" s="269" t="s">
        <v>3827</v>
      </c>
      <c r="D852" s="512">
        <v>603</v>
      </c>
      <c r="E852" s="512">
        <v>0</v>
      </c>
      <c r="F852" s="512">
        <v>603</v>
      </c>
    </row>
    <row r="853" spans="2:6">
      <c r="B853" s="510" t="s">
        <v>3965</v>
      </c>
      <c r="C853" s="510" t="s">
        <v>2167</v>
      </c>
      <c r="D853" s="511">
        <v>350</v>
      </c>
      <c r="E853" s="511">
        <v>0</v>
      </c>
      <c r="F853" s="511">
        <v>350</v>
      </c>
    </row>
    <row r="854" spans="2:6">
      <c r="B854" s="269" t="s">
        <v>3965</v>
      </c>
      <c r="C854" s="269" t="s">
        <v>2169</v>
      </c>
      <c r="D854" s="512">
        <v>50</v>
      </c>
      <c r="E854" s="512">
        <v>0</v>
      </c>
      <c r="F854" s="512">
        <v>50</v>
      </c>
    </row>
    <row r="855" spans="2:6">
      <c r="B855" s="510" t="s">
        <v>3966</v>
      </c>
      <c r="C855" s="510" t="s">
        <v>3825</v>
      </c>
      <c r="D855" s="511">
        <v>1000</v>
      </c>
      <c r="E855" s="511">
        <v>0</v>
      </c>
      <c r="F855" s="511">
        <v>1000</v>
      </c>
    </row>
    <row r="856" spans="2:6">
      <c r="B856" s="269" t="s">
        <v>263</v>
      </c>
      <c r="C856" s="269" t="s">
        <v>2168</v>
      </c>
      <c r="D856" s="512">
        <v>467</v>
      </c>
      <c r="E856" s="512">
        <v>0</v>
      </c>
      <c r="F856" s="512">
        <v>467</v>
      </c>
    </row>
    <row r="857" spans="2:6">
      <c r="B857" s="510" t="s">
        <v>263</v>
      </c>
      <c r="C857" s="510" t="s">
        <v>2165</v>
      </c>
      <c r="D857" s="511">
        <v>467</v>
      </c>
      <c r="E857" s="511">
        <v>0</v>
      </c>
      <c r="F857" s="511">
        <v>467</v>
      </c>
    </row>
    <row r="858" spans="2:6">
      <c r="B858" s="269" t="s">
        <v>2066</v>
      </c>
      <c r="C858" s="269" t="s">
        <v>2185</v>
      </c>
      <c r="D858" s="512">
        <v>926</v>
      </c>
      <c r="E858" s="512">
        <v>0</v>
      </c>
      <c r="F858" s="512">
        <v>926</v>
      </c>
    </row>
    <row r="859" spans="2:6">
      <c r="B859" s="510" t="s">
        <v>210</v>
      </c>
      <c r="C859" s="510" t="s">
        <v>2165</v>
      </c>
      <c r="D859" s="511">
        <v>835</v>
      </c>
      <c r="E859" s="511">
        <v>0</v>
      </c>
      <c r="F859" s="511">
        <v>835</v>
      </c>
    </row>
    <row r="860" spans="2:6">
      <c r="B860" s="269" t="s">
        <v>210</v>
      </c>
      <c r="C860" s="269" t="s">
        <v>2168</v>
      </c>
      <c r="D860" s="512">
        <v>85</v>
      </c>
      <c r="E860" s="512">
        <v>0</v>
      </c>
      <c r="F860" s="512">
        <v>85</v>
      </c>
    </row>
    <row r="861" spans="2:6">
      <c r="B861" s="510" t="s">
        <v>2067</v>
      </c>
      <c r="C861" s="510" t="s">
        <v>2168</v>
      </c>
      <c r="D861" s="511">
        <v>458</v>
      </c>
      <c r="E861" s="511">
        <v>0</v>
      </c>
      <c r="F861" s="511">
        <v>458</v>
      </c>
    </row>
    <row r="862" spans="2:6">
      <c r="B862" s="269" t="s">
        <v>2067</v>
      </c>
      <c r="C862" s="269" t="s">
        <v>2165</v>
      </c>
      <c r="D862" s="512">
        <v>458</v>
      </c>
      <c r="E862" s="512">
        <v>0</v>
      </c>
      <c r="F862" s="512">
        <v>458</v>
      </c>
    </row>
    <row r="863" spans="2:6">
      <c r="B863" s="510" t="s">
        <v>3967</v>
      </c>
      <c r="C863" s="510" t="s">
        <v>2167</v>
      </c>
      <c r="D863" s="511">
        <v>500</v>
      </c>
      <c r="E863" s="511">
        <v>0</v>
      </c>
      <c r="F863" s="511">
        <v>500</v>
      </c>
    </row>
    <row r="864" spans="2:6">
      <c r="B864" s="269" t="s">
        <v>3967</v>
      </c>
      <c r="C864" s="269" t="s">
        <v>3827</v>
      </c>
      <c r="D864" s="512">
        <v>312</v>
      </c>
      <c r="E864" s="512">
        <v>0</v>
      </c>
      <c r="F864" s="512">
        <v>312</v>
      </c>
    </row>
    <row r="865" spans="2:6">
      <c r="B865" s="510" t="s">
        <v>3967</v>
      </c>
      <c r="C865" s="510" t="s">
        <v>2169</v>
      </c>
      <c r="D865" s="511">
        <v>100</v>
      </c>
      <c r="E865" s="511">
        <v>0</v>
      </c>
      <c r="F865" s="511">
        <v>100</v>
      </c>
    </row>
    <row r="866" spans="2:6">
      <c r="B866" s="269" t="s">
        <v>3968</v>
      </c>
      <c r="C866" s="269" t="s">
        <v>3827</v>
      </c>
      <c r="D866" s="512">
        <v>485</v>
      </c>
      <c r="E866" s="512">
        <v>0</v>
      </c>
      <c r="F866" s="512">
        <v>485</v>
      </c>
    </row>
    <row r="867" spans="2:6">
      <c r="B867" s="510" t="s">
        <v>3968</v>
      </c>
      <c r="C867" s="510" t="s">
        <v>2167</v>
      </c>
      <c r="D867" s="511">
        <v>300</v>
      </c>
      <c r="E867" s="511">
        <v>0</v>
      </c>
      <c r="F867" s="511">
        <v>300</v>
      </c>
    </row>
    <row r="868" spans="2:6">
      <c r="B868" s="269" t="s">
        <v>3968</v>
      </c>
      <c r="C868" s="269" t="s">
        <v>2169</v>
      </c>
      <c r="D868" s="512">
        <v>100</v>
      </c>
      <c r="E868" s="512">
        <v>0</v>
      </c>
      <c r="F868" s="512">
        <v>100</v>
      </c>
    </row>
    <row r="869" spans="2:6">
      <c r="B869" s="510" t="s">
        <v>3969</v>
      </c>
      <c r="C869" s="510" t="s">
        <v>2167</v>
      </c>
      <c r="D869" s="511">
        <v>880</v>
      </c>
      <c r="E869" s="511">
        <v>0</v>
      </c>
      <c r="F869" s="511">
        <v>880</v>
      </c>
    </row>
    <row r="870" spans="2:6">
      <c r="B870" s="269" t="s">
        <v>343</v>
      </c>
      <c r="C870" s="269" t="s">
        <v>2168</v>
      </c>
      <c r="D870" s="512">
        <v>434</v>
      </c>
      <c r="E870" s="512">
        <v>0</v>
      </c>
      <c r="F870" s="512">
        <v>434</v>
      </c>
    </row>
    <row r="871" spans="2:6">
      <c r="B871" s="510" t="s">
        <v>343</v>
      </c>
      <c r="C871" s="510" t="s">
        <v>2165</v>
      </c>
      <c r="D871" s="511">
        <v>434</v>
      </c>
      <c r="E871" s="511">
        <v>0</v>
      </c>
      <c r="F871" s="511">
        <v>434</v>
      </c>
    </row>
    <row r="872" spans="2:6">
      <c r="B872" s="269" t="s">
        <v>3970</v>
      </c>
      <c r="C872" s="269" t="s">
        <v>2154</v>
      </c>
      <c r="D872" s="512">
        <v>867</v>
      </c>
      <c r="E872" s="512">
        <v>0</v>
      </c>
      <c r="F872" s="512">
        <v>867</v>
      </c>
    </row>
    <row r="873" spans="2:6">
      <c r="B873" s="510" t="s">
        <v>2068</v>
      </c>
      <c r="C873" s="510" t="s">
        <v>2168</v>
      </c>
      <c r="D873" s="511">
        <v>849</v>
      </c>
      <c r="E873" s="511">
        <v>0</v>
      </c>
      <c r="F873" s="511">
        <v>849</v>
      </c>
    </row>
    <row r="874" spans="2:6">
      <c r="B874" s="269" t="s">
        <v>2069</v>
      </c>
      <c r="C874" s="269" t="s">
        <v>2137</v>
      </c>
      <c r="D874" s="512">
        <v>848</v>
      </c>
      <c r="E874" s="512">
        <v>0</v>
      </c>
      <c r="F874" s="512">
        <v>848</v>
      </c>
    </row>
    <row r="875" spans="2:6">
      <c r="B875" s="510" t="s">
        <v>248</v>
      </c>
      <c r="C875" s="510" t="s">
        <v>2168</v>
      </c>
      <c r="D875" s="511">
        <v>414</v>
      </c>
      <c r="E875" s="511">
        <v>0</v>
      </c>
      <c r="F875" s="511">
        <v>414</v>
      </c>
    </row>
    <row r="876" spans="2:6">
      <c r="B876" s="269" t="s">
        <v>248</v>
      </c>
      <c r="C876" s="269" t="s">
        <v>2165</v>
      </c>
      <c r="D876" s="512">
        <v>414</v>
      </c>
      <c r="E876" s="512">
        <v>0</v>
      </c>
      <c r="F876" s="512">
        <v>414</v>
      </c>
    </row>
    <row r="877" spans="2:6">
      <c r="B877" s="510" t="s">
        <v>512</v>
      </c>
      <c r="C877" s="510" t="s">
        <v>2165</v>
      </c>
      <c r="D877" s="511">
        <v>828</v>
      </c>
      <c r="E877" s="511">
        <v>0</v>
      </c>
      <c r="F877" s="511">
        <v>828</v>
      </c>
    </row>
    <row r="878" spans="2:6">
      <c r="B878" s="269" t="s">
        <v>3971</v>
      </c>
      <c r="C878" s="269" t="s">
        <v>2165</v>
      </c>
      <c r="D878" s="512">
        <v>825</v>
      </c>
      <c r="E878" s="512">
        <v>0</v>
      </c>
      <c r="F878" s="512">
        <v>825</v>
      </c>
    </row>
    <row r="879" spans="2:6">
      <c r="B879" s="510" t="s">
        <v>3972</v>
      </c>
      <c r="C879" s="510" t="s">
        <v>2154</v>
      </c>
      <c r="D879" s="511">
        <v>813</v>
      </c>
      <c r="E879" s="511">
        <v>0</v>
      </c>
      <c r="F879" s="511">
        <v>813</v>
      </c>
    </row>
    <row r="880" spans="2:6">
      <c r="B880" s="269" t="s">
        <v>3973</v>
      </c>
      <c r="C880" s="269" t="s">
        <v>2154</v>
      </c>
      <c r="D880" s="512">
        <v>792</v>
      </c>
      <c r="E880" s="512">
        <v>0</v>
      </c>
      <c r="F880" s="512">
        <v>792</v>
      </c>
    </row>
    <row r="881" spans="2:6">
      <c r="B881" s="510" t="s">
        <v>3974</v>
      </c>
      <c r="C881" s="510" t="s">
        <v>2154</v>
      </c>
      <c r="D881" s="511">
        <v>792</v>
      </c>
      <c r="E881" s="511">
        <v>0</v>
      </c>
      <c r="F881" s="511">
        <v>792</v>
      </c>
    </row>
    <row r="882" spans="2:6">
      <c r="B882" s="269" t="s">
        <v>2070</v>
      </c>
      <c r="C882" s="269" t="s">
        <v>2165</v>
      </c>
      <c r="D882" s="512">
        <v>780</v>
      </c>
      <c r="E882" s="512">
        <v>0</v>
      </c>
      <c r="F882" s="512">
        <v>780</v>
      </c>
    </row>
    <row r="883" spans="2:6">
      <c r="B883" s="510" t="s">
        <v>2089</v>
      </c>
      <c r="C883" s="510" t="s">
        <v>2168</v>
      </c>
      <c r="D883" s="511">
        <v>389</v>
      </c>
      <c r="E883" s="511">
        <v>0</v>
      </c>
      <c r="F883" s="511">
        <v>389</v>
      </c>
    </row>
    <row r="884" spans="2:6">
      <c r="B884" s="269" t="s">
        <v>2089</v>
      </c>
      <c r="C884" s="269" t="s">
        <v>2165</v>
      </c>
      <c r="D884" s="512">
        <v>389</v>
      </c>
      <c r="E884" s="512">
        <v>0</v>
      </c>
      <c r="F884" s="512">
        <v>389</v>
      </c>
    </row>
    <row r="885" spans="2:6">
      <c r="B885" s="510" t="s">
        <v>3975</v>
      </c>
      <c r="C885" s="510" t="s">
        <v>2154</v>
      </c>
      <c r="D885" s="511">
        <v>764</v>
      </c>
      <c r="E885" s="511">
        <v>0</v>
      </c>
      <c r="F885" s="511">
        <v>764</v>
      </c>
    </row>
    <row r="886" spans="2:6">
      <c r="B886" s="269" t="s">
        <v>339</v>
      </c>
      <c r="C886" s="269" t="s">
        <v>2165</v>
      </c>
      <c r="D886" s="512">
        <v>759</v>
      </c>
      <c r="E886" s="512">
        <v>0</v>
      </c>
      <c r="F886" s="512">
        <v>759</v>
      </c>
    </row>
    <row r="887" spans="2:6">
      <c r="B887" s="510" t="s">
        <v>505</v>
      </c>
      <c r="C887" s="510" t="s">
        <v>2165</v>
      </c>
      <c r="D887" s="511">
        <v>740</v>
      </c>
      <c r="E887" s="511">
        <v>0</v>
      </c>
      <c r="F887" s="511">
        <v>740</v>
      </c>
    </row>
    <row r="888" spans="2:6">
      <c r="B888" s="269" t="s">
        <v>484</v>
      </c>
      <c r="C888" s="269" t="s">
        <v>2165</v>
      </c>
      <c r="D888" s="512">
        <v>740</v>
      </c>
      <c r="E888" s="512">
        <v>0</v>
      </c>
      <c r="F888" s="512">
        <v>740</v>
      </c>
    </row>
    <row r="889" spans="2:6">
      <c r="B889" s="510" t="s">
        <v>2072</v>
      </c>
      <c r="C889" s="510" t="s">
        <v>2165</v>
      </c>
      <c r="D889" s="511">
        <v>368</v>
      </c>
      <c r="E889" s="511">
        <v>0</v>
      </c>
      <c r="F889" s="511">
        <v>368</v>
      </c>
    </row>
    <row r="890" spans="2:6">
      <c r="B890" s="269" t="s">
        <v>2072</v>
      </c>
      <c r="C890" s="269" t="s">
        <v>2168</v>
      </c>
      <c r="D890" s="512">
        <v>367</v>
      </c>
      <c r="E890" s="512">
        <v>0</v>
      </c>
      <c r="F890" s="512">
        <v>367</v>
      </c>
    </row>
    <row r="891" spans="2:6">
      <c r="B891" s="510" t="s">
        <v>2073</v>
      </c>
      <c r="C891" s="510" t="s">
        <v>2165</v>
      </c>
      <c r="D891" s="511">
        <v>735</v>
      </c>
      <c r="E891" s="511">
        <v>0</v>
      </c>
      <c r="F891" s="511">
        <v>735</v>
      </c>
    </row>
    <row r="892" spans="2:6">
      <c r="B892" s="269" t="s">
        <v>3976</v>
      </c>
      <c r="C892" s="269" t="s">
        <v>2154</v>
      </c>
      <c r="D892" s="512">
        <v>732</v>
      </c>
      <c r="E892" s="512">
        <v>0</v>
      </c>
      <c r="F892" s="512">
        <v>732</v>
      </c>
    </row>
    <row r="893" spans="2:6">
      <c r="B893" s="510" t="s">
        <v>538</v>
      </c>
      <c r="C893" s="510" t="s">
        <v>2168</v>
      </c>
      <c r="D893" s="511">
        <v>357</v>
      </c>
      <c r="E893" s="511">
        <v>0</v>
      </c>
      <c r="F893" s="511">
        <v>357</v>
      </c>
    </row>
    <row r="894" spans="2:6">
      <c r="B894" s="269" t="s">
        <v>538</v>
      </c>
      <c r="C894" s="269" t="s">
        <v>2165</v>
      </c>
      <c r="D894" s="512">
        <v>357</v>
      </c>
      <c r="E894" s="512">
        <v>0</v>
      </c>
      <c r="F894" s="512">
        <v>357</v>
      </c>
    </row>
    <row r="895" spans="2:6">
      <c r="B895" s="510" t="s">
        <v>3977</v>
      </c>
      <c r="C895" s="510" t="s">
        <v>2167</v>
      </c>
      <c r="D895" s="511">
        <v>700</v>
      </c>
      <c r="E895" s="511">
        <v>0</v>
      </c>
      <c r="F895" s="511">
        <v>700</v>
      </c>
    </row>
    <row r="896" spans="2:6">
      <c r="B896" s="269" t="s">
        <v>2091</v>
      </c>
      <c r="C896" s="269" t="s">
        <v>2168</v>
      </c>
      <c r="D896" s="512">
        <v>349</v>
      </c>
      <c r="E896" s="512">
        <v>0</v>
      </c>
      <c r="F896" s="512">
        <v>349</v>
      </c>
    </row>
    <row r="897" spans="2:6">
      <c r="B897" s="510" t="s">
        <v>2091</v>
      </c>
      <c r="C897" s="510" t="s">
        <v>2165</v>
      </c>
      <c r="D897" s="511">
        <v>349</v>
      </c>
      <c r="E897" s="511">
        <v>0</v>
      </c>
      <c r="F897" s="511">
        <v>349</v>
      </c>
    </row>
    <row r="898" spans="2:6">
      <c r="B898" s="269" t="s">
        <v>531</v>
      </c>
      <c r="C898" s="269" t="s">
        <v>2168</v>
      </c>
      <c r="D898" s="512">
        <v>342</v>
      </c>
      <c r="E898" s="512">
        <v>0</v>
      </c>
      <c r="F898" s="512">
        <v>342</v>
      </c>
    </row>
    <row r="899" spans="2:6">
      <c r="B899" s="510" t="s">
        <v>531</v>
      </c>
      <c r="C899" s="510" t="s">
        <v>2165</v>
      </c>
      <c r="D899" s="511">
        <v>342</v>
      </c>
      <c r="E899" s="511">
        <v>0</v>
      </c>
      <c r="F899" s="511">
        <v>342</v>
      </c>
    </row>
    <row r="900" spans="2:6">
      <c r="B900" s="269" t="s">
        <v>3978</v>
      </c>
      <c r="C900" s="269" t="s">
        <v>2154</v>
      </c>
      <c r="D900" s="512">
        <v>669</v>
      </c>
      <c r="E900" s="512">
        <v>0</v>
      </c>
      <c r="F900" s="512">
        <v>669</v>
      </c>
    </row>
    <row r="901" spans="2:6">
      <c r="B901" s="510" t="s">
        <v>2075</v>
      </c>
      <c r="C901" s="510" t="s">
        <v>2144</v>
      </c>
      <c r="D901" s="511">
        <v>521</v>
      </c>
      <c r="E901" s="511">
        <v>0</v>
      </c>
      <c r="F901" s="511">
        <v>521</v>
      </c>
    </row>
    <row r="902" spans="2:6">
      <c r="B902" s="269" t="s">
        <v>2075</v>
      </c>
      <c r="C902" s="269" t="s">
        <v>2136</v>
      </c>
      <c r="D902" s="512">
        <v>148</v>
      </c>
      <c r="E902" s="512">
        <v>0</v>
      </c>
      <c r="F902" s="512">
        <v>148</v>
      </c>
    </row>
    <row r="903" spans="2:6">
      <c r="B903" s="510" t="s">
        <v>3979</v>
      </c>
      <c r="C903" s="510" t="s">
        <v>3825</v>
      </c>
      <c r="D903" s="511">
        <v>650</v>
      </c>
      <c r="E903" s="511">
        <v>0</v>
      </c>
      <c r="F903" s="511">
        <v>650</v>
      </c>
    </row>
    <row r="904" spans="2:6">
      <c r="B904" s="269" t="s">
        <v>293</v>
      </c>
      <c r="C904" s="269" t="s">
        <v>2168</v>
      </c>
      <c r="D904" s="512">
        <v>350</v>
      </c>
      <c r="E904" s="512">
        <v>0</v>
      </c>
      <c r="F904" s="512">
        <v>350</v>
      </c>
    </row>
    <row r="905" spans="2:6">
      <c r="B905" s="510" t="s">
        <v>293</v>
      </c>
      <c r="C905" s="510" t="s">
        <v>2165</v>
      </c>
      <c r="D905" s="511">
        <v>299</v>
      </c>
      <c r="E905" s="511">
        <v>0</v>
      </c>
      <c r="F905" s="511">
        <v>299</v>
      </c>
    </row>
    <row r="906" spans="2:6">
      <c r="B906" s="269" t="s">
        <v>457</v>
      </c>
      <c r="C906" s="269" t="s">
        <v>2165</v>
      </c>
      <c r="D906" s="512">
        <v>642</v>
      </c>
      <c r="E906" s="512">
        <v>0</v>
      </c>
      <c r="F906" s="512">
        <v>642</v>
      </c>
    </row>
    <row r="907" spans="2:6">
      <c r="B907" s="510" t="s">
        <v>2105</v>
      </c>
      <c r="C907" s="510" t="s">
        <v>2168</v>
      </c>
      <c r="D907" s="511">
        <v>378</v>
      </c>
      <c r="E907" s="511">
        <v>0</v>
      </c>
      <c r="F907" s="511">
        <v>378</v>
      </c>
    </row>
    <row r="908" spans="2:6">
      <c r="B908" s="269" t="s">
        <v>2105</v>
      </c>
      <c r="C908" s="269" t="s">
        <v>2165</v>
      </c>
      <c r="D908" s="512">
        <v>258</v>
      </c>
      <c r="E908" s="512">
        <v>0</v>
      </c>
      <c r="F908" s="512">
        <v>258</v>
      </c>
    </row>
    <row r="909" spans="2:6">
      <c r="B909" s="510" t="s">
        <v>316</v>
      </c>
      <c r="C909" s="510" t="s">
        <v>2165</v>
      </c>
      <c r="D909" s="511">
        <v>634</v>
      </c>
      <c r="E909" s="511">
        <v>0</v>
      </c>
      <c r="F909" s="511">
        <v>634</v>
      </c>
    </row>
    <row r="910" spans="2:6">
      <c r="B910" s="269" t="s">
        <v>3980</v>
      </c>
      <c r="C910" s="269" t="s">
        <v>2165</v>
      </c>
      <c r="D910" s="512">
        <v>632</v>
      </c>
      <c r="E910" s="512">
        <v>0</v>
      </c>
      <c r="F910" s="512">
        <v>632</v>
      </c>
    </row>
    <row r="911" spans="2:6">
      <c r="B911" s="510" t="s">
        <v>348</v>
      </c>
      <c r="C911" s="510" t="s">
        <v>3825</v>
      </c>
      <c r="D911" s="511">
        <v>500</v>
      </c>
      <c r="E911" s="511">
        <v>0</v>
      </c>
      <c r="F911" s="511">
        <v>500</v>
      </c>
    </row>
    <row r="912" spans="2:6">
      <c r="B912" s="269" t="s">
        <v>348</v>
      </c>
      <c r="C912" s="269" t="s">
        <v>2165</v>
      </c>
      <c r="D912" s="512">
        <v>67</v>
      </c>
      <c r="E912" s="512">
        <v>0</v>
      </c>
      <c r="F912" s="512">
        <v>67</v>
      </c>
    </row>
    <row r="913" spans="2:6">
      <c r="B913" s="510" t="s">
        <v>348</v>
      </c>
      <c r="C913" s="510" t="s">
        <v>2168</v>
      </c>
      <c r="D913" s="511">
        <v>64</v>
      </c>
      <c r="E913" s="511">
        <v>0</v>
      </c>
      <c r="F913" s="511">
        <v>64</v>
      </c>
    </row>
    <row r="914" spans="2:6">
      <c r="B914" s="269" t="s">
        <v>2076</v>
      </c>
      <c r="C914" s="269" t="s">
        <v>2144</v>
      </c>
      <c r="D914" s="512">
        <v>625</v>
      </c>
      <c r="E914" s="512">
        <v>0</v>
      </c>
      <c r="F914" s="512">
        <v>625</v>
      </c>
    </row>
    <row r="915" spans="2:6">
      <c r="B915" s="510" t="s">
        <v>501</v>
      </c>
      <c r="C915" s="510" t="s">
        <v>3825</v>
      </c>
      <c r="D915" s="511">
        <v>400</v>
      </c>
      <c r="E915" s="511">
        <v>0</v>
      </c>
      <c r="F915" s="511">
        <v>400</v>
      </c>
    </row>
    <row r="916" spans="2:6">
      <c r="B916" s="269" t="s">
        <v>501</v>
      </c>
      <c r="C916" s="269" t="s">
        <v>2165</v>
      </c>
      <c r="D916" s="512">
        <v>213</v>
      </c>
      <c r="E916" s="512">
        <v>0</v>
      </c>
      <c r="F916" s="512">
        <v>213</v>
      </c>
    </row>
    <row r="917" spans="2:6">
      <c r="B917" s="510" t="s">
        <v>322</v>
      </c>
      <c r="C917" s="510" t="s">
        <v>2165</v>
      </c>
      <c r="D917" s="511">
        <v>604</v>
      </c>
      <c r="E917" s="511">
        <v>0</v>
      </c>
      <c r="F917" s="511">
        <v>604</v>
      </c>
    </row>
    <row r="918" spans="2:6">
      <c r="B918" s="269" t="s">
        <v>146</v>
      </c>
      <c r="C918" s="269" t="s">
        <v>2165</v>
      </c>
      <c r="D918" s="512">
        <v>593</v>
      </c>
      <c r="E918" s="512">
        <v>0</v>
      </c>
      <c r="F918" s="512">
        <v>593</v>
      </c>
    </row>
    <row r="919" spans="2:6">
      <c r="B919" s="510" t="s">
        <v>3981</v>
      </c>
      <c r="C919" s="510" t="s">
        <v>2167</v>
      </c>
      <c r="D919" s="511">
        <v>350</v>
      </c>
      <c r="E919" s="511">
        <v>0</v>
      </c>
      <c r="F919" s="511">
        <v>350</v>
      </c>
    </row>
    <row r="920" spans="2:6">
      <c r="B920" s="269" t="s">
        <v>3981</v>
      </c>
      <c r="C920" s="269" t="s">
        <v>3827</v>
      </c>
      <c r="D920" s="512">
        <v>191</v>
      </c>
      <c r="E920" s="512">
        <v>0</v>
      </c>
      <c r="F920" s="512">
        <v>191</v>
      </c>
    </row>
    <row r="921" spans="2:6">
      <c r="B921" s="510" t="s">
        <v>3981</v>
      </c>
      <c r="C921" s="510" t="s">
        <v>2169</v>
      </c>
      <c r="D921" s="511">
        <v>50</v>
      </c>
      <c r="E921" s="511">
        <v>0</v>
      </c>
      <c r="F921" s="511">
        <v>50</v>
      </c>
    </row>
    <row r="922" spans="2:6">
      <c r="B922" s="269" t="s">
        <v>530</v>
      </c>
      <c r="C922" s="269" t="s">
        <v>2165</v>
      </c>
      <c r="D922" s="512">
        <v>584</v>
      </c>
      <c r="E922" s="512">
        <v>0</v>
      </c>
      <c r="F922" s="512">
        <v>584</v>
      </c>
    </row>
    <row r="923" spans="2:6">
      <c r="B923" s="510" t="s">
        <v>533</v>
      </c>
      <c r="C923" s="510" t="s">
        <v>2165</v>
      </c>
      <c r="D923" s="511">
        <v>575</v>
      </c>
      <c r="E923" s="511">
        <v>0</v>
      </c>
      <c r="F923" s="511">
        <v>575</v>
      </c>
    </row>
    <row r="924" spans="2:6">
      <c r="B924" s="269" t="s">
        <v>2078</v>
      </c>
      <c r="C924" s="269" t="s">
        <v>2168</v>
      </c>
      <c r="D924" s="512">
        <v>286</v>
      </c>
      <c r="E924" s="512">
        <v>0</v>
      </c>
      <c r="F924" s="512">
        <v>286</v>
      </c>
    </row>
    <row r="925" spans="2:6">
      <c r="B925" s="510" t="s">
        <v>2078</v>
      </c>
      <c r="C925" s="510" t="s">
        <v>2165</v>
      </c>
      <c r="D925" s="511">
        <v>286</v>
      </c>
      <c r="E925" s="511">
        <v>0</v>
      </c>
      <c r="F925" s="511">
        <v>286</v>
      </c>
    </row>
    <row r="926" spans="2:6">
      <c r="B926" s="269" t="s">
        <v>2079</v>
      </c>
      <c r="C926" s="269" t="s">
        <v>2168</v>
      </c>
      <c r="D926" s="512">
        <v>276</v>
      </c>
      <c r="E926" s="512">
        <v>0</v>
      </c>
      <c r="F926" s="512">
        <v>276</v>
      </c>
    </row>
    <row r="927" spans="2:6">
      <c r="B927" s="510" t="s">
        <v>2079</v>
      </c>
      <c r="C927" s="510" t="s">
        <v>2165</v>
      </c>
      <c r="D927" s="511">
        <v>276</v>
      </c>
      <c r="E927" s="511">
        <v>0</v>
      </c>
      <c r="F927" s="511">
        <v>276</v>
      </c>
    </row>
    <row r="928" spans="2:6">
      <c r="B928" s="269" t="s">
        <v>2080</v>
      </c>
      <c r="C928" s="269" t="s">
        <v>2168</v>
      </c>
      <c r="D928" s="512">
        <v>276</v>
      </c>
      <c r="E928" s="512">
        <v>0</v>
      </c>
      <c r="F928" s="512">
        <v>276</v>
      </c>
    </row>
    <row r="929" spans="2:6">
      <c r="B929" s="510" t="s">
        <v>2080</v>
      </c>
      <c r="C929" s="510" t="s">
        <v>2165</v>
      </c>
      <c r="D929" s="511">
        <v>276</v>
      </c>
      <c r="E929" s="511">
        <v>0</v>
      </c>
      <c r="F929" s="511">
        <v>276</v>
      </c>
    </row>
    <row r="930" spans="2:6">
      <c r="B930" s="269" t="s">
        <v>2081</v>
      </c>
      <c r="C930" s="269" t="s">
        <v>2168</v>
      </c>
      <c r="D930" s="512">
        <v>275</v>
      </c>
      <c r="E930" s="512">
        <v>0</v>
      </c>
      <c r="F930" s="512">
        <v>275</v>
      </c>
    </row>
    <row r="931" spans="2:6">
      <c r="B931" s="510" t="s">
        <v>2081</v>
      </c>
      <c r="C931" s="510" t="s">
        <v>2165</v>
      </c>
      <c r="D931" s="511">
        <v>275</v>
      </c>
      <c r="E931" s="511">
        <v>0</v>
      </c>
      <c r="F931" s="511">
        <v>275</v>
      </c>
    </row>
    <row r="932" spans="2:6">
      <c r="B932" s="269" t="s">
        <v>331</v>
      </c>
      <c r="C932" s="269" t="s">
        <v>2168</v>
      </c>
      <c r="D932" s="512">
        <v>275</v>
      </c>
      <c r="E932" s="512">
        <v>0</v>
      </c>
      <c r="F932" s="512">
        <v>275</v>
      </c>
    </row>
    <row r="933" spans="2:6">
      <c r="B933" s="510" t="s">
        <v>331</v>
      </c>
      <c r="C933" s="510" t="s">
        <v>2165</v>
      </c>
      <c r="D933" s="511">
        <v>275</v>
      </c>
      <c r="E933" s="511">
        <v>0</v>
      </c>
      <c r="F933" s="511">
        <v>275</v>
      </c>
    </row>
    <row r="934" spans="2:6">
      <c r="B934" s="269" t="s">
        <v>2082</v>
      </c>
      <c r="C934" s="269" t="s">
        <v>2168</v>
      </c>
      <c r="D934" s="512">
        <v>272</v>
      </c>
      <c r="E934" s="512">
        <v>0</v>
      </c>
      <c r="F934" s="512">
        <v>272</v>
      </c>
    </row>
    <row r="935" spans="2:6">
      <c r="B935" s="510" t="s">
        <v>2082</v>
      </c>
      <c r="C935" s="510" t="s">
        <v>2165</v>
      </c>
      <c r="D935" s="511">
        <v>272</v>
      </c>
      <c r="E935" s="511">
        <v>0</v>
      </c>
      <c r="F935" s="511">
        <v>272</v>
      </c>
    </row>
    <row r="936" spans="2:6">
      <c r="B936" s="269" t="s">
        <v>3982</v>
      </c>
      <c r="C936" s="269" t="s">
        <v>2167</v>
      </c>
      <c r="D936" s="512">
        <v>350</v>
      </c>
      <c r="E936" s="512">
        <v>0</v>
      </c>
      <c r="F936" s="512">
        <v>350</v>
      </c>
    </row>
    <row r="937" spans="2:6">
      <c r="B937" s="510" t="s">
        <v>3982</v>
      </c>
      <c r="C937" s="510" t="s">
        <v>3827</v>
      </c>
      <c r="D937" s="511">
        <v>128</v>
      </c>
      <c r="E937" s="511">
        <v>0</v>
      </c>
      <c r="F937" s="511">
        <v>128</v>
      </c>
    </row>
    <row r="938" spans="2:6">
      <c r="B938" s="269" t="s">
        <v>3982</v>
      </c>
      <c r="C938" s="269" t="s">
        <v>2169</v>
      </c>
      <c r="D938" s="512">
        <v>50</v>
      </c>
      <c r="E938" s="512">
        <v>0</v>
      </c>
      <c r="F938" s="512">
        <v>50</v>
      </c>
    </row>
    <row r="939" spans="2:6">
      <c r="B939" s="510" t="s">
        <v>462</v>
      </c>
      <c r="C939" s="510" t="s">
        <v>2165</v>
      </c>
      <c r="D939" s="511">
        <v>506</v>
      </c>
      <c r="E939" s="511">
        <v>0</v>
      </c>
      <c r="F939" s="511">
        <v>506</v>
      </c>
    </row>
    <row r="940" spans="2:6">
      <c r="B940" s="269" t="s">
        <v>2099</v>
      </c>
      <c r="C940" s="269" t="s">
        <v>2168</v>
      </c>
      <c r="D940" s="512">
        <v>252</v>
      </c>
      <c r="E940" s="512">
        <v>0</v>
      </c>
      <c r="F940" s="512">
        <v>252</v>
      </c>
    </row>
    <row r="941" spans="2:6">
      <c r="B941" s="510" t="s">
        <v>2099</v>
      </c>
      <c r="C941" s="510" t="s">
        <v>2165</v>
      </c>
      <c r="D941" s="511">
        <v>252</v>
      </c>
      <c r="E941" s="511">
        <v>0</v>
      </c>
      <c r="F941" s="511">
        <v>252</v>
      </c>
    </row>
    <row r="942" spans="2:6">
      <c r="B942" s="269" t="s">
        <v>3983</v>
      </c>
      <c r="C942" s="269" t="s">
        <v>3825</v>
      </c>
      <c r="D942" s="512">
        <v>500</v>
      </c>
      <c r="E942" s="512">
        <v>0</v>
      </c>
      <c r="F942" s="512">
        <v>500</v>
      </c>
    </row>
    <row r="943" spans="2:6">
      <c r="B943" s="510" t="s">
        <v>476</v>
      </c>
      <c r="C943" s="510" t="s">
        <v>2165</v>
      </c>
      <c r="D943" s="511">
        <v>486</v>
      </c>
      <c r="E943" s="511">
        <v>0</v>
      </c>
      <c r="F943" s="511">
        <v>486</v>
      </c>
    </row>
    <row r="944" spans="2:6">
      <c r="B944" s="269" t="s">
        <v>213</v>
      </c>
      <c r="C944" s="269" t="s">
        <v>2165</v>
      </c>
      <c r="D944" s="512">
        <v>482</v>
      </c>
      <c r="E944" s="512">
        <v>0</v>
      </c>
      <c r="F944" s="512">
        <v>482</v>
      </c>
    </row>
    <row r="945" spans="2:6">
      <c r="B945" s="510" t="s">
        <v>3984</v>
      </c>
      <c r="C945" s="510" t="s">
        <v>3825</v>
      </c>
      <c r="D945" s="511">
        <v>480</v>
      </c>
      <c r="E945" s="511">
        <v>0</v>
      </c>
      <c r="F945" s="511">
        <v>480</v>
      </c>
    </row>
    <row r="946" spans="2:6">
      <c r="B946" s="269" t="s">
        <v>154</v>
      </c>
      <c r="C946" s="269" t="s">
        <v>2165</v>
      </c>
      <c r="D946" s="512">
        <v>472</v>
      </c>
      <c r="E946" s="512">
        <v>0</v>
      </c>
      <c r="F946" s="512">
        <v>472</v>
      </c>
    </row>
    <row r="947" spans="2:6">
      <c r="B947" s="510" t="s">
        <v>2083</v>
      </c>
      <c r="C947" s="510" t="s">
        <v>2168</v>
      </c>
      <c r="D947" s="511">
        <v>230</v>
      </c>
      <c r="E947" s="511">
        <v>0</v>
      </c>
      <c r="F947" s="511">
        <v>230</v>
      </c>
    </row>
    <row r="948" spans="2:6">
      <c r="B948" s="269" t="s">
        <v>2083</v>
      </c>
      <c r="C948" s="269" t="s">
        <v>2165</v>
      </c>
      <c r="D948" s="512">
        <v>230</v>
      </c>
      <c r="E948" s="512">
        <v>0</v>
      </c>
      <c r="F948" s="512">
        <v>230</v>
      </c>
    </row>
    <row r="949" spans="2:6">
      <c r="B949" s="510" t="s">
        <v>494</v>
      </c>
      <c r="C949" s="510" t="s">
        <v>2165</v>
      </c>
      <c r="D949" s="511">
        <v>459</v>
      </c>
      <c r="E949" s="511">
        <v>0</v>
      </c>
      <c r="F949" s="511">
        <v>459</v>
      </c>
    </row>
    <row r="950" spans="2:6">
      <c r="B950" s="269" t="s">
        <v>266</v>
      </c>
      <c r="C950" s="269" t="s">
        <v>2168</v>
      </c>
      <c r="D950" s="512">
        <v>229</v>
      </c>
      <c r="E950" s="512">
        <v>0</v>
      </c>
      <c r="F950" s="512">
        <v>229</v>
      </c>
    </row>
    <row r="951" spans="2:6">
      <c r="B951" s="510" t="s">
        <v>266</v>
      </c>
      <c r="C951" s="510" t="s">
        <v>2165</v>
      </c>
      <c r="D951" s="511">
        <v>229</v>
      </c>
      <c r="E951" s="511">
        <v>0</v>
      </c>
      <c r="F951" s="511">
        <v>229</v>
      </c>
    </row>
    <row r="952" spans="2:6">
      <c r="B952" s="269" t="s">
        <v>2085</v>
      </c>
      <c r="C952" s="269" t="s">
        <v>2168</v>
      </c>
      <c r="D952" s="512">
        <v>229</v>
      </c>
      <c r="E952" s="512">
        <v>0</v>
      </c>
      <c r="F952" s="512">
        <v>229</v>
      </c>
    </row>
    <row r="953" spans="2:6">
      <c r="B953" s="510" t="s">
        <v>2085</v>
      </c>
      <c r="C953" s="510" t="s">
        <v>2165</v>
      </c>
      <c r="D953" s="511">
        <v>229</v>
      </c>
      <c r="E953" s="511">
        <v>0</v>
      </c>
      <c r="F953" s="511">
        <v>229</v>
      </c>
    </row>
    <row r="954" spans="2:6">
      <c r="B954" s="269" t="s">
        <v>2084</v>
      </c>
      <c r="C954" s="269" t="s">
        <v>2168</v>
      </c>
      <c r="D954" s="512">
        <v>229</v>
      </c>
      <c r="E954" s="512">
        <v>0</v>
      </c>
      <c r="F954" s="512">
        <v>229</v>
      </c>
    </row>
    <row r="955" spans="2:6">
      <c r="B955" s="510" t="s">
        <v>2084</v>
      </c>
      <c r="C955" s="510" t="s">
        <v>2165</v>
      </c>
      <c r="D955" s="511">
        <v>229</v>
      </c>
      <c r="E955" s="511">
        <v>0</v>
      </c>
      <c r="F955" s="511">
        <v>229</v>
      </c>
    </row>
    <row r="956" spans="2:6">
      <c r="B956" s="269" t="s">
        <v>439</v>
      </c>
      <c r="C956" s="269" t="s">
        <v>2165</v>
      </c>
      <c r="D956" s="512">
        <v>444</v>
      </c>
      <c r="E956" s="512">
        <v>0</v>
      </c>
      <c r="F956" s="512">
        <v>444</v>
      </c>
    </row>
    <row r="957" spans="2:6">
      <c r="B957" s="510" t="s">
        <v>477</v>
      </c>
      <c r="C957" s="510" t="s">
        <v>2165</v>
      </c>
      <c r="D957" s="511">
        <v>444</v>
      </c>
      <c r="E957" s="511">
        <v>0</v>
      </c>
      <c r="F957" s="511">
        <v>444</v>
      </c>
    </row>
    <row r="958" spans="2:6">
      <c r="B958" s="269" t="s">
        <v>510</v>
      </c>
      <c r="C958" s="269" t="s">
        <v>2165</v>
      </c>
      <c r="D958" s="512">
        <v>444</v>
      </c>
      <c r="E958" s="512">
        <v>0</v>
      </c>
      <c r="F958" s="512">
        <v>444</v>
      </c>
    </row>
    <row r="959" spans="2:6">
      <c r="B959" s="510" t="s">
        <v>1893</v>
      </c>
      <c r="C959" s="510" t="s">
        <v>2165</v>
      </c>
      <c r="D959" s="511">
        <v>421</v>
      </c>
      <c r="E959" s="511">
        <v>0</v>
      </c>
      <c r="F959" s="511">
        <v>421</v>
      </c>
    </row>
    <row r="960" spans="2:6">
      <c r="B960" s="269" t="s">
        <v>2087</v>
      </c>
      <c r="C960" s="269" t="s">
        <v>2168</v>
      </c>
      <c r="D960" s="512">
        <v>207</v>
      </c>
      <c r="E960" s="512">
        <v>0</v>
      </c>
      <c r="F960" s="512">
        <v>207</v>
      </c>
    </row>
    <row r="961" spans="2:6">
      <c r="B961" s="510" t="s">
        <v>2087</v>
      </c>
      <c r="C961" s="510" t="s">
        <v>2165</v>
      </c>
      <c r="D961" s="511">
        <v>207</v>
      </c>
      <c r="E961" s="511">
        <v>0</v>
      </c>
      <c r="F961" s="511">
        <v>207</v>
      </c>
    </row>
    <row r="962" spans="2:6">
      <c r="B962" s="269" t="s">
        <v>2086</v>
      </c>
      <c r="C962" s="269" t="s">
        <v>2168</v>
      </c>
      <c r="D962" s="512">
        <v>207</v>
      </c>
      <c r="E962" s="512">
        <v>0</v>
      </c>
      <c r="F962" s="512">
        <v>207</v>
      </c>
    </row>
    <row r="963" spans="2:6">
      <c r="B963" s="510" t="s">
        <v>2086</v>
      </c>
      <c r="C963" s="510" t="s">
        <v>2165</v>
      </c>
      <c r="D963" s="511">
        <v>207</v>
      </c>
      <c r="E963" s="511">
        <v>0</v>
      </c>
      <c r="F963" s="511">
        <v>207</v>
      </c>
    </row>
    <row r="964" spans="2:6">
      <c r="B964" s="269" t="s">
        <v>2088</v>
      </c>
      <c r="C964" s="269" t="s">
        <v>2168</v>
      </c>
      <c r="D964" s="512">
        <v>207</v>
      </c>
      <c r="E964" s="512">
        <v>0</v>
      </c>
      <c r="F964" s="512">
        <v>207</v>
      </c>
    </row>
    <row r="965" spans="2:6">
      <c r="B965" s="510" t="s">
        <v>2088</v>
      </c>
      <c r="C965" s="510" t="s">
        <v>2165</v>
      </c>
      <c r="D965" s="511">
        <v>207</v>
      </c>
      <c r="E965" s="511">
        <v>0</v>
      </c>
      <c r="F965" s="511">
        <v>207</v>
      </c>
    </row>
    <row r="966" spans="2:6">
      <c r="B966" s="269" t="s">
        <v>3985</v>
      </c>
      <c r="C966" s="269" t="s">
        <v>2167</v>
      </c>
      <c r="D966" s="512">
        <v>350</v>
      </c>
      <c r="E966" s="512">
        <v>0</v>
      </c>
      <c r="F966" s="512">
        <v>350</v>
      </c>
    </row>
    <row r="967" spans="2:6">
      <c r="B967" s="510" t="s">
        <v>3985</v>
      </c>
      <c r="C967" s="510" t="s">
        <v>2169</v>
      </c>
      <c r="D967" s="511">
        <v>50</v>
      </c>
      <c r="E967" s="511">
        <v>0</v>
      </c>
      <c r="F967" s="511">
        <v>50</v>
      </c>
    </row>
    <row r="968" spans="2:6">
      <c r="B968" s="269" t="s">
        <v>516</v>
      </c>
      <c r="C968" s="269" t="s">
        <v>2165</v>
      </c>
      <c r="D968" s="512">
        <v>376</v>
      </c>
      <c r="E968" s="512">
        <v>0</v>
      </c>
      <c r="F968" s="512">
        <v>376</v>
      </c>
    </row>
    <row r="969" spans="2:6">
      <c r="B969" s="510" t="s">
        <v>2098</v>
      </c>
      <c r="C969" s="510" t="s">
        <v>2185</v>
      </c>
      <c r="D969" s="511">
        <v>139</v>
      </c>
      <c r="E969" s="511">
        <v>0</v>
      </c>
      <c r="F969" s="511">
        <v>139</v>
      </c>
    </row>
    <row r="970" spans="2:6">
      <c r="B970" s="269" t="s">
        <v>2098</v>
      </c>
      <c r="C970" s="269" t="s">
        <v>2165</v>
      </c>
      <c r="D970" s="512">
        <v>115</v>
      </c>
      <c r="E970" s="512">
        <v>0</v>
      </c>
      <c r="F970" s="512">
        <v>115</v>
      </c>
    </row>
    <row r="971" spans="2:6">
      <c r="B971" s="510" t="s">
        <v>2098</v>
      </c>
      <c r="C971" s="510" t="s">
        <v>2168</v>
      </c>
      <c r="D971" s="511">
        <v>115</v>
      </c>
      <c r="E971" s="511">
        <v>0</v>
      </c>
      <c r="F971" s="511">
        <v>115</v>
      </c>
    </row>
    <row r="972" spans="2:6">
      <c r="B972" s="269" t="s">
        <v>2021</v>
      </c>
      <c r="C972" s="269" t="s">
        <v>2168</v>
      </c>
      <c r="D972" s="512">
        <v>368</v>
      </c>
      <c r="E972" s="512">
        <v>0</v>
      </c>
      <c r="F972" s="512">
        <v>368</v>
      </c>
    </row>
    <row r="973" spans="2:6">
      <c r="B973" s="510" t="s">
        <v>2090</v>
      </c>
      <c r="C973" s="510" t="s">
        <v>2168</v>
      </c>
      <c r="D973" s="511">
        <v>184</v>
      </c>
      <c r="E973" s="511">
        <v>0</v>
      </c>
      <c r="F973" s="511">
        <v>184</v>
      </c>
    </row>
    <row r="974" spans="2:6">
      <c r="B974" s="269" t="s">
        <v>2090</v>
      </c>
      <c r="C974" s="269" t="s">
        <v>2165</v>
      </c>
      <c r="D974" s="512">
        <v>184</v>
      </c>
      <c r="E974" s="512">
        <v>0</v>
      </c>
      <c r="F974" s="512">
        <v>184</v>
      </c>
    </row>
    <row r="975" spans="2:6">
      <c r="B975" s="510" t="s">
        <v>3986</v>
      </c>
      <c r="C975" s="510" t="s">
        <v>3827</v>
      </c>
      <c r="D975" s="511">
        <v>168</v>
      </c>
      <c r="E975" s="511">
        <v>0</v>
      </c>
      <c r="F975" s="511">
        <v>168</v>
      </c>
    </row>
    <row r="976" spans="2:6">
      <c r="B976" s="269" t="s">
        <v>3986</v>
      </c>
      <c r="C976" s="269" t="s">
        <v>2167</v>
      </c>
      <c r="D976" s="512">
        <v>150</v>
      </c>
      <c r="E976" s="512">
        <v>0</v>
      </c>
      <c r="F976" s="512">
        <v>150</v>
      </c>
    </row>
    <row r="977" spans="2:6">
      <c r="B977" s="510" t="s">
        <v>3986</v>
      </c>
      <c r="C977" s="510" t="s">
        <v>2169</v>
      </c>
      <c r="D977" s="511">
        <v>50</v>
      </c>
      <c r="E977" s="511">
        <v>0</v>
      </c>
      <c r="F977" s="511">
        <v>50</v>
      </c>
    </row>
    <row r="978" spans="2:6">
      <c r="B978" s="269" t="s">
        <v>250</v>
      </c>
      <c r="C978" s="269" t="s">
        <v>2168</v>
      </c>
      <c r="D978" s="512">
        <v>184</v>
      </c>
      <c r="E978" s="512">
        <v>0</v>
      </c>
      <c r="F978" s="512">
        <v>184</v>
      </c>
    </row>
    <row r="979" spans="2:6">
      <c r="B979" s="510" t="s">
        <v>250</v>
      </c>
      <c r="C979" s="510" t="s">
        <v>2165</v>
      </c>
      <c r="D979" s="511">
        <v>184</v>
      </c>
      <c r="E979" s="511">
        <v>0</v>
      </c>
      <c r="F979" s="511">
        <v>184</v>
      </c>
    </row>
    <row r="980" spans="2:6">
      <c r="B980" s="269" t="s">
        <v>337</v>
      </c>
      <c r="C980" s="269" t="s">
        <v>2168</v>
      </c>
      <c r="D980" s="512">
        <v>178</v>
      </c>
      <c r="E980" s="512">
        <v>0</v>
      </c>
      <c r="F980" s="512">
        <v>178</v>
      </c>
    </row>
    <row r="981" spans="2:6">
      <c r="B981" s="510" t="s">
        <v>337</v>
      </c>
      <c r="C981" s="510" t="s">
        <v>2165</v>
      </c>
      <c r="D981" s="511">
        <v>178</v>
      </c>
      <c r="E981" s="511">
        <v>0</v>
      </c>
      <c r="F981" s="511">
        <v>178</v>
      </c>
    </row>
    <row r="982" spans="2:6">
      <c r="B982" s="269" t="s">
        <v>345</v>
      </c>
      <c r="C982" s="269" t="s">
        <v>2165</v>
      </c>
      <c r="D982" s="512">
        <v>356</v>
      </c>
      <c r="E982" s="512">
        <v>0</v>
      </c>
      <c r="F982" s="512">
        <v>356</v>
      </c>
    </row>
    <row r="983" spans="2:6">
      <c r="B983" s="510" t="s">
        <v>3987</v>
      </c>
      <c r="C983" s="510" t="s">
        <v>2167</v>
      </c>
      <c r="D983" s="511">
        <v>350</v>
      </c>
      <c r="E983" s="511">
        <v>0</v>
      </c>
      <c r="F983" s="511">
        <v>350</v>
      </c>
    </row>
    <row r="984" spans="2:6">
      <c r="B984" s="269" t="s">
        <v>3988</v>
      </c>
      <c r="C984" s="269" t="s">
        <v>2167</v>
      </c>
      <c r="D984" s="512">
        <v>350</v>
      </c>
      <c r="E984" s="512">
        <v>0</v>
      </c>
      <c r="F984" s="512">
        <v>350</v>
      </c>
    </row>
    <row r="985" spans="2:6">
      <c r="B985" s="510" t="s">
        <v>3989</v>
      </c>
      <c r="C985" s="510" t="s">
        <v>2167</v>
      </c>
      <c r="D985" s="511">
        <v>350</v>
      </c>
      <c r="E985" s="511">
        <v>0</v>
      </c>
      <c r="F985" s="511">
        <v>350</v>
      </c>
    </row>
    <row r="986" spans="2:6">
      <c r="B986" s="269" t="s">
        <v>3991</v>
      </c>
      <c r="C986" s="269" t="s">
        <v>2167</v>
      </c>
      <c r="D986" s="512">
        <v>350</v>
      </c>
      <c r="E986" s="512">
        <v>0</v>
      </c>
      <c r="F986" s="512">
        <v>350</v>
      </c>
    </row>
    <row r="987" spans="2:6">
      <c r="B987" s="510" t="s">
        <v>3990</v>
      </c>
      <c r="C987" s="510" t="s">
        <v>2167</v>
      </c>
      <c r="D987" s="511">
        <v>350</v>
      </c>
      <c r="E987" s="511">
        <v>0</v>
      </c>
      <c r="F987" s="511">
        <v>350</v>
      </c>
    </row>
    <row r="988" spans="2:6">
      <c r="B988" s="269" t="s">
        <v>3992</v>
      </c>
      <c r="C988" s="269" t="s">
        <v>2165</v>
      </c>
      <c r="D988" s="512">
        <v>347</v>
      </c>
      <c r="E988" s="512">
        <v>0</v>
      </c>
      <c r="F988" s="512">
        <v>347</v>
      </c>
    </row>
    <row r="989" spans="2:6">
      <c r="B989" s="510" t="s">
        <v>417</v>
      </c>
      <c r="C989" s="510" t="s">
        <v>2165</v>
      </c>
      <c r="D989" s="511">
        <v>345</v>
      </c>
      <c r="E989" s="511">
        <v>0</v>
      </c>
      <c r="F989" s="511">
        <v>345</v>
      </c>
    </row>
    <row r="990" spans="2:6">
      <c r="B990" s="269" t="s">
        <v>2092</v>
      </c>
      <c r="C990" s="269" t="s">
        <v>2165</v>
      </c>
      <c r="D990" s="512">
        <v>344</v>
      </c>
      <c r="E990" s="512">
        <v>0</v>
      </c>
      <c r="F990" s="512">
        <v>344</v>
      </c>
    </row>
    <row r="991" spans="2:6">
      <c r="B991" s="510" t="s">
        <v>2093</v>
      </c>
      <c r="C991" s="510" t="s">
        <v>2178</v>
      </c>
      <c r="D991" s="511">
        <v>276</v>
      </c>
      <c r="E991" s="511">
        <v>0</v>
      </c>
      <c r="F991" s="511">
        <v>276</v>
      </c>
    </row>
    <row r="992" spans="2:6">
      <c r="B992" s="269" t="s">
        <v>2093</v>
      </c>
      <c r="C992" s="269" t="s">
        <v>2165</v>
      </c>
      <c r="D992" s="512">
        <v>30</v>
      </c>
      <c r="E992" s="512">
        <v>0</v>
      </c>
      <c r="F992" s="512">
        <v>30</v>
      </c>
    </row>
    <row r="993" spans="2:6">
      <c r="B993" s="510" t="s">
        <v>2093</v>
      </c>
      <c r="C993" s="510" t="s">
        <v>2168</v>
      </c>
      <c r="D993" s="511">
        <v>30</v>
      </c>
      <c r="E993" s="511">
        <v>0</v>
      </c>
      <c r="F993" s="511">
        <v>30</v>
      </c>
    </row>
    <row r="994" spans="2:6">
      <c r="B994" s="269" t="s">
        <v>400</v>
      </c>
      <c r="C994" s="269" t="s">
        <v>2165</v>
      </c>
      <c r="D994" s="512">
        <v>306</v>
      </c>
      <c r="E994" s="512">
        <v>0</v>
      </c>
      <c r="F994" s="512">
        <v>306</v>
      </c>
    </row>
    <row r="995" spans="2:6">
      <c r="B995" s="510" t="s">
        <v>2094</v>
      </c>
      <c r="C995" s="510" t="s">
        <v>2168</v>
      </c>
      <c r="D995" s="511">
        <v>299</v>
      </c>
      <c r="E995" s="511">
        <v>0</v>
      </c>
      <c r="F995" s="511">
        <v>299</v>
      </c>
    </row>
    <row r="996" spans="2:6">
      <c r="B996" s="269" t="s">
        <v>3993</v>
      </c>
      <c r="C996" s="269" t="s">
        <v>2165</v>
      </c>
      <c r="D996" s="512">
        <v>299</v>
      </c>
      <c r="E996" s="512">
        <v>0</v>
      </c>
      <c r="F996" s="512">
        <v>299</v>
      </c>
    </row>
    <row r="997" spans="2:6">
      <c r="B997" s="510" t="s">
        <v>88</v>
      </c>
      <c r="C997" s="510" t="s">
        <v>2165</v>
      </c>
      <c r="D997" s="511">
        <v>296</v>
      </c>
      <c r="E997" s="511">
        <v>0</v>
      </c>
      <c r="F997" s="511">
        <v>296</v>
      </c>
    </row>
    <row r="998" spans="2:6">
      <c r="B998" s="269" t="s">
        <v>507</v>
      </c>
      <c r="C998" s="269" t="s">
        <v>2165</v>
      </c>
      <c r="D998" s="512">
        <v>296</v>
      </c>
      <c r="E998" s="512">
        <v>0</v>
      </c>
      <c r="F998" s="512">
        <v>296</v>
      </c>
    </row>
    <row r="999" spans="2:6">
      <c r="B999" s="510" t="s">
        <v>399</v>
      </c>
      <c r="C999" s="510" t="s">
        <v>2165</v>
      </c>
      <c r="D999" s="511">
        <v>285</v>
      </c>
      <c r="E999" s="511">
        <v>0</v>
      </c>
      <c r="F999" s="511">
        <v>285</v>
      </c>
    </row>
    <row r="1000" spans="2:6">
      <c r="B1000" s="269" t="s">
        <v>2101</v>
      </c>
      <c r="C1000" s="269" t="s">
        <v>2165</v>
      </c>
      <c r="D1000" s="512">
        <v>186</v>
      </c>
      <c r="E1000" s="512">
        <v>0</v>
      </c>
      <c r="F1000" s="512">
        <v>186</v>
      </c>
    </row>
    <row r="1001" spans="2:6">
      <c r="B1001" s="510" t="s">
        <v>2101</v>
      </c>
      <c r="C1001" s="510" t="s">
        <v>2168</v>
      </c>
      <c r="D1001" s="511">
        <v>98</v>
      </c>
      <c r="E1001" s="511">
        <v>0</v>
      </c>
      <c r="F1001" s="511">
        <v>98</v>
      </c>
    </row>
    <row r="1002" spans="2:6">
      <c r="B1002" s="269" t="s">
        <v>3994</v>
      </c>
      <c r="C1002" s="269" t="s">
        <v>2165</v>
      </c>
      <c r="D1002" s="512">
        <v>281</v>
      </c>
      <c r="E1002" s="512">
        <v>0</v>
      </c>
      <c r="F1002" s="512">
        <v>281</v>
      </c>
    </row>
    <row r="1003" spans="2:6">
      <c r="B1003" s="510" t="s">
        <v>2095</v>
      </c>
      <c r="C1003" s="510" t="s">
        <v>2168</v>
      </c>
      <c r="D1003" s="511">
        <v>139</v>
      </c>
      <c r="E1003" s="511">
        <v>0</v>
      </c>
      <c r="F1003" s="511">
        <v>139</v>
      </c>
    </row>
    <row r="1004" spans="2:6">
      <c r="B1004" s="269" t="s">
        <v>2095</v>
      </c>
      <c r="C1004" s="269" t="s">
        <v>2165</v>
      </c>
      <c r="D1004" s="512">
        <v>139</v>
      </c>
      <c r="E1004" s="512">
        <v>0</v>
      </c>
      <c r="F1004" s="512">
        <v>139</v>
      </c>
    </row>
    <row r="1005" spans="2:6">
      <c r="B1005" s="510" t="s">
        <v>279</v>
      </c>
      <c r="C1005" s="510" t="s">
        <v>2168</v>
      </c>
      <c r="D1005" s="511">
        <v>138</v>
      </c>
      <c r="E1005" s="511">
        <v>0</v>
      </c>
      <c r="F1005" s="511">
        <v>138</v>
      </c>
    </row>
    <row r="1006" spans="2:6">
      <c r="B1006" s="269" t="s">
        <v>279</v>
      </c>
      <c r="C1006" s="269" t="s">
        <v>2165</v>
      </c>
      <c r="D1006" s="512">
        <v>138</v>
      </c>
      <c r="E1006" s="512">
        <v>0</v>
      </c>
      <c r="F1006" s="512">
        <v>138</v>
      </c>
    </row>
    <row r="1007" spans="2:6">
      <c r="B1007" s="510" t="s">
        <v>278</v>
      </c>
      <c r="C1007" s="510" t="s">
        <v>2165</v>
      </c>
      <c r="D1007" s="511">
        <v>276</v>
      </c>
      <c r="E1007" s="511">
        <v>0</v>
      </c>
      <c r="F1007" s="511">
        <v>276</v>
      </c>
    </row>
    <row r="1008" spans="2:6">
      <c r="B1008" s="269" t="s">
        <v>319</v>
      </c>
      <c r="C1008" s="269" t="s">
        <v>2165</v>
      </c>
      <c r="D1008" s="512">
        <v>107</v>
      </c>
      <c r="E1008" s="512">
        <v>0</v>
      </c>
      <c r="F1008" s="512">
        <v>107</v>
      </c>
    </row>
    <row r="1009" spans="2:6">
      <c r="B1009" s="510" t="s">
        <v>319</v>
      </c>
      <c r="C1009" s="510" t="s">
        <v>2168</v>
      </c>
      <c r="D1009" s="511">
        <v>107</v>
      </c>
      <c r="E1009" s="511">
        <v>0</v>
      </c>
      <c r="F1009" s="511">
        <v>107</v>
      </c>
    </row>
    <row r="1010" spans="2:6">
      <c r="B1010" s="269" t="s">
        <v>319</v>
      </c>
      <c r="C1010" s="269" t="s">
        <v>3825</v>
      </c>
      <c r="D1010" s="512">
        <v>50</v>
      </c>
      <c r="E1010" s="512">
        <v>0</v>
      </c>
      <c r="F1010" s="512">
        <v>50</v>
      </c>
    </row>
    <row r="1011" spans="2:6">
      <c r="B1011" s="510" t="s">
        <v>244</v>
      </c>
      <c r="C1011" s="510" t="s">
        <v>2165</v>
      </c>
      <c r="D1011" s="511">
        <v>260</v>
      </c>
      <c r="E1011" s="511">
        <v>0</v>
      </c>
      <c r="F1011" s="511">
        <v>260</v>
      </c>
    </row>
    <row r="1012" spans="2:6">
      <c r="B1012" s="269" t="s">
        <v>2097</v>
      </c>
      <c r="C1012" s="269" t="s">
        <v>2168</v>
      </c>
      <c r="D1012" s="512">
        <v>260</v>
      </c>
      <c r="E1012" s="512">
        <v>0</v>
      </c>
      <c r="F1012" s="512">
        <v>260</v>
      </c>
    </row>
    <row r="1013" spans="2:6">
      <c r="B1013" s="510" t="s">
        <v>2100</v>
      </c>
      <c r="C1013" s="510" t="s">
        <v>3825</v>
      </c>
      <c r="D1013" s="511">
        <v>250</v>
      </c>
      <c r="E1013" s="511">
        <v>0</v>
      </c>
      <c r="F1013" s="511">
        <v>250</v>
      </c>
    </row>
    <row r="1014" spans="2:6">
      <c r="B1014" s="269" t="s">
        <v>3995</v>
      </c>
      <c r="C1014" s="269" t="s">
        <v>3825</v>
      </c>
      <c r="D1014" s="512">
        <v>250</v>
      </c>
      <c r="E1014" s="512">
        <v>0</v>
      </c>
      <c r="F1014" s="512">
        <v>250</v>
      </c>
    </row>
    <row r="1015" spans="2:6">
      <c r="B1015" s="510" t="s">
        <v>3998</v>
      </c>
      <c r="C1015" s="510" t="s">
        <v>3825</v>
      </c>
      <c r="D1015" s="511">
        <v>250</v>
      </c>
      <c r="E1015" s="511">
        <v>0</v>
      </c>
      <c r="F1015" s="511">
        <v>250</v>
      </c>
    </row>
    <row r="1016" spans="2:6">
      <c r="B1016" s="269" t="s">
        <v>3997</v>
      </c>
      <c r="C1016" s="269" t="s">
        <v>3825</v>
      </c>
      <c r="D1016" s="512">
        <v>250</v>
      </c>
      <c r="E1016" s="512">
        <v>0</v>
      </c>
      <c r="F1016" s="512">
        <v>250</v>
      </c>
    </row>
    <row r="1017" spans="2:6">
      <c r="B1017" s="510" t="s">
        <v>3996</v>
      </c>
      <c r="C1017" s="510" t="s">
        <v>3825</v>
      </c>
      <c r="D1017" s="511">
        <v>250</v>
      </c>
      <c r="E1017" s="511">
        <v>0</v>
      </c>
      <c r="F1017" s="511">
        <v>250</v>
      </c>
    </row>
    <row r="1018" spans="2:6">
      <c r="B1018" s="269" t="s">
        <v>2117</v>
      </c>
      <c r="C1018" s="269" t="s">
        <v>2165</v>
      </c>
      <c r="D1018" s="512">
        <v>122</v>
      </c>
      <c r="E1018" s="512">
        <v>0</v>
      </c>
      <c r="F1018" s="512">
        <v>122</v>
      </c>
    </row>
    <row r="1019" spans="2:6">
      <c r="B1019" s="510" t="s">
        <v>2117</v>
      </c>
      <c r="C1019" s="510" t="s">
        <v>2168</v>
      </c>
      <c r="D1019" s="511">
        <v>120</v>
      </c>
      <c r="E1019" s="511">
        <v>0</v>
      </c>
      <c r="F1019" s="511">
        <v>120</v>
      </c>
    </row>
    <row r="1020" spans="2:6">
      <c r="B1020" s="269" t="s">
        <v>259</v>
      </c>
      <c r="C1020" s="269" t="s">
        <v>2165</v>
      </c>
      <c r="D1020" s="512">
        <v>239</v>
      </c>
      <c r="E1020" s="512">
        <v>0</v>
      </c>
      <c r="F1020" s="512">
        <v>239</v>
      </c>
    </row>
    <row r="1021" spans="2:6">
      <c r="B1021" s="510" t="s">
        <v>413</v>
      </c>
      <c r="C1021" s="510" t="s">
        <v>2165</v>
      </c>
      <c r="D1021" s="511">
        <v>237</v>
      </c>
      <c r="E1021" s="511">
        <v>0</v>
      </c>
      <c r="F1021" s="511">
        <v>237</v>
      </c>
    </row>
    <row r="1022" spans="2:6">
      <c r="B1022" s="269" t="s">
        <v>332</v>
      </c>
      <c r="C1022" s="269" t="s">
        <v>2168</v>
      </c>
      <c r="D1022" s="512">
        <v>115</v>
      </c>
      <c r="E1022" s="512">
        <v>0</v>
      </c>
      <c r="F1022" s="512">
        <v>115</v>
      </c>
    </row>
    <row r="1023" spans="2:6">
      <c r="B1023" s="510" t="s">
        <v>332</v>
      </c>
      <c r="C1023" s="510" t="s">
        <v>2165</v>
      </c>
      <c r="D1023" s="511">
        <v>115</v>
      </c>
      <c r="E1023" s="511">
        <v>0</v>
      </c>
      <c r="F1023" s="511">
        <v>115</v>
      </c>
    </row>
    <row r="1024" spans="2:6">
      <c r="B1024" s="269" t="s">
        <v>3999</v>
      </c>
      <c r="C1024" s="269" t="s">
        <v>2165</v>
      </c>
      <c r="D1024" s="512">
        <v>222</v>
      </c>
      <c r="E1024" s="512">
        <v>0</v>
      </c>
      <c r="F1024" s="512">
        <v>222</v>
      </c>
    </row>
    <row r="1025" spans="2:6">
      <c r="B1025" s="510" t="s">
        <v>290</v>
      </c>
      <c r="C1025" s="510" t="s">
        <v>2168</v>
      </c>
      <c r="D1025" s="511">
        <v>93</v>
      </c>
      <c r="E1025" s="511">
        <v>0</v>
      </c>
      <c r="F1025" s="511">
        <v>93</v>
      </c>
    </row>
    <row r="1026" spans="2:6">
      <c r="B1026" s="269" t="s">
        <v>290</v>
      </c>
      <c r="C1026" s="269" t="s">
        <v>2165</v>
      </c>
      <c r="D1026" s="512">
        <v>93</v>
      </c>
      <c r="E1026" s="512">
        <v>0</v>
      </c>
      <c r="F1026" s="512">
        <v>93</v>
      </c>
    </row>
    <row r="1027" spans="2:6">
      <c r="B1027" s="510" t="s">
        <v>222</v>
      </c>
      <c r="C1027" s="510" t="s">
        <v>2165</v>
      </c>
      <c r="D1027" s="511">
        <v>184</v>
      </c>
      <c r="E1027" s="511">
        <v>0</v>
      </c>
      <c r="F1027" s="511">
        <v>184</v>
      </c>
    </row>
    <row r="1028" spans="2:6">
      <c r="B1028" s="269" t="s">
        <v>2102</v>
      </c>
      <c r="C1028" s="269" t="s">
        <v>2168</v>
      </c>
      <c r="D1028" s="512">
        <v>92</v>
      </c>
      <c r="E1028" s="512">
        <v>0</v>
      </c>
      <c r="F1028" s="512">
        <v>92</v>
      </c>
    </row>
    <row r="1029" spans="2:6">
      <c r="B1029" s="510" t="s">
        <v>2102</v>
      </c>
      <c r="C1029" s="510" t="s">
        <v>2165</v>
      </c>
      <c r="D1029" s="511">
        <v>92</v>
      </c>
      <c r="E1029" s="511">
        <v>0</v>
      </c>
      <c r="F1029" s="511">
        <v>92</v>
      </c>
    </row>
    <row r="1030" spans="2:6">
      <c r="B1030" s="269" t="s">
        <v>4000</v>
      </c>
      <c r="C1030" s="269" t="s">
        <v>2165</v>
      </c>
      <c r="D1030" s="512">
        <v>170</v>
      </c>
      <c r="E1030" s="512">
        <v>0</v>
      </c>
      <c r="F1030" s="512">
        <v>170</v>
      </c>
    </row>
    <row r="1031" spans="2:6">
      <c r="B1031" s="510" t="s">
        <v>358</v>
      </c>
      <c r="C1031" s="510" t="s">
        <v>2165</v>
      </c>
      <c r="D1031" s="511">
        <v>88</v>
      </c>
      <c r="E1031" s="511">
        <v>0</v>
      </c>
      <c r="F1031" s="511">
        <v>88</v>
      </c>
    </row>
    <row r="1032" spans="2:6">
      <c r="B1032" s="269" t="s">
        <v>358</v>
      </c>
      <c r="C1032" s="269" t="s">
        <v>2168</v>
      </c>
      <c r="D1032" s="512">
        <v>75</v>
      </c>
      <c r="E1032" s="512">
        <v>0</v>
      </c>
      <c r="F1032" s="512">
        <v>75</v>
      </c>
    </row>
    <row r="1033" spans="2:6">
      <c r="B1033" s="510" t="s">
        <v>471</v>
      </c>
      <c r="C1033" s="510" t="s">
        <v>2165</v>
      </c>
      <c r="D1033" s="511">
        <v>152</v>
      </c>
      <c r="E1033" s="511">
        <v>0</v>
      </c>
      <c r="F1033" s="511">
        <v>152</v>
      </c>
    </row>
    <row r="1034" spans="2:6">
      <c r="B1034" s="269" t="s">
        <v>4001</v>
      </c>
      <c r="C1034" s="269" t="s">
        <v>3825</v>
      </c>
      <c r="D1034" s="512">
        <v>150</v>
      </c>
      <c r="E1034" s="512">
        <v>0</v>
      </c>
      <c r="F1034" s="512">
        <v>150</v>
      </c>
    </row>
    <row r="1035" spans="2:6">
      <c r="B1035" s="510" t="s">
        <v>4002</v>
      </c>
      <c r="C1035" s="510" t="s">
        <v>3825</v>
      </c>
      <c r="D1035" s="511">
        <v>150</v>
      </c>
      <c r="E1035" s="511">
        <v>0</v>
      </c>
      <c r="F1035" s="511">
        <v>150</v>
      </c>
    </row>
    <row r="1036" spans="2:6">
      <c r="B1036" s="269" t="s">
        <v>480</v>
      </c>
      <c r="C1036" s="269" t="s">
        <v>2165</v>
      </c>
      <c r="D1036" s="512">
        <v>148</v>
      </c>
      <c r="E1036" s="512">
        <v>0</v>
      </c>
      <c r="F1036" s="512">
        <v>148</v>
      </c>
    </row>
    <row r="1037" spans="2:6">
      <c r="B1037" s="510" t="s">
        <v>435</v>
      </c>
      <c r="C1037" s="510" t="s">
        <v>2165</v>
      </c>
      <c r="D1037" s="511">
        <v>148</v>
      </c>
      <c r="E1037" s="511">
        <v>0</v>
      </c>
      <c r="F1037" s="511">
        <v>148</v>
      </c>
    </row>
    <row r="1038" spans="2:6">
      <c r="B1038" s="269" t="s">
        <v>168</v>
      </c>
      <c r="C1038" s="269" t="s">
        <v>2165</v>
      </c>
      <c r="D1038" s="512">
        <v>148</v>
      </c>
      <c r="E1038" s="512">
        <v>0</v>
      </c>
      <c r="F1038" s="512">
        <v>148</v>
      </c>
    </row>
    <row r="1039" spans="2:6">
      <c r="B1039" s="510" t="s">
        <v>387</v>
      </c>
      <c r="C1039" s="510" t="s">
        <v>2165</v>
      </c>
      <c r="D1039" s="511">
        <v>140</v>
      </c>
      <c r="E1039" s="511">
        <v>0</v>
      </c>
      <c r="F1039" s="511">
        <v>140</v>
      </c>
    </row>
    <row r="1040" spans="2:6">
      <c r="B1040" s="269" t="s">
        <v>336</v>
      </c>
      <c r="C1040" s="269" t="s">
        <v>2165</v>
      </c>
      <c r="D1040" s="512">
        <v>137</v>
      </c>
      <c r="E1040" s="512">
        <v>0</v>
      </c>
      <c r="F1040" s="512">
        <v>137</v>
      </c>
    </row>
    <row r="1041" spans="2:6">
      <c r="B1041" s="510" t="s">
        <v>2106</v>
      </c>
      <c r="C1041" s="510" t="s">
        <v>2168</v>
      </c>
      <c r="D1041" s="511">
        <v>62</v>
      </c>
      <c r="E1041" s="511">
        <v>0</v>
      </c>
      <c r="F1041" s="511">
        <v>62</v>
      </c>
    </row>
    <row r="1042" spans="2:6">
      <c r="B1042" s="269" t="s">
        <v>2106</v>
      </c>
      <c r="C1042" s="269" t="s">
        <v>2165</v>
      </c>
      <c r="D1042" s="512">
        <v>62</v>
      </c>
      <c r="E1042" s="512">
        <v>0</v>
      </c>
      <c r="F1042" s="512">
        <v>62</v>
      </c>
    </row>
    <row r="1043" spans="2:6">
      <c r="B1043" s="510" t="s">
        <v>2114</v>
      </c>
      <c r="C1043" s="510" t="s">
        <v>2168</v>
      </c>
      <c r="D1043" s="511">
        <v>61</v>
      </c>
      <c r="E1043" s="511">
        <v>0</v>
      </c>
      <c r="F1043" s="511">
        <v>61</v>
      </c>
    </row>
    <row r="1044" spans="2:6">
      <c r="B1044" s="269" t="s">
        <v>2114</v>
      </c>
      <c r="C1044" s="269" t="s">
        <v>2165</v>
      </c>
      <c r="D1044" s="512">
        <v>61</v>
      </c>
      <c r="E1044" s="512">
        <v>0</v>
      </c>
      <c r="F1044" s="512">
        <v>61</v>
      </c>
    </row>
    <row r="1045" spans="2:6">
      <c r="B1045" s="510" t="s">
        <v>2108</v>
      </c>
      <c r="C1045" s="510" t="s">
        <v>2165</v>
      </c>
      <c r="D1045" s="511">
        <v>118</v>
      </c>
      <c r="E1045" s="511">
        <v>0</v>
      </c>
      <c r="F1045" s="511">
        <v>118</v>
      </c>
    </row>
    <row r="1046" spans="2:6">
      <c r="B1046" s="269" t="s">
        <v>261</v>
      </c>
      <c r="C1046" s="269" t="s">
        <v>2165</v>
      </c>
      <c r="D1046" s="512">
        <v>115</v>
      </c>
      <c r="E1046" s="512">
        <v>0</v>
      </c>
      <c r="F1046" s="512">
        <v>115</v>
      </c>
    </row>
    <row r="1047" spans="2:6">
      <c r="B1047" s="510" t="s">
        <v>321</v>
      </c>
      <c r="C1047" s="510" t="s">
        <v>2165</v>
      </c>
      <c r="D1047" s="511">
        <v>115</v>
      </c>
      <c r="E1047" s="511">
        <v>0</v>
      </c>
      <c r="F1047" s="511">
        <v>115</v>
      </c>
    </row>
    <row r="1048" spans="2:6">
      <c r="B1048" s="269" t="s">
        <v>2109</v>
      </c>
      <c r="C1048" s="269" t="s">
        <v>2165</v>
      </c>
      <c r="D1048" s="512">
        <v>115</v>
      </c>
      <c r="E1048" s="512">
        <v>0</v>
      </c>
      <c r="F1048" s="512">
        <v>115</v>
      </c>
    </row>
    <row r="1049" spans="2:6">
      <c r="B1049" s="510" t="s">
        <v>268</v>
      </c>
      <c r="C1049" s="510" t="s">
        <v>2165</v>
      </c>
      <c r="D1049" s="511">
        <v>53</v>
      </c>
      <c r="E1049" s="511">
        <v>0</v>
      </c>
      <c r="F1049" s="511">
        <v>53</v>
      </c>
    </row>
    <row r="1050" spans="2:6">
      <c r="B1050" s="269" t="s">
        <v>268</v>
      </c>
      <c r="C1050" s="269" t="s">
        <v>3825</v>
      </c>
      <c r="D1050" s="512">
        <v>50</v>
      </c>
      <c r="E1050" s="512">
        <v>0</v>
      </c>
      <c r="F1050" s="512">
        <v>50</v>
      </c>
    </row>
    <row r="1051" spans="2:6">
      <c r="B1051" s="510" t="s">
        <v>4005</v>
      </c>
      <c r="C1051" s="510" t="s">
        <v>3825</v>
      </c>
      <c r="D1051" s="511">
        <v>100</v>
      </c>
      <c r="E1051" s="511">
        <v>0</v>
      </c>
      <c r="F1051" s="511">
        <v>100</v>
      </c>
    </row>
    <row r="1052" spans="2:6">
      <c r="B1052" s="269" t="s">
        <v>4003</v>
      </c>
      <c r="C1052" s="269" t="s">
        <v>3825</v>
      </c>
      <c r="D1052" s="512">
        <v>100</v>
      </c>
      <c r="E1052" s="512">
        <v>0</v>
      </c>
      <c r="F1052" s="512">
        <v>100</v>
      </c>
    </row>
    <row r="1053" spans="2:6">
      <c r="B1053" s="510" t="s">
        <v>4004</v>
      </c>
      <c r="C1053" s="510" t="s">
        <v>3825</v>
      </c>
      <c r="D1053" s="511">
        <v>100</v>
      </c>
      <c r="E1053" s="511">
        <v>0</v>
      </c>
      <c r="F1053" s="511">
        <v>100</v>
      </c>
    </row>
    <row r="1054" spans="2:6">
      <c r="B1054" s="269" t="s">
        <v>2110</v>
      </c>
      <c r="C1054" s="269" t="s">
        <v>2168</v>
      </c>
      <c r="D1054" s="512">
        <v>47</v>
      </c>
      <c r="E1054" s="512">
        <v>0</v>
      </c>
      <c r="F1054" s="512">
        <v>47</v>
      </c>
    </row>
    <row r="1055" spans="2:6">
      <c r="B1055" s="510" t="s">
        <v>2110</v>
      </c>
      <c r="C1055" s="510" t="s">
        <v>2165</v>
      </c>
      <c r="D1055" s="511">
        <v>47</v>
      </c>
      <c r="E1055" s="511">
        <v>0</v>
      </c>
      <c r="F1055" s="511">
        <v>47</v>
      </c>
    </row>
    <row r="1056" spans="2:6">
      <c r="B1056" s="269" t="s">
        <v>246</v>
      </c>
      <c r="C1056" s="269" t="s">
        <v>2165</v>
      </c>
      <c r="D1056" s="512">
        <v>94</v>
      </c>
      <c r="E1056" s="512">
        <v>0</v>
      </c>
      <c r="F1056" s="512">
        <v>94</v>
      </c>
    </row>
    <row r="1057" spans="2:6">
      <c r="B1057" s="510" t="s">
        <v>523</v>
      </c>
      <c r="C1057" s="510" t="s">
        <v>2165</v>
      </c>
      <c r="D1057" s="511">
        <v>92</v>
      </c>
      <c r="E1057" s="511">
        <v>0</v>
      </c>
      <c r="F1057" s="511">
        <v>92</v>
      </c>
    </row>
    <row r="1058" spans="2:6">
      <c r="B1058" s="269" t="s">
        <v>469</v>
      </c>
      <c r="C1058" s="269" t="s">
        <v>2168</v>
      </c>
      <c r="D1058" s="512">
        <v>46</v>
      </c>
      <c r="E1058" s="512">
        <v>0</v>
      </c>
      <c r="F1058" s="512">
        <v>46</v>
      </c>
    </row>
    <row r="1059" spans="2:6">
      <c r="B1059" s="510" t="s">
        <v>469</v>
      </c>
      <c r="C1059" s="510" t="s">
        <v>2165</v>
      </c>
      <c r="D1059" s="511">
        <v>46</v>
      </c>
      <c r="E1059" s="511">
        <v>0</v>
      </c>
      <c r="F1059" s="511">
        <v>46</v>
      </c>
    </row>
    <row r="1060" spans="2:6">
      <c r="B1060" s="269" t="s">
        <v>252</v>
      </c>
      <c r="C1060" s="269" t="s">
        <v>2168</v>
      </c>
      <c r="D1060" s="512">
        <v>46</v>
      </c>
      <c r="E1060" s="512">
        <v>0</v>
      </c>
      <c r="F1060" s="512">
        <v>46</v>
      </c>
    </row>
    <row r="1061" spans="2:6">
      <c r="B1061" s="510" t="s">
        <v>252</v>
      </c>
      <c r="C1061" s="510" t="s">
        <v>2165</v>
      </c>
      <c r="D1061" s="511">
        <v>46</v>
      </c>
      <c r="E1061" s="511">
        <v>0</v>
      </c>
      <c r="F1061" s="511">
        <v>46</v>
      </c>
    </row>
    <row r="1062" spans="2:6">
      <c r="B1062" s="269" t="s">
        <v>2111</v>
      </c>
      <c r="C1062" s="269" t="s">
        <v>2168</v>
      </c>
      <c r="D1062" s="512">
        <v>46</v>
      </c>
      <c r="E1062" s="512">
        <v>0</v>
      </c>
      <c r="F1062" s="512">
        <v>46</v>
      </c>
    </row>
    <row r="1063" spans="2:6">
      <c r="B1063" s="510" t="s">
        <v>2111</v>
      </c>
      <c r="C1063" s="510" t="s">
        <v>2165</v>
      </c>
      <c r="D1063" s="511">
        <v>46</v>
      </c>
      <c r="E1063" s="511">
        <v>0</v>
      </c>
      <c r="F1063" s="511">
        <v>46</v>
      </c>
    </row>
    <row r="1064" spans="2:6">
      <c r="B1064" s="269" t="s">
        <v>369</v>
      </c>
      <c r="C1064" s="269" t="s">
        <v>2165</v>
      </c>
      <c r="D1064" s="512">
        <v>91</v>
      </c>
      <c r="E1064" s="512">
        <v>0</v>
      </c>
      <c r="F1064" s="512">
        <v>91</v>
      </c>
    </row>
    <row r="1065" spans="2:6">
      <c r="B1065" s="510" t="s">
        <v>253</v>
      </c>
      <c r="C1065" s="510" t="s">
        <v>2165</v>
      </c>
      <c r="D1065" s="511">
        <v>89</v>
      </c>
      <c r="E1065" s="511">
        <v>0</v>
      </c>
      <c r="F1065" s="511">
        <v>89</v>
      </c>
    </row>
    <row r="1066" spans="2:6">
      <c r="B1066" s="269" t="s">
        <v>2112</v>
      </c>
      <c r="C1066" s="269" t="s">
        <v>2168</v>
      </c>
      <c r="D1066" s="512">
        <v>44</v>
      </c>
      <c r="E1066" s="512">
        <v>0</v>
      </c>
      <c r="F1066" s="512">
        <v>44</v>
      </c>
    </row>
    <row r="1067" spans="2:6">
      <c r="B1067" s="510" t="s">
        <v>2112</v>
      </c>
      <c r="C1067" s="510" t="s">
        <v>2165</v>
      </c>
      <c r="D1067" s="511">
        <v>44</v>
      </c>
      <c r="E1067" s="511">
        <v>0</v>
      </c>
      <c r="F1067" s="511">
        <v>44</v>
      </c>
    </row>
    <row r="1068" spans="2:6">
      <c r="B1068" s="269" t="s">
        <v>361</v>
      </c>
      <c r="C1068" s="269" t="s">
        <v>2168</v>
      </c>
      <c r="D1068" s="512">
        <v>44</v>
      </c>
      <c r="E1068" s="512">
        <v>0</v>
      </c>
      <c r="F1068" s="512">
        <v>44</v>
      </c>
    </row>
    <row r="1069" spans="2:6">
      <c r="B1069" s="510" t="s">
        <v>361</v>
      </c>
      <c r="C1069" s="510" t="s">
        <v>2165</v>
      </c>
      <c r="D1069" s="511">
        <v>44</v>
      </c>
      <c r="E1069" s="511">
        <v>0</v>
      </c>
      <c r="F1069" s="511">
        <v>44</v>
      </c>
    </row>
    <row r="1070" spans="2:6">
      <c r="B1070" s="269" t="s">
        <v>2113</v>
      </c>
      <c r="C1070" s="269" t="s">
        <v>2168</v>
      </c>
      <c r="D1070" s="512">
        <v>44</v>
      </c>
      <c r="E1070" s="512">
        <v>0</v>
      </c>
      <c r="F1070" s="512">
        <v>44</v>
      </c>
    </row>
    <row r="1071" spans="2:6">
      <c r="B1071" s="510" t="s">
        <v>2113</v>
      </c>
      <c r="C1071" s="510" t="s">
        <v>2165</v>
      </c>
      <c r="D1071" s="511">
        <v>44</v>
      </c>
      <c r="E1071" s="511">
        <v>0</v>
      </c>
      <c r="F1071" s="511">
        <v>44</v>
      </c>
    </row>
    <row r="1072" spans="2:6">
      <c r="B1072" s="269" t="s">
        <v>4006</v>
      </c>
      <c r="C1072" s="269" t="s">
        <v>2165</v>
      </c>
      <c r="D1072" s="512">
        <v>87</v>
      </c>
      <c r="E1072" s="512">
        <v>0</v>
      </c>
      <c r="F1072" s="512">
        <v>87</v>
      </c>
    </row>
    <row r="1073" spans="2:6">
      <c r="B1073" s="510" t="s">
        <v>401</v>
      </c>
      <c r="C1073" s="510" t="s">
        <v>2165</v>
      </c>
      <c r="D1073" s="511">
        <v>78</v>
      </c>
      <c r="E1073" s="511">
        <v>0</v>
      </c>
      <c r="F1073" s="511">
        <v>78</v>
      </c>
    </row>
    <row r="1074" spans="2:6">
      <c r="B1074" s="269" t="s">
        <v>4007</v>
      </c>
      <c r="C1074" s="269" t="s">
        <v>2165</v>
      </c>
      <c r="D1074" s="512">
        <v>75</v>
      </c>
      <c r="E1074" s="512">
        <v>0</v>
      </c>
      <c r="F1074" s="512">
        <v>75</v>
      </c>
    </row>
    <row r="1075" spans="2:6">
      <c r="B1075" s="510" t="s">
        <v>2115</v>
      </c>
      <c r="C1075" s="510" t="s">
        <v>2141</v>
      </c>
      <c r="D1075" s="511">
        <v>75</v>
      </c>
      <c r="E1075" s="511">
        <v>0</v>
      </c>
      <c r="F1075" s="511">
        <v>75</v>
      </c>
    </row>
    <row r="1076" spans="2:6">
      <c r="B1076" s="269" t="s">
        <v>2116</v>
      </c>
      <c r="C1076" s="269" t="s">
        <v>2168</v>
      </c>
      <c r="D1076" s="512">
        <v>37</v>
      </c>
      <c r="E1076" s="512">
        <v>0</v>
      </c>
      <c r="F1076" s="512">
        <v>37</v>
      </c>
    </row>
    <row r="1077" spans="2:6">
      <c r="B1077" s="510" t="s">
        <v>2116</v>
      </c>
      <c r="C1077" s="510" t="s">
        <v>2165</v>
      </c>
      <c r="D1077" s="511">
        <v>37</v>
      </c>
      <c r="E1077" s="511">
        <v>0</v>
      </c>
      <c r="F1077" s="511">
        <v>37</v>
      </c>
    </row>
    <row r="1078" spans="2:6">
      <c r="B1078" s="269" t="s">
        <v>260</v>
      </c>
      <c r="C1078" s="269" t="s">
        <v>3825</v>
      </c>
      <c r="D1078" s="512">
        <v>50</v>
      </c>
      <c r="E1078" s="512">
        <v>0</v>
      </c>
      <c r="F1078" s="512">
        <v>50</v>
      </c>
    </row>
    <row r="1079" spans="2:6">
      <c r="B1079" s="510" t="s">
        <v>260</v>
      </c>
      <c r="C1079" s="510" t="s">
        <v>2165</v>
      </c>
      <c r="D1079" s="511">
        <v>23</v>
      </c>
      <c r="E1079" s="511">
        <v>0</v>
      </c>
      <c r="F1079" s="511">
        <v>23</v>
      </c>
    </row>
    <row r="1080" spans="2:6">
      <c r="B1080" s="269" t="s">
        <v>4008</v>
      </c>
      <c r="C1080" s="269" t="s">
        <v>2165</v>
      </c>
      <c r="D1080" s="512">
        <v>67</v>
      </c>
      <c r="E1080" s="512">
        <v>0</v>
      </c>
      <c r="F1080" s="512">
        <v>67</v>
      </c>
    </row>
    <row r="1081" spans="2:6">
      <c r="B1081" s="510" t="s">
        <v>4009</v>
      </c>
      <c r="C1081" s="510" t="s">
        <v>2165</v>
      </c>
      <c r="D1081" s="511">
        <v>65</v>
      </c>
      <c r="E1081" s="511">
        <v>0</v>
      </c>
      <c r="F1081" s="511">
        <v>65</v>
      </c>
    </row>
    <row r="1082" spans="2:6">
      <c r="B1082" s="269" t="s">
        <v>2118</v>
      </c>
      <c r="C1082" s="269" t="s">
        <v>2144</v>
      </c>
      <c r="D1082" s="512">
        <v>60</v>
      </c>
      <c r="E1082" s="512">
        <v>0</v>
      </c>
      <c r="F1082" s="512">
        <v>60</v>
      </c>
    </row>
    <row r="1083" spans="2:6">
      <c r="B1083" s="510" t="s">
        <v>407</v>
      </c>
      <c r="C1083" s="510" t="s">
        <v>2165</v>
      </c>
      <c r="D1083" s="511">
        <v>56</v>
      </c>
      <c r="E1083" s="511">
        <v>0</v>
      </c>
      <c r="F1083" s="511">
        <v>56</v>
      </c>
    </row>
    <row r="1084" spans="2:6">
      <c r="B1084" s="269" t="s">
        <v>372</v>
      </c>
      <c r="C1084" s="269" t="s">
        <v>2165</v>
      </c>
      <c r="D1084" s="512">
        <v>55</v>
      </c>
      <c r="E1084" s="512">
        <v>0</v>
      </c>
      <c r="F1084" s="512">
        <v>55</v>
      </c>
    </row>
    <row r="1085" spans="2:6">
      <c r="B1085" s="510" t="s">
        <v>4011</v>
      </c>
      <c r="C1085" s="510" t="s">
        <v>3825</v>
      </c>
      <c r="D1085" s="511">
        <v>50</v>
      </c>
      <c r="E1085" s="511">
        <v>0</v>
      </c>
      <c r="F1085" s="511">
        <v>50</v>
      </c>
    </row>
    <row r="1086" spans="2:6">
      <c r="B1086" s="269" t="s">
        <v>4010</v>
      </c>
      <c r="C1086" s="269" t="s">
        <v>3825</v>
      </c>
      <c r="D1086" s="512">
        <v>50</v>
      </c>
      <c r="E1086" s="512">
        <v>0</v>
      </c>
      <c r="F1086" s="512">
        <v>50</v>
      </c>
    </row>
    <row r="1087" spans="2:6">
      <c r="B1087" s="510" t="s">
        <v>4012</v>
      </c>
      <c r="C1087" s="510" t="s">
        <v>2165</v>
      </c>
      <c r="D1087" s="511">
        <v>50</v>
      </c>
      <c r="E1087" s="511">
        <v>0</v>
      </c>
      <c r="F1087" s="511">
        <v>50</v>
      </c>
    </row>
    <row r="1088" spans="2:6">
      <c r="B1088" s="269" t="s">
        <v>4014</v>
      </c>
      <c r="C1088" s="269" t="s">
        <v>3825</v>
      </c>
      <c r="D1088" s="512">
        <v>50</v>
      </c>
      <c r="E1088" s="512">
        <v>0</v>
      </c>
      <c r="F1088" s="512">
        <v>50</v>
      </c>
    </row>
    <row r="1089" spans="2:6">
      <c r="B1089" s="510" t="s">
        <v>4013</v>
      </c>
      <c r="C1089" s="510" t="s">
        <v>3825</v>
      </c>
      <c r="D1089" s="511">
        <v>50</v>
      </c>
      <c r="E1089" s="511">
        <v>0</v>
      </c>
      <c r="F1089" s="511">
        <v>50</v>
      </c>
    </row>
    <row r="1090" spans="2:6">
      <c r="B1090" s="269" t="s">
        <v>4015</v>
      </c>
      <c r="C1090" s="269" t="s">
        <v>3825</v>
      </c>
      <c r="D1090" s="512">
        <v>50</v>
      </c>
      <c r="E1090" s="512">
        <v>0</v>
      </c>
      <c r="F1090" s="512">
        <v>50</v>
      </c>
    </row>
    <row r="1091" spans="2:6">
      <c r="B1091" s="510" t="s">
        <v>4016</v>
      </c>
      <c r="C1091" s="510" t="s">
        <v>2165</v>
      </c>
      <c r="D1091" s="511">
        <v>39</v>
      </c>
      <c r="E1091" s="511">
        <v>0</v>
      </c>
      <c r="F1091" s="511">
        <v>39</v>
      </c>
    </row>
    <row r="1092" spans="2:6">
      <c r="B1092" s="269" t="s">
        <v>509</v>
      </c>
      <c r="C1092" s="269" t="s">
        <v>2165</v>
      </c>
      <c r="D1092" s="512">
        <v>38</v>
      </c>
      <c r="E1092" s="512">
        <v>0</v>
      </c>
      <c r="F1092" s="512">
        <v>38</v>
      </c>
    </row>
    <row r="1093" spans="2:6">
      <c r="B1093" s="510" t="s">
        <v>545</v>
      </c>
      <c r="C1093" s="510" t="s">
        <v>2165</v>
      </c>
      <c r="D1093" s="511">
        <v>37</v>
      </c>
      <c r="E1093" s="511">
        <v>0</v>
      </c>
      <c r="F1093" s="511">
        <v>37</v>
      </c>
    </row>
    <row r="1094" spans="2:6">
      <c r="B1094" s="269" t="s">
        <v>351</v>
      </c>
      <c r="C1094" s="269" t="s">
        <v>2165</v>
      </c>
      <c r="D1094" s="512">
        <v>35</v>
      </c>
      <c r="E1094" s="512">
        <v>0</v>
      </c>
      <c r="F1094" s="512">
        <v>35</v>
      </c>
    </row>
    <row r="1095" spans="2:6">
      <c r="B1095" s="510" t="s">
        <v>2120</v>
      </c>
      <c r="C1095" s="510" t="s">
        <v>2168</v>
      </c>
      <c r="D1095" s="511">
        <v>16</v>
      </c>
      <c r="E1095" s="511">
        <v>0</v>
      </c>
      <c r="F1095" s="511">
        <v>16</v>
      </c>
    </row>
    <row r="1096" spans="2:6">
      <c r="B1096" s="269" t="s">
        <v>2120</v>
      </c>
      <c r="C1096" s="269" t="s">
        <v>2165</v>
      </c>
      <c r="D1096" s="512">
        <v>16</v>
      </c>
      <c r="E1096" s="512">
        <v>0</v>
      </c>
      <c r="F1096" s="512">
        <v>16</v>
      </c>
    </row>
    <row r="1097" spans="2:6">
      <c r="B1097" s="510" t="s">
        <v>4017</v>
      </c>
      <c r="C1097" s="510" t="s">
        <v>2165</v>
      </c>
      <c r="D1097" s="511">
        <v>30</v>
      </c>
      <c r="E1097" s="511">
        <v>0</v>
      </c>
      <c r="F1097" s="511">
        <v>30</v>
      </c>
    </row>
    <row r="1098" spans="2:6">
      <c r="B1098" s="269" t="s">
        <v>520</v>
      </c>
      <c r="C1098" s="269" t="s">
        <v>2165</v>
      </c>
      <c r="D1098" s="512">
        <v>30</v>
      </c>
      <c r="E1098" s="512">
        <v>0</v>
      </c>
      <c r="F1098" s="512">
        <v>30</v>
      </c>
    </row>
    <row r="1099" spans="2:6">
      <c r="B1099" s="510" t="s">
        <v>232</v>
      </c>
      <c r="C1099" s="510" t="s">
        <v>2168</v>
      </c>
      <c r="D1099" s="511">
        <v>15</v>
      </c>
      <c r="E1099" s="511">
        <v>0</v>
      </c>
      <c r="F1099" s="511">
        <v>15</v>
      </c>
    </row>
    <row r="1100" spans="2:6">
      <c r="B1100" s="269" t="s">
        <v>232</v>
      </c>
      <c r="C1100" s="269" t="s">
        <v>2165</v>
      </c>
      <c r="D1100" s="512">
        <v>15</v>
      </c>
      <c r="E1100" s="512">
        <v>0</v>
      </c>
      <c r="F1100" s="512">
        <v>15</v>
      </c>
    </row>
    <row r="1101" spans="2:6">
      <c r="B1101" s="510" t="s">
        <v>356</v>
      </c>
      <c r="C1101" s="510" t="s">
        <v>2165</v>
      </c>
      <c r="D1101" s="511">
        <v>28</v>
      </c>
      <c r="E1101" s="511">
        <v>0</v>
      </c>
      <c r="F1101" s="511">
        <v>28</v>
      </c>
    </row>
    <row r="1102" spans="2:6">
      <c r="B1102" s="269" t="s">
        <v>394</v>
      </c>
      <c r="C1102" s="269" t="s">
        <v>2165</v>
      </c>
      <c r="D1102" s="512">
        <v>27</v>
      </c>
      <c r="E1102" s="512">
        <v>0</v>
      </c>
      <c r="F1102" s="512">
        <v>27</v>
      </c>
    </row>
    <row r="1103" spans="2:6">
      <c r="B1103" s="510" t="s">
        <v>346</v>
      </c>
      <c r="C1103" s="510" t="s">
        <v>2165</v>
      </c>
      <c r="D1103" s="511">
        <v>27</v>
      </c>
      <c r="E1103" s="511">
        <v>0</v>
      </c>
      <c r="F1103" s="511">
        <v>27</v>
      </c>
    </row>
    <row r="1104" spans="2:6">
      <c r="B1104" s="269" t="s">
        <v>483</v>
      </c>
      <c r="C1104" s="269" t="s">
        <v>2165</v>
      </c>
      <c r="D1104" s="512">
        <v>26</v>
      </c>
      <c r="E1104" s="512">
        <v>0</v>
      </c>
      <c r="F1104" s="512">
        <v>26</v>
      </c>
    </row>
    <row r="1105" spans="2:6">
      <c r="B1105" s="510" t="s">
        <v>2121</v>
      </c>
      <c r="C1105" s="510" t="s">
        <v>2178</v>
      </c>
      <c r="D1105" s="511">
        <v>21</v>
      </c>
      <c r="E1105" s="511">
        <v>0</v>
      </c>
      <c r="F1105" s="511">
        <v>21</v>
      </c>
    </row>
    <row r="1106" spans="2:6">
      <c r="B1106" s="269" t="s">
        <v>2121</v>
      </c>
      <c r="C1106" s="269" t="s">
        <v>2168</v>
      </c>
      <c r="D1106" s="512">
        <v>3</v>
      </c>
      <c r="E1106" s="512">
        <v>0</v>
      </c>
      <c r="F1106" s="512">
        <v>3</v>
      </c>
    </row>
    <row r="1107" spans="2:6">
      <c r="B1107" s="510" t="s">
        <v>2121</v>
      </c>
      <c r="C1107" s="510" t="s">
        <v>2165</v>
      </c>
      <c r="D1107" s="511">
        <v>2</v>
      </c>
      <c r="E1107" s="511">
        <v>0</v>
      </c>
      <c r="F1107" s="511">
        <v>2</v>
      </c>
    </row>
    <row r="1108" spans="2:6">
      <c r="B1108" s="269" t="s">
        <v>384</v>
      </c>
      <c r="C1108" s="269" t="s">
        <v>2165</v>
      </c>
      <c r="D1108" s="512">
        <v>22</v>
      </c>
      <c r="E1108" s="512">
        <v>0</v>
      </c>
      <c r="F1108" s="512">
        <v>22</v>
      </c>
    </row>
    <row r="1109" spans="2:6">
      <c r="B1109" s="510" t="s">
        <v>392</v>
      </c>
      <c r="C1109" s="510" t="s">
        <v>2165</v>
      </c>
      <c r="D1109" s="511">
        <v>22</v>
      </c>
      <c r="E1109" s="511">
        <v>0</v>
      </c>
      <c r="F1109" s="511">
        <v>22</v>
      </c>
    </row>
    <row r="1110" spans="2:6">
      <c r="B1110" s="269" t="s">
        <v>2122</v>
      </c>
      <c r="C1110" s="269" t="s">
        <v>2168</v>
      </c>
      <c r="D1110" s="512">
        <v>11</v>
      </c>
      <c r="E1110" s="512">
        <v>0</v>
      </c>
      <c r="F1110" s="512">
        <v>11</v>
      </c>
    </row>
    <row r="1111" spans="2:6">
      <c r="B1111" s="510" t="s">
        <v>2122</v>
      </c>
      <c r="C1111" s="510" t="s">
        <v>2165</v>
      </c>
      <c r="D1111" s="511">
        <v>11</v>
      </c>
      <c r="E1111" s="511">
        <v>0</v>
      </c>
      <c r="F1111" s="511">
        <v>11</v>
      </c>
    </row>
    <row r="1112" spans="2:6">
      <c r="B1112" s="269" t="s">
        <v>391</v>
      </c>
      <c r="C1112" s="269" t="s">
        <v>2165</v>
      </c>
      <c r="D1112" s="512">
        <v>22</v>
      </c>
      <c r="E1112" s="512">
        <v>0</v>
      </c>
      <c r="F1112" s="512">
        <v>22</v>
      </c>
    </row>
    <row r="1113" spans="2:6">
      <c r="B1113" s="510" t="s">
        <v>374</v>
      </c>
      <c r="C1113" s="510" t="s">
        <v>2165</v>
      </c>
      <c r="D1113" s="511">
        <v>22</v>
      </c>
      <c r="E1113" s="511">
        <v>0</v>
      </c>
      <c r="F1113" s="511">
        <v>22</v>
      </c>
    </row>
    <row r="1114" spans="2:6">
      <c r="B1114" s="269" t="s">
        <v>370</v>
      </c>
      <c r="C1114" s="269" t="s">
        <v>2165</v>
      </c>
      <c r="D1114" s="512">
        <v>21</v>
      </c>
      <c r="E1114" s="512">
        <v>0</v>
      </c>
      <c r="F1114" s="512">
        <v>21</v>
      </c>
    </row>
    <row r="1115" spans="2:6">
      <c r="B1115" s="510" t="s">
        <v>536</v>
      </c>
      <c r="C1115" s="510" t="s">
        <v>2165</v>
      </c>
      <c r="D1115" s="511">
        <v>20</v>
      </c>
      <c r="E1115" s="511">
        <v>0</v>
      </c>
      <c r="F1115" s="511">
        <v>20</v>
      </c>
    </row>
    <row r="1116" spans="2:6">
      <c r="B1116" s="269" t="s">
        <v>2123</v>
      </c>
      <c r="C1116" s="269" t="s">
        <v>2168</v>
      </c>
      <c r="D1116" s="512">
        <v>9</v>
      </c>
      <c r="E1116" s="512">
        <v>0</v>
      </c>
      <c r="F1116" s="512">
        <v>9</v>
      </c>
    </row>
    <row r="1117" spans="2:6">
      <c r="B1117" s="510" t="s">
        <v>2123</v>
      </c>
      <c r="C1117" s="510" t="s">
        <v>2165</v>
      </c>
      <c r="D1117" s="511">
        <v>9</v>
      </c>
      <c r="E1117" s="511">
        <v>0</v>
      </c>
      <c r="F1117" s="511">
        <v>9</v>
      </c>
    </row>
    <row r="1118" spans="2:6">
      <c r="B1118" s="269" t="s">
        <v>419</v>
      </c>
      <c r="C1118" s="269" t="s">
        <v>2165</v>
      </c>
      <c r="D1118" s="512">
        <v>18</v>
      </c>
      <c r="E1118" s="512">
        <v>0</v>
      </c>
      <c r="F1118" s="512">
        <v>18</v>
      </c>
    </row>
    <row r="1119" spans="2:6">
      <c r="B1119" s="510" t="s">
        <v>2124</v>
      </c>
      <c r="C1119" s="510" t="s">
        <v>2168</v>
      </c>
      <c r="D1119" s="511">
        <v>9</v>
      </c>
      <c r="E1119" s="511">
        <v>0</v>
      </c>
      <c r="F1119" s="511">
        <v>9</v>
      </c>
    </row>
    <row r="1120" spans="2:6">
      <c r="B1120" s="269" t="s">
        <v>2124</v>
      </c>
      <c r="C1120" s="269" t="s">
        <v>2165</v>
      </c>
      <c r="D1120" s="512">
        <v>9</v>
      </c>
      <c r="E1120" s="512">
        <v>0</v>
      </c>
      <c r="F1120" s="512">
        <v>9</v>
      </c>
    </row>
    <row r="1121" spans="2:6">
      <c r="B1121" s="510" t="s">
        <v>423</v>
      </c>
      <c r="C1121" s="510" t="s">
        <v>2165</v>
      </c>
      <c r="D1121" s="511">
        <v>18</v>
      </c>
      <c r="E1121" s="511">
        <v>0</v>
      </c>
      <c r="F1121" s="511">
        <v>18</v>
      </c>
    </row>
    <row r="1122" spans="2:6">
      <c r="B1122" s="269" t="s">
        <v>367</v>
      </c>
      <c r="C1122" s="269" t="s">
        <v>2165</v>
      </c>
      <c r="D1122" s="512">
        <v>17</v>
      </c>
      <c r="E1122" s="512">
        <v>0</v>
      </c>
      <c r="F1122" s="512">
        <v>17</v>
      </c>
    </row>
    <row r="1123" spans="2:6">
      <c r="B1123" s="510" t="s">
        <v>2125</v>
      </c>
      <c r="C1123" s="510" t="s">
        <v>2165</v>
      </c>
      <c r="D1123" s="511">
        <v>16</v>
      </c>
      <c r="E1123" s="511">
        <v>0</v>
      </c>
      <c r="F1123" s="511">
        <v>16</v>
      </c>
    </row>
    <row r="1124" spans="2:6">
      <c r="B1124" s="269" t="s">
        <v>537</v>
      </c>
      <c r="C1124" s="269" t="s">
        <v>2165</v>
      </c>
      <c r="D1124" s="512">
        <v>16</v>
      </c>
      <c r="E1124" s="512">
        <v>0</v>
      </c>
      <c r="F1124" s="512">
        <v>16</v>
      </c>
    </row>
    <row r="1125" spans="2:6">
      <c r="B1125" s="510" t="s">
        <v>411</v>
      </c>
      <c r="C1125" s="510" t="s">
        <v>2165</v>
      </c>
      <c r="D1125" s="511">
        <v>13</v>
      </c>
      <c r="E1125" s="511">
        <v>0</v>
      </c>
      <c r="F1125" s="511">
        <v>13</v>
      </c>
    </row>
    <row r="1126" spans="2:6">
      <c r="B1126" s="269" t="s">
        <v>385</v>
      </c>
      <c r="C1126" s="269" t="s">
        <v>2165</v>
      </c>
      <c r="D1126" s="512">
        <v>13</v>
      </c>
      <c r="E1126" s="512">
        <v>0</v>
      </c>
      <c r="F1126" s="512">
        <v>13</v>
      </c>
    </row>
    <row r="1127" spans="2:6">
      <c r="B1127" s="510" t="s">
        <v>4018</v>
      </c>
      <c r="C1127" s="510" t="s">
        <v>2165</v>
      </c>
      <c r="D1127" s="511">
        <v>12</v>
      </c>
      <c r="E1127" s="511">
        <v>0</v>
      </c>
      <c r="F1127" s="511">
        <v>12</v>
      </c>
    </row>
    <row r="1128" spans="2:6">
      <c r="B1128" s="269" t="s">
        <v>2126</v>
      </c>
      <c r="C1128" s="269" t="s">
        <v>2165</v>
      </c>
      <c r="D1128" s="512">
        <v>12</v>
      </c>
      <c r="E1128" s="512">
        <v>0</v>
      </c>
      <c r="F1128" s="512">
        <v>12</v>
      </c>
    </row>
    <row r="1129" spans="2:6">
      <c r="B1129" s="510" t="s">
        <v>546</v>
      </c>
      <c r="C1129" s="510" t="s">
        <v>2165</v>
      </c>
      <c r="D1129" s="511">
        <v>11</v>
      </c>
      <c r="E1129" s="511">
        <v>0</v>
      </c>
      <c r="F1129" s="511">
        <v>11</v>
      </c>
    </row>
    <row r="1130" spans="2:6">
      <c r="B1130" s="269" t="s">
        <v>388</v>
      </c>
      <c r="C1130" s="269" t="s">
        <v>2165</v>
      </c>
      <c r="D1130" s="512">
        <v>10</v>
      </c>
      <c r="E1130" s="512">
        <v>0</v>
      </c>
      <c r="F1130" s="512">
        <v>10</v>
      </c>
    </row>
    <row r="1131" spans="2:6">
      <c r="B1131" s="510" t="s">
        <v>2128</v>
      </c>
      <c r="C1131" s="510" t="s">
        <v>2165</v>
      </c>
      <c r="D1131" s="511">
        <v>9</v>
      </c>
      <c r="E1131" s="511">
        <v>0</v>
      </c>
      <c r="F1131" s="511">
        <v>9</v>
      </c>
    </row>
    <row r="1132" spans="2:6">
      <c r="B1132" s="269" t="s">
        <v>2127</v>
      </c>
      <c r="C1132" s="269" t="s">
        <v>2141</v>
      </c>
      <c r="D1132" s="512">
        <v>9</v>
      </c>
      <c r="E1132" s="512">
        <v>0</v>
      </c>
      <c r="F1132" s="512">
        <v>9</v>
      </c>
    </row>
    <row r="1133" spans="2:6">
      <c r="B1133" s="510" t="s">
        <v>4019</v>
      </c>
      <c r="C1133" s="510" t="s">
        <v>2165</v>
      </c>
      <c r="D1133" s="511">
        <v>9</v>
      </c>
      <c r="E1133" s="511">
        <v>0</v>
      </c>
      <c r="F1133" s="511">
        <v>9</v>
      </c>
    </row>
    <row r="1134" spans="2:6">
      <c r="B1134" s="269" t="s">
        <v>4020</v>
      </c>
      <c r="C1134" s="269" t="s">
        <v>2165</v>
      </c>
      <c r="D1134" s="512">
        <v>9</v>
      </c>
      <c r="E1134" s="512">
        <v>0</v>
      </c>
      <c r="F1134" s="512">
        <v>9</v>
      </c>
    </row>
    <row r="1135" spans="2:6">
      <c r="B1135" s="510" t="s">
        <v>355</v>
      </c>
      <c r="C1135" s="510" t="s">
        <v>2165</v>
      </c>
      <c r="D1135" s="511">
        <v>9</v>
      </c>
      <c r="E1135" s="511">
        <v>0</v>
      </c>
      <c r="F1135" s="511">
        <v>9</v>
      </c>
    </row>
    <row r="1136" spans="2:6">
      <c r="B1136" s="269" t="s">
        <v>365</v>
      </c>
      <c r="C1136" s="269" t="s">
        <v>2168</v>
      </c>
      <c r="D1136" s="512">
        <v>4</v>
      </c>
      <c r="E1136" s="512">
        <v>0</v>
      </c>
      <c r="F1136" s="512">
        <v>4</v>
      </c>
    </row>
    <row r="1137" spans="2:6">
      <c r="B1137" s="510" t="s">
        <v>365</v>
      </c>
      <c r="C1137" s="510" t="s">
        <v>2165</v>
      </c>
      <c r="D1137" s="511">
        <v>4</v>
      </c>
      <c r="E1137" s="511">
        <v>0</v>
      </c>
      <c r="F1137" s="511">
        <v>4</v>
      </c>
    </row>
    <row r="1138" spans="2:6">
      <c r="B1138" s="269" t="s">
        <v>541</v>
      </c>
      <c r="C1138" s="269" t="s">
        <v>2165</v>
      </c>
      <c r="D1138" s="512">
        <v>7</v>
      </c>
      <c r="E1138" s="512">
        <v>0</v>
      </c>
      <c r="F1138" s="512">
        <v>7</v>
      </c>
    </row>
    <row r="1139" spans="2:6">
      <c r="B1139" s="510" t="s">
        <v>4021</v>
      </c>
      <c r="C1139" s="510" t="s">
        <v>2165</v>
      </c>
      <c r="D1139" s="511">
        <v>7</v>
      </c>
      <c r="E1139" s="511">
        <v>0</v>
      </c>
      <c r="F1139" s="511">
        <v>7</v>
      </c>
    </row>
    <row r="1140" spans="2:6">
      <c r="B1140" s="269" t="s">
        <v>2130</v>
      </c>
      <c r="C1140" s="269" t="s">
        <v>2165</v>
      </c>
      <c r="D1140" s="512">
        <v>6</v>
      </c>
      <c r="E1140" s="512">
        <v>0</v>
      </c>
      <c r="F1140" s="512">
        <v>6</v>
      </c>
    </row>
    <row r="1141" spans="2:6">
      <c r="B1141" s="510" t="s">
        <v>4022</v>
      </c>
      <c r="C1141" s="510" t="s">
        <v>2165</v>
      </c>
      <c r="D1141" s="511">
        <v>6</v>
      </c>
      <c r="E1141" s="511">
        <v>0</v>
      </c>
      <c r="F1141" s="511">
        <v>6</v>
      </c>
    </row>
    <row r="1142" spans="2:6">
      <c r="B1142" s="269" t="s">
        <v>542</v>
      </c>
      <c r="C1142" s="269" t="s">
        <v>2165</v>
      </c>
      <c r="D1142" s="512">
        <v>6</v>
      </c>
      <c r="E1142" s="512">
        <v>0</v>
      </c>
      <c r="F1142" s="512">
        <v>6</v>
      </c>
    </row>
    <row r="1143" spans="2:6">
      <c r="B1143" s="510" t="s">
        <v>2131</v>
      </c>
      <c r="C1143" s="510" t="s">
        <v>2168</v>
      </c>
      <c r="D1143" s="511">
        <v>2</v>
      </c>
      <c r="E1143" s="511">
        <v>0</v>
      </c>
      <c r="F1143" s="511">
        <v>2</v>
      </c>
    </row>
    <row r="1144" spans="2:6">
      <c r="B1144" s="269" t="s">
        <v>2131</v>
      </c>
      <c r="C1144" s="269" t="s">
        <v>2165</v>
      </c>
      <c r="D1144" s="512">
        <v>2</v>
      </c>
      <c r="E1144" s="512">
        <v>0</v>
      </c>
      <c r="F1144" s="512">
        <v>2</v>
      </c>
    </row>
    <row r="1145" spans="2:6">
      <c r="B1145" s="510" t="s">
        <v>543</v>
      </c>
      <c r="C1145" s="510" t="s">
        <v>2165</v>
      </c>
      <c r="D1145" s="511">
        <v>4</v>
      </c>
      <c r="E1145" s="511">
        <v>0</v>
      </c>
      <c r="F1145" s="511">
        <v>4</v>
      </c>
    </row>
    <row r="1146" spans="2:6">
      <c r="B1146" s="269" t="s">
        <v>2132</v>
      </c>
      <c r="C1146" s="269" t="s">
        <v>2165</v>
      </c>
      <c r="D1146" s="512">
        <v>3</v>
      </c>
      <c r="E1146" s="512">
        <v>0</v>
      </c>
      <c r="F1146" s="512">
        <v>3</v>
      </c>
    </row>
    <row r="1147" spans="2:6">
      <c r="B1147" s="510" t="s">
        <v>422</v>
      </c>
      <c r="C1147" s="510" t="s">
        <v>2165</v>
      </c>
      <c r="D1147" s="511">
        <v>2</v>
      </c>
      <c r="E1147" s="511">
        <v>0</v>
      </c>
      <c r="F1147" s="511">
        <v>2</v>
      </c>
    </row>
    <row r="1148" spans="2:6">
      <c r="B1148" s="269" t="s">
        <v>2133</v>
      </c>
      <c r="C1148" s="269" t="s">
        <v>2165</v>
      </c>
      <c r="D1148" s="512">
        <v>2</v>
      </c>
      <c r="E1148" s="512">
        <v>0</v>
      </c>
      <c r="F1148" s="512">
        <v>2</v>
      </c>
    </row>
    <row r="1149" spans="2:6">
      <c r="B1149" s="510" t="s">
        <v>364</v>
      </c>
      <c r="C1149" s="510" t="s">
        <v>2165</v>
      </c>
      <c r="D1149" s="511">
        <v>2</v>
      </c>
      <c r="E1149" s="511">
        <v>0</v>
      </c>
      <c r="F1149" s="511">
        <v>2</v>
      </c>
    </row>
    <row r="1150" spans="2:6" ht="14.4">
      <c r="B1150" s="218"/>
      <c r="C1150" s="218"/>
      <c r="D1150" s="513">
        <f>SUM(D5:D1149)</f>
        <v>119563792</v>
      </c>
      <c r="E1150" s="513">
        <f>SUM(E5:E1149)</f>
        <v>5484841</v>
      </c>
      <c r="F1150" s="513">
        <f>SUM(F5:F1149)</f>
        <v>125048633</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Q136"/>
  <sheetViews>
    <sheetView workbookViewId="0">
      <selection activeCell="E10" sqref="E10"/>
    </sheetView>
  </sheetViews>
  <sheetFormatPr baseColWidth="10" defaultRowHeight="13.8"/>
  <cols>
    <col min="2" max="2" width="47.69921875" bestFit="1" customWidth="1"/>
    <col min="5" max="5" width="14.3984375" bestFit="1" customWidth="1"/>
    <col min="7" max="7" width="14.3984375" bestFit="1" customWidth="1"/>
    <col min="9" max="9" width="14.3984375" bestFit="1" customWidth="1"/>
    <col min="11" max="11" width="14.3984375" bestFit="1" customWidth="1"/>
    <col min="13" max="13" width="15.3984375" bestFit="1" customWidth="1"/>
  </cols>
  <sheetData>
    <row r="2" spans="1:69" ht="14.4">
      <c r="A2" s="483" t="s">
        <v>6379</v>
      </c>
    </row>
    <row r="3" spans="1:69">
      <c r="A3" s="484"/>
    </row>
    <row r="4" spans="1:69">
      <c r="A4" s="484"/>
    </row>
    <row r="5" spans="1:69" ht="16.2">
      <c r="A5" s="485" t="s">
        <v>6363</v>
      </c>
    </row>
    <row r="6" spans="1:69" ht="14.4">
      <c r="A6" s="546" t="s">
        <v>609</v>
      </c>
      <c r="B6" s="546" t="s">
        <v>610</v>
      </c>
      <c r="C6" s="785" t="s">
        <v>611</v>
      </c>
      <c r="D6" s="780" t="s">
        <v>6364</v>
      </c>
      <c r="E6" s="781"/>
      <c r="F6" s="781"/>
      <c r="G6" s="781"/>
      <c r="H6" s="781"/>
      <c r="I6" s="781"/>
      <c r="J6" s="781"/>
      <c r="K6" s="781"/>
      <c r="L6" s="781"/>
      <c r="M6" s="781"/>
      <c r="N6" s="781"/>
      <c r="O6" s="781"/>
      <c r="P6" s="781"/>
      <c r="Q6" s="781"/>
      <c r="R6" s="781"/>
      <c r="S6" s="782"/>
      <c r="T6" s="780" t="s">
        <v>6365</v>
      </c>
      <c r="U6" s="781"/>
      <c r="V6" s="781"/>
      <c r="W6" s="781"/>
      <c r="X6" s="781"/>
      <c r="Y6" s="781"/>
      <c r="Z6" s="781"/>
      <c r="AA6" s="781"/>
      <c r="AB6" s="781"/>
      <c r="AC6" s="781"/>
      <c r="AD6" s="781"/>
      <c r="AE6" s="781"/>
      <c r="AF6" s="781"/>
      <c r="AG6" s="781"/>
      <c r="AH6" s="781"/>
      <c r="AI6" s="782"/>
      <c r="AJ6" s="780" t="s">
        <v>6366</v>
      </c>
      <c r="AK6" s="781"/>
      <c r="AL6" s="781"/>
      <c r="AM6" s="781"/>
      <c r="AN6" s="781"/>
      <c r="AO6" s="781"/>
      <c r="AP6" s="781"/>
      <c r="AQ6" s="781"/>
      <c r="AR6" s="781"/>
      <c r="AS6" s="781"/>
      <c r="AT6" s="781"/>
      <c r="AU6" s="781"/>
      <c r="AV6" s="781"/>
      <c r="AW6" s="781"/>
      <c r="AX6" s="781"/>
      <c r="AY6" s="782"/>
      <c r="AZ6" s="780" t="s">
        <v>6367</v>
      </c>
      <c r="BA6" s="781"/>
      <c r="BB6" s="781"/>
      <c r="BC6" s="781"/>
      <c r="BD6" s="781"/>
      <c r="BE6" s="781"/>
      <c r="BF6" s="781"/>
      <c r="BG6" s="781"/>
      <c r="BH6" s="781"/>
      <c r="BI6" s="781"/>
      <c r="BJ6" s="781"/>
      <c r="BK6" s="781"/>
      <c r="BL6" s="781"/>
      <c r="BM6" s="781"/>
      <c r="BN6" s="781"/>
      <c r="BO6" s="782"/>
      <c r="BP6" s="783" t="s">
        <v>6368</v>
      </c>
      <c r="BQ6" s="785" t="s">
        <v>6369</v>
      </c>
    </row>
    <row r="7" spans="1:69">
      <c r="A7" s="546"/>
      <c r="B7" s="546"/>
      <c r="C7" s="785"/>
      <c r="D7" s="774" t="s">
        <v>6370</v>
      </c>
      <c r="E7" s="775"/>
      <c r="F7" s="775"/>
      <c r="G7" s="776"/>
      <c r="H7" s="774" t="s">
        <v>6371</v>
      </c>
      <c r="I7" s="775"/>
      <c r="J7" s="775"/>
      <c r="K7" s="776"/>
      <c r="L7" s="774" t="s">
        <v>6372</v>
      </c>
      <c r="M7" s="775"/>
      <c r="N7" s="775"/>
      <c r="O7" s="776"/>
      <c r="P7" s="774" t="s">
        <v>6373</v>
      </c>
      <c r="Q7" s="775"/>
      <c r="R7" s="775"/>
      <c r="S7" s="776"/>
      <c r="T7" s="774" t="s">
        <v>6370</v>
      </c>
      <c r="U7" s="775"/>
      <c r="V7" s="775"/>
      <c r="W7" s="776"/>
      <c r="X7" s="774" t="s">
        <v>6371</v>
      </c>
      <c r="Y7" s="775"/>
      <c r="Z7" s="775"/>
      <c r="AA7" s="776"/>
      <c r="AB7" s="774" t="s">
        <v>6372</v>
      </c>
      <c r="AC7" s="775"/>
      <c r="AD7" s="775"/>
      <c r="AE7" s="776"/>
      <c r="AF7" s="774" t="s">
        <v>6373</v>
      </c>
      <c r="AG7" s="775"/>
      <c r="AH7" s="775"/>
      <c r="AI7" s="776"/>
      <c r="AJ7" s="774" t="s">
        <v>6370</v>
      </c>
      <c r="AK7" s="775"/>
      <c r="AL7" s="775"/>
      <c r="AM7" s="776"/>
      <c r="AN7" s="774" t="s">
        <v>6371</v>
      </c>
      <c r="AO7" s="775"/>
      <c r="AP7" s="775"/>
      <c r="AQ7" s="776"/>
      <c r="AR7" s="774" t="s">
        <v>6372</v>
      </c>
      <c r="AS7" s="775"/>
      <c r="AT7" s="775"/>
      <c r="AU7" s="776"/>
      <c r="AV7" s="774" t="s">
        <v>6373</v>
      </c>
      <c r="AW7" s="775"/>
      <c r="AX7" s="775"/>
      <c r="AY7" s="776"/>
      <c r="AZ7" s="774" t="s">
        <v>6370</v>
      </c>
      <c r="BA7" s="775"/>
      <c r="BB7" s="775"/>
      <c r="BC7" s="776"/>
      <c r="BD7" s="774" t="s">
        <v>6371</v>
      </c>
      <c r="BE7" s="775"/>
      <c r="BF7" s="775"/>
      <c r="BG7" s="776"/>
      <c r="BH7" s="774" t="s">
        <v>6372</v>
      </c>
      <c r="BI7" s="775"/>
      <c r="BJ7" s="775"/>
      <c r="BK7" s="776"/>
      <c r="BL7" s="774" t="s">
        <v>6373</v>
      </c>
      <c r="BM7" s="775"/>
      <c r="BN7" s="775"/>
      <c r="BO7" s="776"/>
      <c r="BP7" s="783"/>
      <c r="BQ7" s="785"/>
    </row>
    <row r="8" spans="1:69">
      <c r="A8" s="547"/>
      <c r="B8" s="547"/>
      <c r="C8" s="786"/>
      <c r="D8" s="777" t="s">
        <v>6022</v>
      </c>
      <c r="E8" s="778"/>
      <c r="F8" s="777" t="s">
        <v>6374</v>
      </c>
      <c r="G8" s="778"/>
      <c r="H8" s="777" t="s">
        <v>6022</v>
      </c>
      <c r="I8" s="778"/>
      <c r="J8" s="777" t="s">
        <v>6374</v>
      </c>
      <c r="K8" s="778"/>
      <c r="L8" s="777" t="s">
        <v>6022</v>
      </c>
      <c r="M8" s="778"/>
      <c r="N8" s="777" t="s">
        <v>6374</v>
      </c>
      <c r="O8" s="778"/>
      <c r="P8" s="777" t="s">
        <v>6022</v>
      </c>
      <c r="Q8" s="778"/>
      <c r="R8" s="777" t="s">
        <v>6374</v>
      </c>
      <c r="S8" s="778"/>
      <c r="T8" s="777" t="s">
        <v>6022</v>
      </c>
      <c r="U8" s="778"/>
      <c r="V8" s="777" t="s">
        <v>6374</v>
      </c>
      <c r="W8" s="778"/>
      <c r="X8" s="777" t="s">
        <v>6022</v>
      </c>
      <c r="Y8" s="778"/>
      <c r="Z8" s="777" t="s">
        <v>6374</v>
      </c>
      <c r="AA8" s="778"/>
      <c r="AB8" s="777" t="s">
        <v>6022</v>
      </c>
      <c r="AC8" s="778"/>
      <c r="AD8" s="777" t="s">
        <v>6374</v>
      </c>
      <c r="AE8" s="778"/>
      <c r="AF8" s="777" t="s">
        <v>6022</v>
      </c>
      <c r="AG8" s="778"/>
      <c r="AH8" s="777" t="s">
        <v>6374</v>
      </c>
      <c r="AI8" s="778"/>
      <c r="AJ8" s="777" t="s">
        <v>6022</v>
      </c>
      <c r="AK8" s="778"/>
      <c r="AL8" s="777" t="s">
        <v>6374</v>
      </c>
      <c r="AM8" s="778"/>
      <c r="AN8" s="777" t="s">
        <v>6022</v>
      </c>
      <c r="AO8" s="778"/>
      <c r="AP8" s="777" t="s">
        <v>6374</v>
      </c>
      <c r="AQ8" s="778"/>
      <c r="AR8" s="777" t="s">
        <v>6022</v>
      </c>
      <c r="AS8" s="778"/>
      <c r="AT8" s="777" t="s">
        <v>6374</v>
      </c>
      <c r="AU8" s="778"/>
      <c r="AV8" s="777" t="s">
        <v>6022</v>
      </c>
      <c r="AW8" s="778"/>
      <c r="AX8" s="777" t="s">
        <v>6374</v>
      </c>
      <c r="AY8" s="778"/>
      <c r="AZ8" s="777" t="s">
        <v>6022</v>
      </c>
      <c r="BA8" s="778"/>
      <c r="BB8" s="777" t="s">
        <v>6374</v>
      </c>
      <c r="BC8" s="778"/>
      <c r="BD8" s="777" t="s">
        <v>6022</v>
      </c>
      <c r="BE8" s="778"/>
      <c r="BF8" s="777" t="s">
        <v>6374</v>
      </c>
      <c r="BG8" s="778"/>
      <c r="BH8" s="777" t="s">
        <v>6022</v>
      </c>
      <c r="BI8" s="778"/>
      <c r="BJ8" s="777" t="s">
        <v>6374</v>
      </c>
      <c r="BK8" s="778"/>
      <c r="BL8" s="777" t="s">
        <v>6022</v>
      </c>
      <c r="BM8" s="778"/>
      <c r="BN8" s="777" t="s">
        <v>6374</v>
      </c>
      <c r="BO8" s="778"/>
      <c r="BP8" s="784"/>
      <c r="BQ8" s="786"/>
    </row>
    <row r="9" spans="1:69">
      <c r="A9" s="76">
        <v>1</v>
      </c>
      <c r="B9" s="77" t="s">
        <v>97</v>
      </c>
      <c r="C9" s="76" t="s">
        <v>618</v>
      </c>
      <c r="D9" s="486">
        <v>178</v>
      </c>
      <c r="E9" s="117">
        <v>23556288.82</v>
      </c>
      <c r="F9" s="486">
        <v>2</v>
      </c>
      <c r="G9" s="117">
        <v>3057688.7</v>
      </c>
      <c r="H9" s="486">
        <v>964</v>
      </c>
      <c r="I9" s="117">
        <v>51930289.75</v>
      </c>
      <c r="J9" s="486">
        <v>109</v>
      </c>
      <c r="K9" s="117">
        <v>24914452.649999999</v>
      </c>
      <c r="L9" s="486">
        <v>4996</v>
      </c>
      <c r="M9" s="117">
        <v>115647188.89</v>
      </c>
      <c r="N9" s="486">
        <v>0</v>
      </c>
      <c r="O9" s="117">
        <v>0</v>
      </c>
      <c r="P9" s="486">
        <v>172</v>
      </c>
      <c r="Q9" s="117">
        <v>2303547.8199999998</v>
      </c>
      <c r="R9" s="486">
        <v>0</v>
      </c>
      <c r="S9" s="117">
        <v>0</v>
      </c>
      <c r="T9" s="486"/>
      <c r="U9" s="117"/>
      <c r="V9" s="486"/>
      <c r="W9" s="117"/>
      <c r="X9" s="486"/>
      <c r="Y9" s="117"/>
      <c r="Z9" s="486"/>
      <c r="AA9" s="117"/>
      <c r="AB9" s="486"/>
      <c r="AC9" s="117"/>
      <c r="AD9" s="486"/>
      <c r="AE9" s="117"/>
      <c r="AF9" s="486"/>
      <c r="AG9" s="117"/>
      <c r="AH9" s="486"/>
      <c r="AI9" s="117"/>
      <c r="AJ9" s="486"/>
      <c r="AK9" s="117"/>
      <c r="AL9" s="486"/>
      <c r="AM9" s="117"/>
      <c r="AN9" s="486"/>
      <c r="AO9" s="117"/>
      <c r="AP9" s="486"/>
      <c r="AQ9" s="117"/>
      <c r="AR9" s="486"/>
      <c r="AS9" s="117"/>
      <c r="AT9" s="486"/>
      <c r="AU9" s="117"/>
      <c r="AV9" s="486"/>
      <c r="AW9" s="117"/>
      <c r="AX9" s="486"/>
      <c r="AY9" s="117"/>
      <c r="AZ9" s="486"/>
      <c r="BA9" s="117"/>
      <c r="BB9" s="486"/>
      <c r="BC9" s="117"/>
      <c r="BD9" s="486"/>
      <c r="BE9" s="117"/>
      <c r="BF9" s="486"/>
      <c r="BG9" s="117"/>
      <c r="BH9" s="486"/>
      <c r="BI9" s="117"/>
      <c r="BJ9" s="486"/>
      <c r="BK9" s="117"/>
      <c r="BL9" s="486"/>
      <c r="BM9" s="117"/>
      <c r="BN9" s="486"/>
      <c r="BO9" s="117"/>
      <c r="BP9" s="486">
        <f>BN9+BL9+BJ9+BH9+BF9+BD9+BB9+AZ9+AX9+AV9+AT9+AR9+AP9+AN9+AL9+AJ9+AH9+AF9+AD9+AB9+Z9+X9+V9+T9+R9+P9+N9+L9+J9+H9+F9+D9</f>
        <v>6421</v>
      </c>
      <c r="BQ9" s="117">
        <f>BO9+BM9+BK9+BI9+BG9+BE9+BC9+BA9+AY9+AW9+AU9+AS9+AQ9+AO9+AM9+AK9+AI9+AG9+AE9+AC9+AA9+Y9+W9+U9+S9+Q9+O9+M9+K9+I9+G9+E9</f>
        <v>221409456.62999997</v>
      </c>
    </row>
    <row r="10" spans="1:69">
      <c r="A10" s="74">
        <v>2</v>
      </c>
      <c r="B10" s="73" t="s">
        <v>624</v>
      </c>
      <c r="C10" s="74" t="s">
        <v>625</v>
      </c>
      <c r="D10" s="487">
        <v>35</v>
      </c>
      <c r="E10" s="116">
        <v>8820505537</v>
      </c>
      <c r="F10" s="487">
        <v>33</v>
      </c>
      <c r="G10" s="116">
        <v>284759272</v>
      </c>
      <c r="H10" s="487">
        <v>273</v>
      </c>
      <c r="I10" s="116">
        <v>39209428865</v>
      </c>
      <c r="J10" s="487">
        <v>132</v>
      </c>
      <c r="K10" s="116">
        <v>671475141.83000016</v>
      </c>
      <c r="L10" s="487">
        <v>2346</v>
      </c>
      <c r="M10" s="116">
        <v>133363716483.53008</v>
      </c>
      <c r="N10" s="487">
        <v>154</v>
      </c>
      <c r="O10" s="116">
        <v>219347163.09000006</v>
      </c>
      <c r="P10" s="487">
        <v>285</v>
      </c>
      <c r="Q10" s="116">
        <v>10855476598.750002</v>
      </c>
      <c r="R10" s="487"/>
      <c r="S10" s="116"/>
      <c r="T10" s="487"/>
      <c r="U10" s="116"/>
      <c r="V10" s="487"/>
      <c r="W10" s="116"/>
      <c r="X10" s="487"/>
      <c r="Y10" s="116"/>
      <c r="Z10" s="487"/>
      <c r="AA10" s="116"/>
      <c r="AB10" s="487"/>
      <c r="AC10" s="116"/>
      <c r="AD10" s="487"/>
      <c r="AE10" s="116"/>
      <c r="AF10" s="487">
        <v>11764</v>
      </c>
      <c r="AG10" s="116">
        <v>38867247402.620003</v>
      </c>
      <c r="AH10" s="487">
        <v>1817</v>
      </c>
      <c r="AI10" s="116">
        <v>6003212217.8299999</v>
      </c>
      <c r="AJ10" s="487">
        <v>4</v>
      </c>
      <c r="AK10" s="116">
        <v>898030149.42999995</v>
      </c>
      <c r="AL10" s="487">
        <v>2</v>
      </c>
      <c r="AM10" s="116">
        <v>284759272.25</v>
      </c>
      <c r="AN10" s="487">
        <v>22</v>
      </c>
      <c r="AO10" s="116">
        <v>2724376847.8700004</v>
      </c>
      <c r="AP10" s="487">
        <v>21</v>
      </c>
      <c r="AQ10" s="116">
        <v>671475141.83000016</v>
      </c>
      <c r="AR10" s="487">
        <v>74</v>
      </c>
      <c r="AS10" s="116">
        <v>4427080382.2600012</v>
      </c>
      <c r="AT10" s="487">
        <v>17</v>
      </c>
      <c r="AU10" s="116">
        <v>219347163.09000006</v>
      </c>
      <c r="AV10" s="487">
        <v>17</v>
      </c>
      <c r="AW10" s="116">
        <v>626974709.23999989</v>
      </c>
      <c r="AX10" s="487"/>
      <c r="AY10" s="116"/>
      <c r="AZ10" s="487"/>
      <c r="BA10" s="116"/>
      <c r="BB10" s="487"/>
      <c r="BC10" s="116"/>
      <c r="BD10" s="487"/>
      <c r="BE10" s="116"/>
      <c r="BF10" s="487"/>
      <c r="BG10" s="116"/>
      <c r="BH10" s="487"/>
      <c r="BI10" s="116"/>
      <c r="BJ10" s="487"/>
      <c r="BK10" s="116"/>
      <c r="BL10" s="487">
        <v>449</v>
      </c>
      <c r="BM10" s="116">
        <v>1483457504.5699999</v>
      </c>
      <c r="BN10" s="487">
        <v>34</v>
      </c>
      <c r="BO10" s="116">
        <v>112333084.98</v>
      </c>
      <c r="BP10" s="487">
        <f t="shared" ref="BP10:BQ25" si="0">BN10+BL10+BJ10+BH10+BF10+BD10+BB10+AZ10+AX10+AV10+AT10+AR10+AP10+AN10+AL10+AJ10+AH10+AF10+AD10+AB10+Z10+X10+V10+T10+R10+P10+N10+L10+J10+H10+F10+D10</f>
        <v>17479</v>
      </c>
      <c r="BQ10" s="116">
        <f t="shared" si="0"/>
        <v>249743002937.17007</v>
      </c>
    </row>
    <row r="11" spans="1:69">
      <c r="A11" s="76">
        <v>3</v>
      </c>
      <c r="B11" s="77" t="s">
        <v>629</v>
      </c>
      <c r="C11" s="76" t="s">
        <v>630</v>
      </c>
      <c r="D11" s="486"/>
      <c r="E11" s="486"/>
      <c r="F11" s="486"/>
      <c r="G11" s="486"/>
      <c r="H11" s="486"/>
      <c r="I11" s="486"/>
      <c r="J11" s="486"/>
      <c r="K11" s="486"/>
      <c r="L11" s="486"/>
      <c r="M11" s="486"/>
      <c r="N11" s="486"/>
      <c r="O11" s="486"/>
      <c r="P11" s="486"/>
      <c r="Q11" s="486"/>
      <c r="R11" s="486"/>
      <c r="S11" s="486"/>
      <c r="T11" s="486"/>
      <c r="U11" s="486"/>
      <c r="V11" s="486"/>
      <c r="W11" s="486"/>
      <c r="X11" s="486"/>
      <c r="Y11" s="486"/>
      <c r="Z11" s="486"/>
      <c r="AA11" s="486"/>
      <c r="AB11" s="486"/>
      <c r="AC11" s="486"/>
      <c r="AD11" s="486"/>
      <c r="AE11" s="486"/>
      <c r="AF11" s="486"/>
      <c r="AG11" s="486"/>
      <c r="AH11" s="486"/>
      <c r="AI11" s="486"/>
      <c r="AJ11" s="486"/>
      <c r="AK11" s="486"/>
      <c r="AL11" s="486"/>
      <c r="AM11" s="486"/>
      <c r="AN11" s="486"/>
      <c r="AO11" s="486"/>
      <c r="AP11" s="486"/>
      <c r="AQ11" s="486"/>
      <c r="AR11" s="486"/>
      <c r="AS11" s="486"/>
      <c r="AT11" s="486"/>
      <c r="AU11" s="486"/>
      <c r="AV11" s="486"/>
      <c r="AW11" s="486"/>
      <c r="AX11" s="486"/>
      <c r="AY11" s="486"/>
      <c r="AZ11" s="486"/>
      <c r="BA11" s="486"/>
      <c r="BB11" s="486"/>
      <c r="BC11" s="486"/>
      <c r="BD11" s="486"/>
      <c r="BE11" s="486"/>
      <c r="BF11" s="486"/>
      <c r="BG11" s="486"/>
      <c r="BH11" s="486"/>
      <c r="BI11" s="486"/>
      <c r="BJ11" s="486"/>
      <c r="BK11" s="486"/>
      <c r="BL11" s="486"/>
      <c r="BM11" s="486"/>
      <c r="BN11" s="486"/>
      <c r="BO11" s="486"/>
      <c r="BP11" s="486">
        <f t="shared" si="0"/>
        <v>0</v>
      </c>
      <c r="BQ11" s="117">
        <f t="shared" si="0"/>
        <v>0</v>
      </c>
    </row>
    <row r="12" spans="1:69">
      <c r="A12" s="74">
        <v>4</v>
      </c>
      <c r="B12" s="73" t="s">
        <v>634</v>
      </c>
      <c r="C12" s="74" t="s">
        <v>630</v>
      </c>
      <c r="D12" s="487">
        <v>35</v>
      </c>
      <c r="E12" s="116"/>
      <c r="F12" s="487">
        <v>140</v>
      </c>
      <c r="G12" s="116"/>
      <c r="H12" s="487">
        <v>38</v>
      </c>
      <c r="I12" s="116"/>
      <c r="J12" s="487"/>
      <c r="K12" s="116"/>
      <c r="L12" s="487">
        <v>397</v>
      </c>
      <c r="M12" s="116"/>
      <c r="N12" s="487"/>
      <c r="O12" s="116"/>
      <c r="P12" s="487">
        <v>1252</v>
      </c>
      <c r="Q12" s="116"/>
      <c r="R12" s="487"/>
      <c r="S12" s="116"/>
      <c r="T12" s="487"/>
      <c r="U12" s="116"/>
      <c r="V12" s="487"/>
      <c r="W12" s="116"/>
      <c r="X12" s="487"/>
      <c r="Y12" s="116"/>
      <c r="Z12" s="487"/>
      <c r="AA12" s="116"/>
      <c r="AB12" s="487"/>
      <c r="AC12" s="116"/>
      <c r="AD12" s="487"/>
      <c r="AE12" s="116"/>
      <c r="AF12" s="487"/>
      <c r="AG12" s="116"/>
      <c r="AH12" s="487"/>
      <c r="AI12" s="116"/>
      <c r="AJ12" s="487">
        <v>1</v>
      </c>
      <c r="AK12" s="116"/>
      <c r="AL12" s="487">
        <v>5</v>
      </c>
      <c r="AM12" s="116"/>
      <c r="AN12" s="487">
        <v>1</v>
      </c>
      <c r="AO12" s="116"/>
      <c r="AP12" s="487"/>
      <c r="AQ12" s="116"/>
      <c r="AR12" s="487">
        <v>17</v>
      </c>
      <c r="AS12" s="116"/>
      <c r="AT12" s="487"/>
      <c r="AU12" s="116"/>
      <c r="AV12" s="487">
        <v>122</v>
      </c>
      <c r="AW12" s="116"/>
      <c r="AX12" s="487"/>
      <c r="AY12" s="116"/>
      <c r="AZ12" s="487"/>
      <c r="BA12" s="116"/>
      <c r="BB12" s="487"/>
      <c r="BC12" s="116"/>
      <c r="BD12" s="487"/>
      <c r="BE12" s="116"/>
      <c r="BF12" s="487"/>
      <c r="BG12" s="116"/>
      <c r="BH12" s="487"/>
      <c r="BI12" s="116"/>
      <c r="BJ12" s="487"/>
      <c r="BK12" s="116"/>
      <c r="BL12" s="487"/>
      <c r="BM12" s="116"/>
      <c r="BN12" s="487"/>
      <c r="BO12" s="116"/>
      <c r="BP12" s="487">
        <f t="shared" si="0"/>
        <v>2008</v>
      </c>
      <c r="BQ12" s="116">
        <f t="shared" si="0"/>
        <v>0</v>
      </c>
    </row>
    <row r="13" spans="1:69">
      <c r="A13" s="76">
        <v>5</v>
      </c>
      <c r="B13" s="77" t="s">
        <v>643</v>
      </c>
      <c r="C13" s="76" t="s">
        <v>644</v>
      </c>
      <c r="D13" s="486"/>
      <c r="E13" s="117"/>
      <c r="F13" s="486">
        <v>7</v>
      </c>
      <c r="G13" s="117">
        <v>1511070695.28109</v>
      </c>
      <c r="H13" s="486">
        <v>6</v>
      </c>
      <c r="I13" s="117">
        <v>437922659.57854098</v>
      </c>
      <c r="J13" s="486">
        <v>12</v>
      </c>
      <c r="K13" s="117">
        <v>1805385325.9231601</v>
      </c>
      <c r="L13" s="486">
        <v>121</v>
      </c>
      <c r="M13" s="117">
        <v>3267224195.0805602</v>
      </c>
      <c r="N13" s="486">
        <v>100</v>
      </c>
      <c r="O13" s="117">
        <v>10649967249.952299</v>
      </c>
      <c r="P13" s="486">
        <v>659</v>
      </c>
      <c r="Q13" s="117">
        <v>11618809583.780899</v>
      </c>
      <c r="R13" s="486"/>
      <c r="S13" s="117"/>
      <c r="T13" s="486"/>
      <c r="U13" s="117"/>
      <c r="V13" s="486"/>
      <c r="W13" s="117"/>
      <c r="X13" s="486"/>
      <c r="Y13" s="117"/>
      <c r="Z13" s="486"/>
      <c r="AA13" s="117"/>
      <c r="AB13" s="486"/>
      <c r="AC13" s="117"/>
      <c r="AD13" s="486"/>
      <c r="AE13" s="117"/>
      <c r="AF13" s="486"/>
      <c r="AG13" s="117"/>
      <c r="AH13" s="486"/>
      <c r="AI13" s="117"/>
      <c r="AJ13" s="486"/>
      <c r="AK13" s="117"/>
      <c r="AL13" s="486"/>
      <c r="AM13" s="117"/>
      <c r="AN13" s="486"/>
      <c r="AO13" s="117"/>
      <c r="AP13" s="486">
        <v>3</v>
      </c>
      <c r="AQ13" s="117">
        <v>378722360.18866801</v>
      </c>
      <c r="AR13" s="486">
        <v>13</v>
      </c>
      <c r="AS13" s="117">
        <v>295629719.07999998</v>
      </c>
      <c r="AT13" s="486">
        <v>14</v>
      </c>
      <c r="AU13" s="117">
        <v>1272495334.0838201</v>
      </c>
      <c r="AV13" s="486">
        <v>20</v>
      </c>
      <c r="AW13" s="117">
        <v>309134761.26643801</v>
      </c>
      <c r="AX13" s="486"/>
      <c r="AY13" s="117"/>
      <c r="AZ13" s="486"/>
      <c r="BA13" s="117"/>
      <c r="BB13" s="486"/>
      <c r="BC13" s="117"/>
      <c r="BD13" s="486"/>
      <c r="BE13" s="117"/>
      <c r="BF13" s="486"/>
      <c r="BG13" s="117"/>
      <c r="BH13" s="486"/>
      <c r="BI13" s="117"/>
      <c r="BJ13" s="486"/>
      <c r="BK13" s="117"/>
      <c r="BL13" s="486"/>
      <c r="BM13" s="117"/>
      <c r="BN13" s="486"/>
      <c r="BO13" s="117"/>
      <c r="BP13" s="486">
        <f t="shared" si="0"/>
        <v>955</v>
      </c>
      <c r="BQ13" s="117">
        <f t="shared" si="0"/>
        <v>31546361884.215477</v>
      </c>
    </row>
    <row r="14" spans="1:69">
      <c r="A14" s="74">
        <v>6</v>
      </c>
      <c r="B14" s="73" t="s">
        <v>648</v>
      </c>
      <c r="C14" s="74" t="s">
        <v>649</v>
      </c>
      <c r="D14" s="487"/>
      <c r="E14" s="116"/>
      <c r="F14" s="487"/>
      <c r="G14" s="116"/>
      <c r="H14" s="487"/>
      <c r="I14" s="116"/>
      <c r="J14" s="487"/>
      <c r="K14" s="116"/>
      <c r="L14" s="487"/>
      <c r="M14" s="116"/>
      <c r="N14" s="487"/>
      <c r="O14" s="116"/>
      <c r="P14" s="487"/>
      <c r="Q14" s="116"/>
      <c r="R14" s="487"/>
      <c r="S14" s="116"/>
      <c r="T14" s="487"/>
      <c r="U14" s="116"/>
      <c r="V14" s="487"/>
      <c r="W14" s="116"/>
      <c r="X14" s="487"/>
      <c r="Y14" s="116"/>
      <c r="Z14" s="487"/>
      <c r="AA14" s="116"/>
      <c r="AB14" s="487"/>
      <c r="AC14" s="116"/>
      <c r="AD14" s="487"/>
      <c r="AE14" s="116"/>
      <c r="AF14" s="487"/>
      <c r="AG14" s="116"/>
      <c r="AH14" s="487"/>
      <c r="AI14" s="116"/>
      <c r="AJ14" s="487"/>
      <c r="AK14" s="116"/>
      <c r="AL14" s="487"/>
      <c r="AM14" s="116"/>
      <c r="AN14" s="487"/>
      <c r="AO14" s="116"/>
      <c r="AP14" s="487"/>
      <c r="AQ14" s="116"/>
      <c r="AR14" s="487"/>
      <c r="AS14" s="116"/>
      <c r="AT14" s="487"/>
      <c r="AU14" s="116"/>
      <c r="AV14" s="487"/>
      <c r="AW14" s="116"/>
      <c r="AX14" s="487"/>
      <c r="AY14" s="116"/>
      <c r="AZ14" s="487"/>
      <c r="BA14" s="116"/>
      <c r="BB14" s="487"/>
      <c r="BC14" s="116"/>
      <c r="BD14" s="487"/>
      <c r="BE14" s="116"/>
      <c r="BF14" s="487"/>
      <c r="BG14" s="116"/>
      <c r="BH14" s="487"/>
      <c r="BI14" s="116"/>
      <c r="BJ14" s="487"/>
      <c r="BK14" s="116"/>
      <c r="BL14" s="487"/>
      <c r="BM14" s="116"/>
      <c r="BN14" s="487"/>
      <c r="BO14" s="116"/>
      <c r="BP14" s="487">
        <f t="shared" si="0"/>
        <v>0</v>
      </c>
      <c r="BQ14" s="116">
        <f t="shared" si="0"/>
        <v>0</v>
      </c>
    </row>
    <row r="15" spans="1:69">
      <c r="A15" s="76">
        <v>8</v>
      </c>
      <c r="B15" s="77" t="s">
        <v>656</v>
      </c>
      <c r="C15" s="76" t="s">
        <v>657</v>
      </c>
      <c r="D15" s="486">
        <v>198</v>
      </c>
      <c r="E15" s="117">
        <v>39671094234.650002</v>
      </c>
      <c r="F15" s="486">
        <v>202</v>
      </c>
      <c r="G15" s="117">
        <v>82818439694.259995</v>
      </c>
      <c r="H15" s="486"/>
      <c r="I15" s="117"/>
      <c r="J15" s="486"/>
      <c r="K15" s="117"/>
      <c r="L15" s="486">
        <v>375</v>
      </c>
      <c r="M15" s="117">
        <v>24435035477.259998</v>
      </c>
      <c r="N15" s="486"/>
      <c r="O15" s="117"/>
      <c r="P15" s="486">
        <v>1113</v>
      </c>
      <c r="Q15" s="117">
        <v>37948944276.110001</v>
      </c>
      <c r="R15" s="486"/>
      <c r="S15" s="117"/>
      <c r="T15" s="486"/>
      <c r="U15" s="117"/>
      <c r="V15" s="486"/>
      <c r="W15" s="117"/>
      <c r="X15" s="486"/>
      <c r="Y15" s="117"/>
      <c r="Z15" s="486"/>
      <c r="AA15" s="117"/>
      <c r="AB15" s="486"/>
      <c r="AC15" s="117"/>
      <c r="AD15" s="486"/>
      <c r="AE15" s="117"/>
      <c r="AF15" s="486"/>
      <c r="AG15" s="117"/>
      <c r="AH15" s="486"/>
      <c r="AI15" s="117"/>
      <c r="AJ15" s="486">
        <v>14</v>
      </c>
      <c r="AK15" s="117">
        <v>2805026865.0799999</v>
      </c>
      <c r="AL15" s="486"/>
      <c r="AM15" s="117"/>
      <c r="AN15" s="486"/>
      <c r="AO15" s="117"/>
      <c r="AP15" s="486"/>
      <c r="AQ15" s="117"/>
      <c r="AR15" s="486">
        <v>21</v>
      </c>
      <c r="AS15" s="117">
        <v>1368361986.73</v>
      </c>
      <c r="AT15" s="486"/>
      <c r="AU15" s="117"/>
      <c r="AV15" s="486">
        <v>38</v>
      </c>
      <c r="AW15" s="117">
        <v>1295651287.0599999</v>
      </c>
      <c r="AX15" s="486"/>
      <c r="AY15" s="117"/>
      <c r="AZ15" s="486"/>
      <c r="BA15" s="117"/>
      <c r="BB15" s="486"/>
      <c r="BC15" s="117"/>
      <c r="BD15" s="486"/>
      <c r="BE15" s="117"/>
      <c r="BF15" s="486"/>
      <c r="BG15" s="117"/>
      <c r="BH15" s="486"/>
      <c r="BI15" s="117"/>
      <c r="BJ15" s="486"/>
      <c r="BK15" s="117"/>
      <c r="BL15" s="486"/>
      <c r="BM15" s="117"/>
      <c r="BN15" s="486"/>
      <c r="BO15" s="117"/>
      <c r="BP15" s="486">
        <f t="shared" si="0"/>
        <v>1961</v>
      </c>
      <c r="BQ15" s="117">
        <f t="shared" si="0"/>
        <v>190342553821.14999</v>
      </c>
    </row>
    <row r="16" spans="1:69">
      <c r="A16" s="74">
        <v>9</v>
      </c>
      <c r="B16" s="73" t="s">
        <v>662</v>
      </c>
      <c r="C16" s="74" t="s">
        <v>663</v>
      </c>
      <c r="D16" s="487">
        <v>219</v>
      </c>
      <c r="E16" s="116"/>
      <c r="F16" s="487">
        <v>2</v>
      </c>
      <c r="G16" s="116"/>
      <c r="H16" s="487">
        <v>829</v>
      </c>
      <c r="I16" s="116"/>
      <c r="J16" s="487">
        <v>7</v>
      </c>
      <c r="K16" s="116"/>
      <c r="L16" s="487">
        <v>3902</v>
      </c>
      <c r="M16" s="116"/>
      <c r="N16" s="487">
        <v>9</v>
      </c>
      <c r="O16" s="116"/>
      <c r="P16" s="487">
        <v>558</v>
      </c>
      <c r="Q16" s="116"/>
      <c r="R16" s="487"/>
      <c r="S16" s="116"/>
      <c r="T16" s="487"/>
      <c r="U16" s="116"/>
      <c r="V16" s="487"/>
      <c r="W16" s="116"/>
      <c r="X16" s="487"/>
      <c r="Y16" s="116"/>
      <c r="Z16" s="487"/>
      <c r="AA16" s="116"/>
      <c r="AB16" s="487"/>
      <c r="AC16" s="116"/>
      <c r="AD16" s="487"/>
      <c r="AE16" s="116"/>
      <c r="AF16" s="487"/>
      <c r="AG16" s="116"/>
      <c r="AH16" s="487"/>
      <c r="AI16" s="116"/>
      <c r="AJ16" s="487">
        <v>28</v>
      </c>
      <c r="AK16" s="116"/>
      <c r="AL16" s="487"/>
      <c r="AM16" s="116"/>
      <c r="AN16" s="487">
        <v>161</v>
      </c>
      <c r="AO16" s="116"/>
      <c r="AP16" s="487">
        <v>2</v>
      </c>
      <c r="AQ16" s="116"/>
      <c r="AR16" s="487">
        <v>712</v>
      </c>
      <c r="AS16" s="116"/>
      <c r="AT16" s="487">
        <v>6</v>
      </c>
      <c r="AU16" s="116"/>
      <c r="AV16" s="487">
        <v>38</v>
      </c>
      <c r="AW16" s="116"/>
      <c r="AX16" s="487"/>
      <c r="AY16" s="116"/>
      <c r="AZ16" s="487"/>
      <c r="BA16" s="116"/>
      <c r="BB16" s="487"/>
      <c r="BC16" s="116"/>
      <c r="BD16" s="487"/>
      <c r="BE16" s="116"/>
      <c r="BF16" s="487"/>
      <c r="BG16" s="116"/>
      <c r="BH16" s="487"/>
      <c r="BI16" s="116"/>
      <c r="BJ16" s="487"/>
      <c r="BK16" s="116"/>
      <c r="BL16" s="487"/>
      <c r="BM16" s="116"/>
      <c r="BN16" s="487"/>
      <c r="BO16" s="116"/>
      <c r="BP16" s="487">
        <f t="shared" si="0"/>
        <v>6473</v>
      </c>
      <c r="BQ16" s="116">
        <f t="shared" si="0"/>
        <v>0</v>
      </c>
    </row>
    <row r="17" spans="1:69">
      <c r="A17" s="76">
        <v>10</v>
      </c>
      <c r="B17" s="77" t="s">
        <v>666</v>
      </c>
      <c r="C17" s="76" t="s">
        <v>667</v>
      </c>
      <c r="D17" s="486">
        <v>62</v>
      </c>
      <c r="E17" s="117">
        <v>8520584</v>
      </c>
      <c r="F17" s="486">
        <v>28</v>
      </c>
      <c r="G17" s="117">
        <v>11168202</v>
      </c>
      <c r="H17" s="486">
        <v>177</v>
      </c>
      <c r="I17" s="117">
        <v>10348857</v>
      </c>
      <c r="J17" s="486"/>
      <c r="K17" s="117"/>
      <c r="L17" s="486">
        <v>1807</v>
      </c>
      <c r="M17" s="117">
        <v>34139321</v>
      </c>
      <c r="N17" s="486"/>
      <c r="O17" s="117"/>
      <c r="P17" s="486">
        <v>606</v>
      </c>
      <c r="Q17" s="117">
        <v>6499120</v>
      </c>
      <c r="R17" s="486"/>
      <c r="S17" s="117"/>
      <c r="T17" s="486"/>
      <c r="U17" s="117"/>
      <c r="V17" s="486"/>
      <c r="W17" s="117"/>
      <c r="X17" s="486"/>
      <c r="Y17" s="117"/>
      <c r="Z17" s="486"/>
      <c r="AA17" s="117"/>
      <c r="AB17" s="486"/>
      <c r="AC17" s="117"/>
      <c r="AD17" s="486"/>
      <c r="AE17" s="117"/>
      <c r="AF17" s="486"/>
      <c r="AG17" s="117"/>
      <c r="AH17" s="486"/>
      <c r="AI17" s="117"/>
      <c r="AJ17" s="486">
        <v>6</v>
      </c>
      <c r="AK17" s="117">
        <v>324800</v>
      </c>
      <c r="AL17" s="486">
        <v>2</v>
      </c>
      <c r="AM17" s="117">
        <v>797729</v>
      </c>
      <c r="AN17" s="486">
        <v>14</v>
      </c>
      <c r="AO17" s="117">
        <v>629830</v>
      </c>
      <c r="AP17" s="486"/>
      <c r="AQ17" s="117"/>
      <c r="AR17" s="486">
        <v>47</v>
      </c>
      <c r="AS17" s="117">
        <v>822162</v>
      </c>
      <c r="AT17" s="486"/>
      <c r="AU17" s="117"/>
      <c r="AV17" s="486">
        <v>8</v>
      </c>
      <c r="AW17" s="117">
        <v>60723</v>
      </c>
      <c r="AX17" s="486"/>
      <c r="AY17" s="117"/>
      <c r="AZ17" s="486"/>
      <c r="BA17" s="117"/>
      <c r="BB17" s="486"/>
      <c r="BC17" s="117"/>
      <c r="BD17" s="486"/>
      <c r="BE17" s="117"/>
      <c r="BF17" s="486"/>
      <c r="BG17" s="117"/>
      <c r="BH17" s="486"/>
      <c r="BI17" s="117"/>
      <c r="BJ17" s="486"/>
      <c r="BK17" s="117"/>
      <c r="BL17" s="486"/>
      <c r="BM17" s="117"/>
      <c r="BN17" s="486"/>
      <c r="BO17" s="117"/>
      <c r="BP17" s="486">
        <f t="shared" si="0"/>
        <v>2757</v>
      </c>
      <c r="BQ17" s="117">
        <f t="shared" si="0"/>
        <v>73311328</v>
      </c>
    </row>
    <row r="18" spans="1:69">
      <c r="A18" s="74">
        <v>11</v>
      </c>
      <c r="B18" s="73" t="s">
        <v>670</v>
      </c>
      <c r="C18" s="74" t="s">
        <v>671</v>
      </c>
      <c r="D18" s="487">
        <v>3</v>
      </c>
      <c r="E18" s="116"/>
      <c r="F18" s="487">
        <v>4</v>
      </c>
      <c r="G18" s="116"/>
      <c r="H18" s="487">
        <v>288</v>
      </c>
      <c r="I18" s="116"/>
      <c r="J18" s="487">
        <v>23</v>
      </c>
      <c r="K18" s="116"/>
      <c r="L18" s="487">
        <v>1293</v>
      </c>
      <c r="M18" s="116"/>
      <c r="N18" s="487">
        <v>83</v>
      </c>
      <c r="O18" s="116"/>
      <c r="P18" s="487">
        <v>23</v>
      </c>
      <c r="Q18" s="116"/>
      <c r="R18" s="487"/>
      <c r="S18" s="116"/>
      <c r="T18" s="487"/>
      <c r="U18" s="116"/>
      <c r="V18" s="487"/>
      <c r="W18" s="116"/>
      <c r="X18" s="487"/>
      <c r="Y18" s="116"/>
      <c r="Z18" s="487"/>
      <c r="AA18" s="116"/>
      <c r="AB18" s="487"/>
      <c r="AC18" s="116"/>
      <c r="AD18" s="487"/>
      <c r="AE18" s="116"/>
      <c r="AF18" s="487"/>
      <c r="AG18" s="116"/>
      <c r="AH18" s="487"/>
      <c r="AI18" s="116"/>
      <c r="AJ18" s="487">
        <v>6</v>
      </c>
      <c r="AK18" s="116"/>
      <c r="AL18" s="487">
        <v>2</v>
      </c>
      <c r="AM18" s="116"/>
      <c r="AN18" s="487">
        <v>4</v>
      </c>
      <c r="AO18" s="116"/>
      <c r="AP18" s="487">
        <v>1</v>
      </c>
      <c r="AQ18" s="116"/>
      <c r="AR18" s="487"/>
      <c r="AS18" s="116"/>
      <c r="AT18" s="487"/>
      <c r="AU18" s="116"/>
      <c r="AV18" s="487"/>
      <c r="AW18" s="116"/>
      <c r="AX18" s="487"/>
      <c r="AY18" s="116"/>
      <c r="AZ18" s="487"/>
      <c r="BA18" s="116"/>
      <c r="BB18" s="487"/>
      <c r="BC18" s="116"/>
      <c r="BD18" s="487"/>
      <c r="BE18" s="116"/>
      <c r="BF18" s="487"/>
      <c r="BG18" s="116"/>
      <c r="BH18" s="487"/>
      <c r="BI18" s="116"/>
      <c r="BJ18" s="487"/>
      <c r="BK18" s="116"/>
      <c r="BL18" s="487"/>
      <c r="BM18" s="116"/>
      <c r="BN18" s="487"/>
      <c r="BO18" s="116"/>
      <c r="BP18" s="487">
        <f t="shared" si="0"/>
        <v>1730</v>
      </c>
      <c r="BQ18" s="116">
        <f t="shared" si="0"/>
        <v>0</v>
      </c>
    </row>
    <row r="19" spans="1:69">
      <c r="A19" s="76">
        <v>12</v>
      </c>
      <c r="B19" s="77" t="s">
        <v>674</v>
      </c>
      <c r="C19" s="76" t="s">
        <v>675</v>
      </c>
      <c r="D19" s="486">
        <v>2</v>
      </c>
      <c r="E19" s="117"/>
      <c r="F19" s="486">
        <v>6</v>
      </c>
      <c r="G19" s="117">
        <v>342190</v>
      </c>
      <c r="H19" s="486">
        <v>6</v>
      </c>
      <c r="I19" s="117">
        <v>68496</v>
      </c>
      <c r="J19" s="486">
        <v>14</v>
      </c>
      <c r="K19" s="117">
        <v>482600</v>
      </c>
      <c r="L19" s="486">
        <v>680</v>
      </c>
      <c r="M19" s="117">
        <v>6762979</v>
      </c>
      <c r="N19" s="486">
        <v>89</v>
      </c>
      <c r="O19" s="117">
        <v>2346425</v>
      </c>
      <c r="P19" s="486"/>
      <c r="Q19" s="117"/>
      <c r="R19" s="486"/>
      <c r="S19" s="117"/>
      <c r="T19" s="486"/>
      <c r="U19" s="117"/>
      <c r="V19" s="486"/>
      <c r="W19" s="117"/>
      <c r="X19" s="486">
        <v>2</v>
      </c>
      <c r="Y19" s="117"/>
      <c r="Z19" s="486"/>
      <c r="AA19" s="117"/>
      <c r="AB19" s="486">
        <v>252</v>
      </c>
      <c r="AC19" s="117"/>
      <c r="AD19" s="486"/>
      <c r="AE19" s="117"/>
      <c r="AF19" s="486"/>
      <c r="AG19" s="117"/>
      <c r="AH19" s="486"/>
      <c r="AI19" s="117"/>
      <c r="AJ19" s="486"/>
      <c r="AK19" s="117"/>
      <c r="AL19" s="486"/>
      <c r="AM19" s="117"/>
      <c r="AN19" s="486"/>
      <c r="AO19" s="117"/>
      <c r="AP19" s="486"/>
      <c r="AQ19" s="117"/>
      <c r="AR19" s="486">
        <v>7</v>
      </c>
      <c r="AS19" s="117">
        <v>26400</v>
      </c>
      <c r="AT19" s="486">
        <v>6</v>
      </c>
      <c r="AU19" s="117">
        <v>109960</v>
      </c>
      <c r="AV19" s="486"/>
      <c r="AW19" s="117"/>
      <c r="AX19" s="486"/>
      <c r="AY19" s="117"/>
      <c r="AZ19" s="486"/>
      <c r="BA19" s="117"/>
      <c r="BB19" s="486"/>
      <c r="BC19" s="117"/>
      <c r="BD19" s="486"/>
      <c r="BE19" s="117"/>
      <c r="BF19" s="486"/>
      <c r="BG19" s="117"/>
      <c r="BH19" s="486">
        <v>2</v>
      </c>
      <c r="BI19" s="117"/>
      <c r="BJ19" s="486"/>
      <c r="BK19" s="117"/>
      <c r="BL19" s="486"/>
      <c r="BM19" s="117"/>
      <c r="BN19" s="486"/>
      <c r="BO19" s="117"/>
      <c r="BP19" s="486">
        <f t="shared" si="0"/>
        <v>1066</v>
      </c>
      <c r="BQ19" s="117">
        <f t="shared" si="0"/>
        <v>10139050</v>
      </c>
    </row>
    <row r="20" spans="1:69">
      <c r="A20" s="74">
        <v>13</v>
      </c>
      <c r="B20" s="73" t="s">
        <v>682</v>
      </c>
      <c r="C20" s="74" t="s">
        <v>683</v>
      </c>
      <c r="D20" s="487">
        <v>29</v>
      </c>
      <c r="E20" s="116">
        <v>835404627.4019835</v>
      </c>
      <c r="F20" s="487">
        <v>10</v>
      </c>
      <c r="G20" s="116">
        <v>352501206</v>
      </c>
      <c r="H20" s="487">
        <v>161</v>
      </c>
      <c r="I20" s="116">
        <v>1056243475.6841786</v>
      </c>
      <c r="J20" s="487">
        <v>28</v>
      </c>
      <c r="K20" s="116">
        <v>589655870.15999985</v>
      </c>
      <c r="L20" s="487">
        <v>131</v>
      </c>
      <c r="M20" s="116">
        <v>412126551.29333335</v>
      </c>
      <c r="N20" s="487"/>
      <c r="O20" s="116"/>
      <c r="P20" s="487">
        <v>317</v>
      </c>
      <c r="Q20" s="116">
        <v>674853737.67503834</v>
      </c>
      <c r="R20" s="487"/>
      <c r="S20" s="116"/>
      <c r="T20" s="487"/>
      <c r="U20" s="116"/>
      <c r="V20" s="487"/>
      <c r="W20" s="116"/>
      <c r="X20" s="487"/>
      <c r="Y20" s="116"/>
      <c r="Z20" s="487"/>
      <c r="AA20" s="116"/>
      <c r="AB20" s="487"/>
      <c r="AC20" s="116"/>
      <c r="AD20" s="487"/>
      <c r="AE20" s="116"/>
      <c r="AF20" s="487">
        <v>1866</v>
      </c>
      <c r="AG20" s="116"/>
      <c r="AH20" s="487">
        <v>45</v>
      </c>
      <c r="AI20" s="116"/>
      <c r="AJ20" s="487">
        <v>6</v>
      </c>
      <c r="AK20" s="116">
        <v>149822116.67168665</v>
      </c>
      <c r="AL20" s="487">
        <v>1</v>
      </c>
      <c r="AM20" s="116">
        <v>20777583.600000001</v>
      </c>
      <c r="AN20" s="487">
        <v>26</v>
      </c>
      <c r="AO20" s="116">
        <v>186035652.96880677</v>
      </c>
      <c r="AP20" s="487">
        <v>6</v>
      </c>
      <c r="AQ20" s="116">
        <v>106327177.60000001</v>
      </c>
      <c r="AR20" s="487">
        <v>44</v>
      </c>
      <c r="AS20" s="116">
        <v>137973782.87</v>
      </c>
      <c r="AT20" s="487"/>
      <c r="AU20" s="116"/>
      <c r="AV20" s="487">
        <v>39</v>
      </c>
      <c r="AW20" s="116">
        <v>67930537.752000004</v>
      </c>
      <c r="AX20" s="487"/>
      <c r="AY20" s="116"/>
      <c r="AZ20" s="487"/>
      <c r="BA20" s="116"/>
      <c r="BB20" s="487"/>
      <c r="BC20" s="116"/>
      <c r="BD20" s="487"/>
      <c r="BE20" s="116"/>
      <c r="BF20" s="487"/>
      <c r="BG20" s="116"/>
      <c r="BH20" s="487"/>
      <c r="BI20" s="116"/>
      <c r="BJ20" s="487"/>
      <c r="BK20" s="116"/>
      <c r="BL20" s="487">
        <v>136</v>
      </c>
      <c r="BM20" s="116"/>
      <c r="BN20" s="487"/>
      <c r="BO20" s="116"/>
      <c r="BP20" s="487">
        <f t="shared" si="0"/>
        <v>2845</v>
      </c>
      <c r="BQ20" s="116">
        <f t="shared" si="0"/>
        <v>4589652319.6770267</v>
      </c>
    </row>
    <row r="21" spans="1:69">
      <c r="A21" s="76">
        <v>14</v>
      </c>
      <c r="B21" s="77" t="s">
        <v>96</v>
      </c>
      <c r="C21" s="76" t="s">
        <v>688</v>
      </c>
      <c r="D21" s="486">
        <v>1</v>
      </c>
      <c r="E21" s="117">
        <v>3131120891</v>
      </c>
      <c r="F21" s="486">
        <v>5</v>
      </c>
      <c r="G21" s="117">
        <v>193800000</v>
      </c>
      <c r="H21" s="486">
        <v>2</v>
      </c>
      <c r="I21" s="117">
        <v>156550409</v>
      </c>
      <c r="J21" s="486">
        <v>11</v>
      </c>
      <c r="K21" s="117">
        <v>195160645.16129032</v>
      </c>
      <c r="L21" s="486">
        <v>49</v>
      </c>
      <c r="M21" s="117">
        <v>1043706940</v>
      </c>
      <c r="N21" s="486">
        <v>13</v>
      </c>
      <c r="O21" s="117">
        <v>281616774.19354838</v>
      </c>
      <c r="P21" s="486">
        <v>585</v>
      </c>
      <c r="Q21" s="117">
        <v>4174827758</v>
      </c>
      <c r="R21" s="486">
        <v>70</v>
      </c>
      <c r="S21" s="117">
        <v>1564925806</v>
      </c>
      <c r="T21" s="486"/>
      <c r="U21" s="117"/>
      <c r="V21" s="486"/>
      <c r="W21" s="117"/>
      <c r="X21" s="486"/>
      <c r="Y21" s="117"/>
      <c r="Z21" s="486"/>
      <c r="AA21" s="117"/>
      <c r="AB21" s="486"/>
      <c r="AC21" s="117"/>
      <c r="AD21" s="486"/>
      <c r="AE21" s="117"/>
      <c r="AF21" s="486"/>
      <c r="AG21" s="117"/>
      <c r="AH21" s="486"/>
      <c r="AI21" s="117"/>
      <c r="AJ21" s="486">
        <v>0</v>
      </c>
      <c r="AK21" s="117"/>
      <c r="AL21" s="486">
        <v>3</v>
      </c>
      <c r="AM21" s="117">
        <v>1564925806</v>
      </c>
      <c r="AN21" s="486"/>
      <c r="AO21" s="117"/>
      <c r="AP21" s="486"/>
      <c r="AQ21" s="117"/>
      <c r="AR21" s="486">
        <v>1</v>
      </c>
      <c r="AS21" s="117"/>
      <c r="AT21" s="486"/>
      <c r="AU21" s="117"/>
      <c r="AV21" s="486">
        <v>25</v>
      </c>
      <c r="AW21" s="117">
        <v>521853469.80000001</v>
      </c>
      <c r="AX21" s="486">
        <v>3</v>
      </c>
      <c r="AY21" s="117">
        <v>3129851612</v>
      </c>
      <c r="AZ21" s="486"/>
      <c r="BA21" s="117"/>
      <c r="BB21" s="486"/>
      <c r="BC21" s="117"/>
      <c r="BD21" s="486"/>
      <c r="BE21" s="117"/>
      <c r="BF21" s="486"/>
      <c r="BG21" s="117"/>
      <c r="BH21" s="486"/>
      <c r="BI21" s="117"/>
      <c r="BJ21" s="486"/>
      <c r="BK21" s="117"/>
      <c r="BL21" s="486"/>
      <c r="BM21" s="117"/>
      <c r="BN21" s="486"/>
      <c r="BO21" s="117"/>
      <c r="BP21" s="486">
        <f t="shared" si="0"/>
        <v>768</v>
      </c>
      <c r="BQ21" s="117">
        <f t="shared" si="0"/>
        <v>15958340111.154839</v>
      </c>
    </row>
    <row r="22" spans="1:69">
      <c r="A22" s="74">
        <v>15</v>
      </c>
      <c r="B22" s="73" t="s">
        <v>691</v>
      </c>
      <c r="C22" s="74" t="s">
        <v>692</v>
      </c>
      <c r="D22" s="74">
        <v>6</v>
      </c>
      <c r="E22" s="74"/>
      <c r="F22" s="74">
        <v>4</v>
      </c>
      <c r="G22" s="74"/>
      <c r="H22" s="73">
        <v>56</v>
      </c>
      <c r="I22" s="74"/>
      <c r="J22" s="73">
        <v>4</v>
      </c>
      <c r="K22" s="74"/>
      <c r="L22" s="73">
        <v>238</v>
      </c>
      <c r="M22" s="74"/>
      <c r="N22" s="73">
        <v>44</v>
      </c>
      <c r="O22" s="74"/>
      <c r="P22" s="73">
        <v>1177</v>
      </c>
      <c r="Q22" s="74"/>
      <c r="R22" s="73"/>
      <c r="S22" s="74"/>
      <c r="T22" s="73"/>
      <c r="U22" s="74"/>
      <c r="V22" s="73"/>
      <c r="W22" s="74"/>
      <c r="X22" s="73"/>
      <c r="Y22" s="74"/>
      <c r="Z22" s="73"/>
      <c r="AA22" s="74"/>
      <c r="AB22" s="73"/>
      <c r="AC22" s="74"/>
      <c r="AD22" s="73"/>
      <c r="AE22" s="74"/>
      <c r="AF22" s="73"/>
      <c r="AG22" s="74"/>
      <c r="AH22" s="73"/>
      <c r="AI22" s="74"/>
      <c r="AJ22" s="73"/>
      <c r="AK22" s="74"/>
      <c r="AL22" s="73"/>
      <c r="AM22" s="74"/>
      <c r="AN22" s="73">
        <v>1</v>
      </c>
      <c r="AO22" s="74"/>
      <c r="AP22" s="73"/>
      <c r="AQ22" s="74"/>
      <c r="AR22" s="73">
        <v>31</v>
      </c>
      <c r="AS22" s="74"/>
      <c r="AT22" s="73">
        <v>10</v>
      </c>
      <c r="AU22" s="74"/>
      <c r="AV22" s="73">
        <v>4</v>
      </c>
      <c r="AW22" s="74"/>
      <c r="AX22" s="73"/>
      <c r="AY22" s="74"/>
      <c r="AZ22" s="73"/>
      <c r="BA22" s="116"/>
      <c r="BB22" s="73"/>
      <c r="BC22" s="74"/>
      <c r="BD22" s="73"/>
      <c r="BE22" s="74"/>
      <c r="BF22" s="73"/>
      <c r="BG22" s="74"/>
      <c r="BH22" s="73"/>
      <c r="BI22" s="116"/>
      <c r="BJ22" s="73"/>
      <c r="BK22" s="74"/>
      <c r="BL22" s="73"/>
      <c r="BM22" s="116"/>
      <c r="BN22" s="73"/>
      <c r="BO22" s="74"/>
      <c r="BP22" s="487">
        <f t="shared" si="0"/>
        <v>1575</v>
      </c>
      <c r="BQ22" s="116">
        <f t="shared" si="0"/>
        <v>0</v>
      </c>
    </row>
    <row r="23" spans="1:69">
      <c r="A23" s="76">
        <v>16</v>
      </c>
      <c r="B23" s="77" t="s">
        <v>700</v>
      </c>
      <c r="C23" s="76" t="s">
        <v>701</v>
      </c>
      <c r="D23" s="76">
        <v>25</v>
      </c>
      <c r="E23" s="117">
        <v>458000</v>
      </c>
      <c r="F23" s="76">
        <v>10</v>
      </c>
      <c r="G23" s="117">
        <v>568952</v>
      </c>
      <c r="H23" s="77">
        <v>18</v>
      </c>
      <c r="I23" s="117">
        <v>189750</v>
      </c>
      <c r="J23" s="77">
        <v>338</v>
      </c>
      <c r="K23" s="117">
        <v>8980024</v>
      </c>
      <c r="L23" s="77">
        <v>40</v>
      </c>
      <c r="M23" s="117">
        <v>179480</v>
      </c>
      <c r="N23" s="77"/>
      <c r="O23" s="117"/>
      <c r="P23" s="77">
        <v>1282</v>
      </c>
      <c r="Q23" s="117">
        <v>24113763</v>
      </c>
      <c r="R23" s="77"/>
      <c r="S23" s="117"/>
      <c r="T23" s="77"/>
      <c r="U23" s="76"/>
      <c r="V23" s="77"/>
      <c r="W23" s="76"/>
      <c r="X23" s="77"/>
      <c r="Y23" s="76"/>
      <c r="Z23" s="77"/>
      <c r="AA23" s="76"/>
      <c r="AB23" s="77"/>
      <c r="AC23" s="76"/>
      <c r="AD23" s="77"/>
      <c r="AE23" s="76"/>
      <c r="AF23" s="77"/>
      <c r="AG23" s="76"/>
      <c r="AH23" s="77"/>
      <c r="AI23" s="76"/>
      <c r="AJ23" s="77"/>
      <c r="AK23" s="76"/>
      <c r="AL23" s="77">
        <v>2</v>
      </c>
      <c r="AM23" s="76"/>
      <c r="AN23" s="77"/>
      <c r="AO23" s="76"/>
      <c r="AP23" s="77"/>
      <c r="AQ23" s="76"/>
      <c r="AR23" s="77">
        <v>10</v>
      </c>
      <c r="AS23" s="117">
        <v>59820</v>
      </c>
      <c r="AT23" s="77"/>
      <c r="AU23" s="76"/>
      <c r="AV23" s="77"/>
      <c r="AW23" s="76"/>
      <c r="AX23" s="77"/>
      <c r="AY23" s="76"/>
      <c r="AZ23" s="77"/>
      <c r="BA23" s="117"/>
      <c r="BB23" s="154"/>
      <c r="BC23" s="117"/>
      <c r="BD23" s="77"/>
      <c r="BE23" s="117"/>
      <c r="BF23" s="77"/>
      <c r="BG23" s="117"/>
      <c r="BH23" s="77"/>
      <c r="BI23" s="117"/>
      <c r="BJ23" s="77"/>
      <c r="BK23" s="76"/>
      <c r="BL23" s="77"/>
      <c r="BM23" s="117"/>
      <c r="BN23" s="77"/>
      <c r="BO23" s="117"/>
      <c r="BP23" s="486">
        <f t="shared" si="0"/>
        <v>1725</v>
      </c>
      <c r="BQ23" s="117">
        <f t="shared" si="0"/>
        <v>34549789</v>
      </c>
    </row>
    <row r="24" spans="1:69">
      <c r="A24" s="74">
        <v>17</v>
      </c>
      <c r="B24" s="73" t="s">
        <v>102</v>
      </c>
      <c r="C24" s="74" t="s">
        <v>707</v>
      </c>
      <c r="D24" s="74">
        <v>50</v>
      </c>
      <c r="E24" s="116">
        <v>1055735763.02</v>
      </c>
      <c r="F24" s="74">
        <v>21</v>
      </c>
      <c r="G24" s="116">
        <v>586069260.78999996</v>
      </c>
      <c r="H24" s="73">
        <v>40</v>
      </c>
      <c r="I24" s="116">
        <v>389146603.56</v>
      </c>
      <c r="J24" s="73">
        <v>23</v>
      </c>
      <c r="K24" s="116">
        <v>686477749.19000006</v>
      </c>
      <c r="L24" s="73">
        <v>120</v>
      </c>
      <c r="M24" s="116">
        <v>735594768.16999996</v>
      </c>
      <c r="N24" s="73">
        <v>18</v>
      </c>
      <c r="O24" s="116">
        <v>306206489.94</v>
      </c>
      <c r="P24" s="73">
        <v>661</v>
      </c>
      <c r="Q24" s="116">
        <v>2164118434.8899999</v>
      </c>
      <c r="R24" s="73">
        <v>1</v>
      </c>
      <c r="S24" s="116">
        <v>9917022.0299999993</v>
      </c>
      <c r="T24" s="73"/>
      <c r="U24" s="74"/>
      <c r="V24" s="73"/>
      <c r="W24" s="74"/>
      <c r="X24" s="73"/>
      <c r="Y24" s="74"/>
      <c r="Z24" s="73"/>
      <c r="AA24" s="74"/>
      <c r="AB24" s="73"/>
      <c r="AC24" s="74"/>
      <c r="AD24" s="73"/>
      <c r="AE24" s="74"/>
      <c r="AF24" s="73"/>
      <c r="AG24" s="74"/>
      <c r="AH24" s="73"/>
      <c r="AI24" s="74"/>
      <c r="AJ24" s="73">
        <v>6</v>
      </c>
      <c r="AK24" s="116">
        <v>133350735.04000001</v>
      </c>
      <c r="AL24" s="73"/>
      <c r="AM24" s="74"/>
      <c r="AN24" s="73">
        <v>10</v>
      </c>
      <c r="AO24" s="116">
        <v>98532760.200000003</v>
      </c>
      <c r="AP24" s="73"/>
      <c r="AQ24" s="74"/>
      <c r="AR24" s="73">
        <v>16</v>
      </c>
      <c r="AS24" s="116">
        <v>79616926.129999995</v>
      </c>
      <c r="AT24" s="73">
        <v>7</v>
      </c>
      <c r="AU24" s="116">
        <v>89141287.620000005</v>
      </c>
      <c r="AV24" s="73">
        <v>18</v>
      </c>
      <c r="AW24" s="116">
        <v>51981951.960000001</v>
      </c>
      <c r="AX24" s="73">
        <v>1</v>
      </c>
      <c r="AY24" s="116">
        <v>9827513.5299999993</v>
      </c>
      <c r="AZ24" s="73"/>
      <c r="BA24" s="116"/>
      <c r="BB24" s="153"/>
      <c r="BC24" s="116"/>
      <c r="BD24" s="73"/>
      <c r="BE24" s="116"/>
      <c r="BF24" s="73"/>
      <c r="BG24" s="116"/>
      <c r="BH24" s="73"/>
      <c r="BI24" s="116"/>
      <c r="BJ24" s="73"/>
      <c r="BK24" s="116"/>
      <c r="BL24" s="73"/>
      <c r="BM24" s="116"/>
      <c r="BN24" s="73"/>
      <c r="BO24" s="116"/>
      <c r="BP24" s="487">
        <f t="shared" si="0"/>
        <v>992</v>
      </c>
      <c r="BQ24" s="116">
        <f t="shared" si="0"/>
        <v>6395717266.0699997</v>
      </c>
    </row>
    <row r="25" spans="1:69">
      <c r="A25" s="76">
        <v>19</v>
      </c>
      <c r="B25" s="77" t="s">
        <v>229</v>
      </c>
      <c r="C25" s="76" t="s">
        <v>710</v>
      </c>
      <c r="D25" s="76">
        <v>26</v>
      </c>
      <c r="E25" s="117">
        <v>39510772</v>
      </c>
      <c r="F25" s="76">
        <v>7</v>
      </c>
      <c r="G25" s="117">
        <v>23105600</v>
      </c>
      <c r="H25" s="77">
        <v>153</v>
      </c>
      <c r="I25" s="117">
        <v>160387864</v>
      </c>
      <c r="J25" s="77">
        <v>15</v>
      </c>
      <c r="K25" s="117">
        <v>47936000</v>
      </c>
      <c r="L25" s="77">
        <v>275</v>
      </c>
      <c r="M25" s="117">
        <v>224832272</v>
      </c>
      <c r="N25" s="77">
        <v>38</v>
      </c>
      <c r="O25" s="117">
        <v>112492800</v>
      </c>
      <c r="P25" s="77">
        <v>409</v>
      </c>
      <c r="Q25" s="117">
        <v>266320740</v>
      </c>
      <c r="R25" s="77"/>
      <c r="S25" s="117"/>
      <c r="T25" s="77"/>
      <c r="U25" s="76"/>
      <c r="V25" s="77"/>
      <c r="W25" s="76"/>
      <c r="X25" s="77"/>
      <c r="Y25" s="76"/>
      <c r="Z25" s="77"/>
      <c r="AA25" s="76"/>
      <c r="AB25" s="77"/>
      <c r="AC25" s="76"/>
      <c r="AD25" s="77"/>
      <c r="AE25" s="76"/>
      <c r="AF25" s="77"/>
      <c r="AG25" s="76"/>
      <c r="AH25" s="77"/>
      <c r="AI25" s="76"/>
      <c r="AJ25" s="77"/>
      <c r="AK25" s="76"/>
      <c r="AL25" s="77"/>
      <c r="AM25" s="76"/>
      <c r="AN25" s="77">
        <v>2</v>
      </c>
      <c r="AO25" s="117">
        <v>1070692</v>
      </c>
      <c r="AP25" s="77">
        <v>1</v>
      </c>
      <c r="AQ25" s="117">
        <v>3236800</v>
      </c>
      <c r="AR25" s="77"/>
      <c r="AS25" s="76"/>
      <c r="AT25" s="77">
        <v>4</v>
      </c>
      <c r="AU25" s="117">
        <v>12499200</v>
      </c>
      <c r="AV25" s="77"/>
      <c r="AW25" s="76"/>
      <c r="AX25" s="77"/>
      <c r="AY25" s="117"/>
      <c r="AZ25" s="77"/>
      <c r="BA25" s="117"/>
      <c r="BB25" s="154"/>
      <c r="BC25" s="117"/>
      <c r="BD25" s="77"/>
      <c r="BE25" s="117"/>
      <c r="BF25" s="77"/>
      <c r="BG25" s="117"/>
      <c r="BH25" s="77"/>
      <c r="BI25" s="117"/>
      <c r="BJ25" s="77"/>
      <c r="BK25" s="117"/>
      <c r="BL25" s="77"/>
      <c r="BM25" s="117"/>
      <c r="BN25" s="77"/>
      <c r="BO25" s="117"/>
      <c r="BP25" s="486">
        <f t="shared" si="0"/>
        <v>930</v>
      </c>
      <c r="BQ25" s="117">
        <f t="shared" si="0"/>
        <v>891392740</v>
      </c>
    </row>
    <row r="26" spans="1:69">
      <c r="A26" s="74">
        <v>20</v>
      </c>
      <c r="B26" s="73" t="s">
        <v>713</v>
      </c>
      <c r="C26" s="74" t="s">
        <v>714</v>
      </c>
      <c r="D26" s="74">
        <v>2</v>
      </c>
      <c r="E26" s="116">
        <v>3680000</v>
      </c>
      <c r="F26" s="74">
        <v>20</v>
      </c>
      <c r="G26" s="116">
        <v>69000000</v>
      </c>
      <c r="H26" s="73">
        <v>50</v>
      </c>
      <c r="I26" s="116">
        <v>92000000</v>
      </c>
      <c r="J26" s="73">
        <v>10</v>
      </c>
      <c r="K26" s="116">
        <v>34500000</v>
      </c>
      <c r="L26" s="73">
        <v>20</v>
      </c>
      <c r="M26" s="116">
        <v>36800000</v>
      </c>
      <c r="N26" s="73">
        <v>30</v>
      </c>
      <c r="O26" s="116">
        <v>103500000</v>
      </c>
      <c r="P26" s="73">
        <v>200</v>
      </c>
      <c r="Q26" s="116">
        <v>368000000</v>
      </c>
      <c r="R26" s="73">
        <v>20</v>
      </c>
      <c r="S26" s="116">
        <v>69000000</v>
      </c>
      <c r="T26" s="73">
        <v>20</v>
      </c>
      <c r="U26" s="116">
        <v>36800000</v>
      </c>
      <c r="V26" s="73">
        <v>20</v>
      </c>
      <c r="W26" s="116">
        <v>69000000</v>
      </c>
      <c r="X26" s="73">
        <v>200</v>
      </c>
      <c r="Y26" s="116">
        <v>368000000</v>
      </c>
      <c r="Z26" s="73">
        <v>30</v>
      </c>
      <c r="AA26" s="116">
        <v>103500000</v>
      </c>
      <c r="AB26" s="73">
        <v>100</v>
      </c>
      <c r="AC26" s="116">
        <v>184000000</v>
      </c>
      <c r="AD26" s="73">
        <v>100</v>
      </c>
      <c r="AE26" s="116">
        <v>345000000</v>
      </c>
      <c r="AF26" s="73">
        <v>900</v>
      </c>
      <c r="AG26" s="116">
        <v>1656000000</v>
      </c>
      <c r="AH26" s="73">
        <v>50</v>
      </c>
      <c r="AI26" s="116">
        <v>172500000</v>
      </c>
      <c r="AJ26" s="73">
        <v>1</v>
      </c>
      <c r="AK26" s="116">
        <v>1840000</v>
      </c>
      <c r="AL26" s="73">
        <v>5</v>
      </c>
      <c r="AM26" s="116">
        <v>17250000</v>
      </c>
      <c r="AN26" s="73">
        <v>10</v>
      </c>
      <c r="AO26" s="116">
        <v>18400000</v>
      </c>
      <c r="AP26" s="73">
        <v>10</v>
      </c>
      <c r="AQ26" s="116">
        <v>34500000</v>
      </c>
      <c r="AR26" s="73">
        <v>10</v>
      </c>
      <c r="AS26" s="116">
        <v>18400000</v>
      </c>
      <c r="AT26" s="73">
        <v>15</v>
      </c>
      <c r="AU26" s="116">
        <v>51750000</v>
      </c>
      <c r="AV26" s="73">
        <v>10</v>
      </c>
      <c r="AW26" s="116">
        <v>18400000</v>
      </c>
      <c r="AX26" s="73">
        <v>3</v>
      </c>
      <c r="AY26" s="116">
        <v>10350000</v>
      </c>
      <c r="AZ26" s="73">
        <v>1</v>
      </c>
      <c r="BA26" s="116">
        <v>1840000</v>
      </c>
      <c r="BB26" s="153">
        <v>5</v>
      </c>
      <c r="BC26" s="116">
        <v>17250000</v>
      </c>
      <c r="BD26" s="73">
        <v>10</v>
      </c>
      <c r="BE26" s="116">
        <v>18400000</v>
      </c>
      <c r="BF26" s="73">
        <v>10</v>
      </c>
      <c r="BG26" s="116">
        <v>34500000</v>
      </c>
      <c r="BH26" s="73">
        <v>10</v>
      </c>
      <c r="BI26" s="116">
        <v>13800000</v>
      </c>
      <c r="BJ26" s="73">
        <v>15</v>
      </c>
      <c r="BK26" s="116">
        <v>34500000</v>
      </c>
      <c r="BL26" s="73">
        <v>10</v>
      </c>
      <c r="BM26" s="116">
        <v>9200000</v>
      </c>
      <c r="BN26" s="73">
        <v>3</v>
      </c>
      <c r="BO26" s="116">
        <v>6900000</v>
      </c>
      <c r="BP26" s="487">
        <f t="shared" ref="BP26:BQ89" si="1">BN26+BL26+BJ26+BH26+BF26+BD26+BB26+AZ26+AX26+AV26+AT26+AR26+AP26+AN26+AL26+AJ26+AH26+AF26+AD26+AB26+Z26+X26+V26+T26+R26+P26+N26+L26+J26+H26+F26+D26</f>
        <v>1900</v>
      </c>
      <c r="BQ26" s="116">
        <f t="shared" si="1"/>
        <v>4018560000</v>
      </c>
    </row>
    <row r="27" spans="1:69">
      <c r="A27" s="76">
        <v>21</v>
      </c>
      <c r="B27" s="77" t="s">
        <v>717</v>
      </c>
      <c r="C27" s="76" t="s">
        <v>718</v>
      </c>
      <c r="D27" s="76">
        <v>1</v>
      </c>
      <c r="E27" s="117"/>
      <c r="F27" s="76">
        <v>7</v>
      </c>
      <c r="G27" s="117"/>
      <c r="H27" s="77">
        <v>9</v>
      </c>
      <c r="I27" s="117"/>
      <c r="J27" s="77">
        <v>18</v>
      </c>
      <c r="K27" s="117"/>
      <c r="L27" s="77">
        <v>91</v>
      </c>
      <c r="M27" s="117"/>
      <c r="N27" s="77">
        <v>42</v>
      </c>
      <c r="O27" s="117"/>
      <c r="P27" s="77">
        <v>986</v>
      </c>
      <c r="Q27" s="117"/>
      <c r="R27" s="77">
        <v>52</v>
      </c>
      <c r="S27" s="117"/>
      <c r="T27" s="77"/>
      <c r="U27" s="117"/>
      <c r="V27" s="77"/>
      <c r="W27" s="117"/>
      <c r="X27" s="77"/>
      <c r="Y27" s="117"/>
      <c r="Z27" s="77"/>
      <c r="AA27" s="117"/>
      <c r="AB27" s="77"/>
      <c r="AC27" s="117"/>
      <c r="AD27" s="77"/>
      <c r="AE27" s="117"/>
      <c r="AF27" s="77"/>
      <c r="AG27" s="117"/>
      <c r="AH27" s="77"/>
      <c r="AI27" s="117"/>
      <c r="AJ27" s="77">
        <v>1</v>
      </c>
      <c r="AK27" s="76"/>
      <c r="AL27" s="77"/>
      <c r="AM27" s="76"/>
      <c r="AN27" s="77">
        <v>1</v>
      </c>
      <c r="AO27" s="76"/>
      <c r="AP27" s="77">
        <v>1</v>
      </c>
      <c r="AQ27" s="76"/>
      <c r="AR27" s="77"/>
      <c r="AS27" s="76"/>
      <c r="AT27" s="77"/>
      <c r="AU27" s="76"/>
      <c r="AV27" s="77">
        <v>8</v>
      </c>
      <c r="AW27" s="76"/>
      <c r="AX27" s="77">
        <v>12</v>
      </c>
      <c r="AY27" s="117"/>
      <c r="AZ27" s="77"/>
      <c r="BA27" s="117"/>
      <c r="BB27" s="154"/>
      <c r="BC27" s="117"/>
      <c r="BD27" s="77"/>
      <c r="BE27" s="117"/>
      <c r="BF27" s="77"/>
      <c r="BG27" s="117"/>
      <c r="BH27" s="77"/>
      <c r="BI27" s="117"/>
      <c r="BJ27" s="77"/>
      <c r="BK27" s="117"/>
      <c r="BL27" s="77"/>
      <c r="BM27" s="117"/>
      <c r="BN27" s="77"/>
      <c r="BO27" s="117"/>
      <c r="BP27" s="486">
        <f t="shared" si="1"/>
        <v>1229</v>
      </c>
      <c r="BQ27" s="117">
        <f t="shared" si="1"/>
        <v>0</v>
      </c>
    </row>
    <row r="28" spans="1:69">
      <c r="A28" s="74">
        <v>22</v>
      </c>
      <c r="B28" s="73" t="s">
        <v>721</v>
      </c>
      <c r="C28" s="74" t="s">
        <v>722</v>
      </c>
      <c r="D28" s="74">
        <v>2</v>
      </c>
      <c r="E28" s="116">
        <v>2284447</v>
      </c>
      <c r="F28" s="74">
        <v>8</v>
      </c>
      <c r="G28" s="116">
        <v>26800000</v>
      </c>
      <c r="H28" s="73">
        <v>6</v>
      </c>
      <c r="I28" s="116">
        <v>6546018</v>
      </c>
      <c r="J28" s="73">
        <v>72</v>
      </c>
      <c r="K28" s="116">
        <v>121507692</v>
      </c>
      <c r="L28" s="73">
        <v>93</v>
      </c>
      <c r="M28" s="116">
        <v>5744996</v>
      </c>
      <c r="N28" s="73"/>
      <c r="O28" s="116"/>
      <c r="P28" s="73">
        <v>472</v>
      </c>
      <c r="Q28" s="116">
        <v>358676535</v>
      </c>
      <c r="R28" s="73"/>
      <c r="S28" s="116"/>
      <c r="T28" s="73"/>
      <c r="U28" s="116"/>
      <c r="V28" s="73"/>
      <c r="W28" s="116"/>
      <c r="X28" s="73"/>
      <c r="Y28" s="116"/>
      <c r="Z28" s="73"/>
      <c r="AA28" s="116"/>
      <c r="AB28" s="73"/>
      <c r="AC28" s="116"/>
      <c r="AD28" s="73"/>
      <c r="AE28" s="116"/>
      <c r="AF28" s="73"/>
      <c r="AG28" s="116"/>
      <c r="AH28" s="73"/>
      <c r="AI28" s="116"/>
      <c r="AJ28" s="73"/>
      <c r="AK28" s="74"/>
      <c r="AL28" s="73"/>
      <c r="AM28" s="74"/>
      <c r="AN28" s="73"/>
      <c r="AO28" s="74"/>
      <c r="AP28" s="73">
        <v>9</v>
      </c>
      <c r="AQ28" s="116">
        <v>15188462</v>
      </c>
      <c r="AR28" s="73">
        <v>1</v>
      </c>
      <c r="AS28" s="116">
        <v>801022</v>
      </c>
      <c r="AT28" s="73"/>
      <c r="AU28" s="74"/>
      <c r="AV28" s="73">
        <v>16</v>
      </c>
      <c r="AW28" s="116">
        <v>9997502</v>
      </c>
      <c r="AX28" s="73"/>
      <c r="AY28" s="116"/>
      <c r="AZ28" s="73"/>
      <c r="BA28" s="116"/>
      <c r="BB28" s="153"/>
      <c r="BC28" s="116"/>
      <c r="BD28" s="73"/>
      <c r="BE28" s="116"/>
      <c r="BF28" s="73"/>
      <c r="BG28" s="116"/>
      <c r="BH28" s="73"/>
      <c r="BI28" s="116"/>
      <c r="BJ28" s="73"/>
      <c r="BK28" s="116"/>
      <c r="BL28" s="73"/>
      <c r="BM28" s="116"/>
      <c r="BN28" s="73"/>
      <c r="BO28" s="116"/>
      <c r="BP28" s="487">
        <f t="shared" si="1"/>
        <v>679</v>
      </c>
      <c r="BQ28" s="116">
        <f t="shared" si="1"/>
        <v>547546674</v>
      </c>
    </row>
    <row r="29" spans="1:69">
      <c r="A29" s="76">
        <v>23</v>
      </c>
      <c r="B29" s="77" t="s">
        <v>161</v>
      </c>
      <c r="C29" s="76" t="s">
        <v>726</v>
      </c>
      <c r="D29" s="76"/>
      <c r="E29" s="117"/>
      <c r="F29" s="76"/>
      <c r="G29" s="117"/>
      <c r="H29" s="77"/>
      <c r="I29" s="117"/>
      <c r="J29" s="77"/>
      <c r="K29" s="117"/>
      <c r="L29" s="77"/>
      <c r="M29" s="117"/>
      <c r="N29" s="77"/>
      <c r="O29" s="117"/>
      <c r="P29" s="77"/>
      <c r="Q29" s="117"/>
      <c r="R29" s="77"/>
      <c r="S29" s="117"/>
      <c r="T29" s="77"/>
      <c r="U29" s="117"/>
      <c r="V29" s="77"/>
      <c r="W29" s="117"/>
      <c r="X29" s="77"/>
      <c r="Y29" s="117"/>
      <c r="Z29" s="77"/>
      <c r="AA29" s="117"/>
      <c r="AB29" s="77"/>
      <c r="AC29" s="117"/>
      <c r="AD29" s="77"/>
      <c r="AE29" s="117"/>
      <c r="AF29" s="77"/>
      <c r="AG29" s="117"/>
      <c r="AH29" s="77"/>
      <c r="AI29" s="117"/>
      <c r="AJ29" s="77"/>
      <c r="AK29" s="76"/>
      <c r="AL29" s="77"/>
      <c r="AM29" s="76"/>
      <c r="AN29" s="77"/>
      <c r="AO29" s="76"/>
      <c r="AP29" s="77"/>
      <c r="AQ29" s="76"/>
      <c r="AR29" s="77"/>
      <c r="AS29" s="76"/>
      <c r="AT29" s="77"/>
      <c r="AU29" s="76"/>
      <c r="AV29" s="77"/>
      <c r="AW29" s="76"/>
      <c r="AX29" s="77"/>
      <c r="AY29" s="117"/>
      <c r="AZ29" s="77"/>
      <c r="BA29" s="117"/>
      <c r="BB29" s="154"/>
      <c r="BC29" s="117"/>
      <c r="BD29" s="77"/>
      <c r="BE29" s="117"/>
      <c r="BF29" s="77"/>
      <c r="BG29" s="117"/>
      <c r="BH29" s="77"/>
      <c r="BI29" s="117"/>
      <c r="BJ29" s="77"/>
      <c r="BK29" s="117"/>
      <c r="BL29" s="77"/>
      <c r="BM29" s="117"/>
      <c r="BN29" s="77"/>
      <c r="BO29" s="117"/>
      <c r="BP29" s="486">
        <f t="shared" si="1"/>
        <v>0</v>
      </c>
      <c r="BQ29" s="117">
        <f t="shared" si="1"/>
        <v>0</v>
      </c>
    </row>
    <row r="30" spans="1:69">
      <c r="A30" s="74">
        <v>24</v>
      </c>
      <c r="B30" s="73" t="s">
        <v>729</v>
      </c>
      <c r="C30" s="74" t="s">
        <v>730</v>
      </c>
      <c r="D30" s="74">
        <v>23</v>
      </c>
      <c r="E30" s="116">
        <v>3183555870.3800001</v>
      </c>
      <c r="F30" s="74">
        <v>25</v>
      </c>
      <c r="G30" s="116">
        <v>5832251068.5900002</v>
      </c>
      <c r="H30" s="73">
        <v>39</v>
      </c>
      <c r="I30" s="116">
        <v>2413208573.1599998</v>
      </c>
      <c r="J30" s="73">
        <v>12</v>
      </c>
      <c r="K30" s="116">
        <v>2117523883.71</v>
      </c>
      <c r="L30" s="73">
        <v>86</v>
      </c>
      <c r="M30" s="116">
        <v>3060870743.3299999</v>
      </c>
      <c r="N30" s="73">
        <v>2</v>
      </c>
      <c r="O30" s="116">
        <v>283710893.67000002</v>
      </c>
      <c r="P30" s="73">
        <v>201</v>
      </c>
      <c r="Q30" s="116">
        <v>3590496070.3299999</v>
      </c>
      <c r="R30" s="73"/>
      <c r="S30" s="116"/>
      <c r="T30" s="73"/>
      <c r="U30" s="116"/>
      <c r="V30" s="73"/>
      <c r="W30" s="116"/>
      <c r="X30" s="73"/>
      <c r="Y30" s="116"/>
      <c r="Z30" s="73"/>
      <c r="AA30" s="116"/>
      <c r="AB30" s="73">
        <v>87</v>
      </c>
      <c r="AC30" s="116">
        <v>843908757.50999999</v>
      </c>
      <c r="AD30" s="73"/>
      <c r="AE30" s="116"/>
      <c r="AF30" s="73">
        <v>172</v>
      </c>
      <c r="AG30" s="116">
        <v>1919589283.7</v>
      </c>
      <c r="AH30" s="73"/>
      <c r="AI30" s="116"/>
      <c r="AJ30" s="73">
        <v>1</v>
      </c>
      <c r="AK30" s="116">
        <v>146515068.21000001</v>
      </c>
      <c r="AL30" s="73"/>
      <c r="AM30" s="116"/>
      <c r="AN30" s="73">
        <v>5</v>
      </c>
      <c r="AO30" s="116">
        <v>318660244.05000001</v>
      </c>
      <c r="AP30" s="73">
        <v>1</v>
      </c>
      <c r="AQ30" s="116">
        <v>352862649.49000001</v>
      </c>
      <c r="AR30" s="73">
        <v>8</v>
      </c>
      <c r="AS30" s="116">
        <v>390176210.81999999</v>
      </c>
      <c r="AT30" s="73">
        <v>1</v>
      </c>
      <c r="AU30" s="116">
        <v>109648094.31</v>
      </c>
      <c r="AV30" s="73">
        <v>23</v>
      </c>
      <c r="AW30" s="116">
        <v>256561303.31</v>
      </c>
      <c r="AX30" s="73"/>
      <c r="AY30" s="116"/>
      <c r="AZ30" s="73"/>
      <c r="BA30" s="116"/>
      <c r="BB30" s="153"/>
      <c r="BC30" s="116"/>
      <c r="BD30" s="73"/>
      <c r="BE30" s="116"/>
      <c r="BF30" s="73"/>
      <c r="BG30" s="116"/>
      <c r="BH30" s="73"/>
      <c r="BI30" s="116"/>
      <c r="BJ30" s="73"/>
      <c r="BK30" s="116"/>
      <c r="BL30" s="73">
        <v>21</v>
      </c>
      <c r="BM30" s="116">
        <v>132109659.78</v>
      </c>
      <c r="BN30" s="73"/>
      <c r="BO30" s="116"/>
      <c r="BP30" s="487">
        <f t="shared" si="1"/>
        <v>707</v>
      </c>
      <c r="BQ30" s="116">
        <f t="shared" si="1"/>
        <v>24951648374.350002</v>
      </c>
    </row>
    <row r="31" spans="1:69">
      <c r="A31" s="76">
        <v>25</v>
      </c>
      <c r="B31" s="77" t="s">
        <v>128</v>
      </c>
      <c r="C31" s="76" t="s">
        <v>736</v>
      </c>
      <c r="D31" s="76">
        <v>2</v>
      </c>
      <c r="E31" s="117">
        <v>259170660</v>
      </c>
      <c r="F31" s="76">
        <v>1</v>
      </c>
      <c r="G31" s="117">
        <v>49365840</v>
      </c>
      <c r="H31" s="77"/>
      <c r="I31" s="117"/>
      <c r="J31" s="77"/>
      <c r="K31" s="117"/>
      <c r="L31" s="77">
        <v>165</v>
      </c>
      <c r="M31" s="117">
        <v>2816532701.3800001</v>
      </c>
      <c r="N31" s="77">
        <v>113</v>
      </c>
      <c r="O31" s="117">
        <v>1821028320.9916999</v>
      </c>
      <c r="P31" s="77">
        <v>1138</v>
      </c>
      <c r="Q31" s="117">
        <v>9963244511.2999992</v>
      </c>
      <c r="R31" s="77"/>
      <c r="S31" s="117"/>
      <c r="T31" s="77"/>
      <c r="U31" s="117"/>
      <c r="V31" s="77"/>
      <c r="W31" s="117"/>
      <c r="X31" s="77"/>
      <c r="Y31" s="117"/>
      <c r="Z31" s="77"/>
      <c r="AA31" s="117"/>
      <c r="AB31" s="77"/>
      <c r="AC31" s="117"/>
      <c r="AD31" s="77"/>
      <c r="AE31" s="117"/>
      <c r="AF31" s="77"/>
      <c r="AG31" s="117"/>
      <c r="AH31" s="77"/>
      <c r="AI31" s="117"/>
      <c r="AJ31" s="77"/>
      <c r="AK31" s="117"/>
      <c r="AL31" s="77"/>
      <c r="AM31" s="117"/>
      <c r="AN31" s="77"/>
      <c r="AO31" s="117"/>
      <c r="AP31" s="77"/>
      <c r="AQ31" s="117"/>
      <c r="AR31" s="77"/>
      <c r="AS31" s="117"/>
      <c r="AT31" s="77"/>
      <c r="AU31" s="117"/>
      <c r="AV31" s="77"/>
      <c r="AW31" s="117"/>
      <c r="AX31" s="77"/>
      <c r="AY31" s="117"/>
      <c r="AZ31" s="77"/>
      <c r="BA31" s="117"/>
      <c r="BB31" s="154"/>
      <c r="BC31" s="117"/>
      <c r="BD31" s="77">
        <v>1</v>
      </c>
      <c r="BE31" s="117">
        <v>60663781.259999998</v>
      </c>
      <c r="BF31" s="77"/>
      <c r="BG31" s="117"/>
      <c r="BH31" s="77">
        <v>5</v>
      </c>
      <c r="BI31" s="117">
        <v>86662544.659999996</v>
      </c>
      <c r="BJ31" s="77">
        <v>8</v>
      </c>
      <c r="BK31" s="117">
        <v>128922359.008</v>
      </c>
      <c r="BL31" s="77"/>
      <c r="BM31" s="117"/>
      <c r="BN31" s="77"/>
      <c r="BO31" s="117"/>
      <c r="BP31" s="486">
        <f t="shared" si="1"/>
        <v>1433</v>
      </c>
      <c r="BQ31" s="117">
        <f t="shared" si="1"/>
        <v>15185590718.599697</v>
      </c>
    </row>
    <row r="32" spans="1:69">
      <c r="A32" s="74">
        <v>27</v>
      </c>
      <c r="B32" s="73" t="s">
        <v>115</v>
      </c>
      <c r="C32" s="74" t="s">
        <v>743</v>
      </c>
      <c r="D32" s="74">
        <v>5</v>
      </c>
      <c r="E32" s="116"/>
      <c r="F32" s="74">
        <v>5</v>
      </c>
      <c r="G32" s="116"/>
      <c r="H32" s="73">
        <v>9</v>
      </c>
      <c r="I32" s="116"/>
      <c r="J32" s="73">
        <v>5</v>
      </c>
      <c r="K32" s="116"/>
      <c r="L32" s="73">
        <v>553</v>
      </c>
      <c r="M32" s="116"/>
      <c r="N32" s="73">
        <v>72</v>
      </c>
      <c r="O32" s="116"/>
      <c r="P32" s="73">
        <v>587</v>
      </c>
      <c r="Q32" s="116"/>
      <c r="R32" s="73"/>
      <c r="S32" s="116"/>
      <c r="T32" s="73"/>
      <c r="U32" s="116"/>
      <c r="V32" s="73"/>
      <c r="W32" s="116"/>
      <c r="X32" s="73"/>
      <c r="Y32" s="116"/>
      <c r="Z32" s="73"/>
      <c r="AA32" s="116"/>
      <c r="AB32" s="73"/>
      <c r="AC32" s="116"/>
      <c r="AD32" s="73"/>
      <c r="AE32" s="116"/>
      <c r="AF32" s="73"/>
      <c r="AG32" s="116"/>
      <c r="AH32" s="73"/>
      <c r="AI32" s="116"/>
      <c r="AJ32" s="73"/>
      <c r="AK32" s="116"/>
      <c r="AL32" s="73"/>
      <c r="AM32" s="116"/>
      <c r="AN32" s="73"/>
      <c r="AO32" s="116"/>
      <c r="AP32" s="73"/>
      <c r="AQ32" s="116"/>
      <c r="AR32" s="73">
        <v>14</v>
      </c>
      <c r="AS32" s="116"/>
      <c r="AT32" s="73"/>
      <c r="AU32" s="116"/>
      <c r="AV32" s="73">
        <v>21</v>
      </c>
      <c r="AW32" s="116"/>
      <c r="AX32" s="73"/>
      <c r="AY32" s="116"/>
      <c r="AZ32" s="73"/>
      <c r="BA32" s="116"/>
      <c r="BB32" s="153"/>
      <c r="BC32" s="116"/>
      <c r="BD32" s="73"/>
      <c r="BE32" s="116"/>
      <c r="BF32" s="73"/>
      <c r="BG32" s="116"/>
      <c r="BH32" s="73"/>
      <c r="BI32" s="116"/>
      <c r="BJ32" s="73"/>
      <c r="BK32" s="116"/>
      <c r="BL32" s="73"/>
      <c r="BM32" s="116"/>
      <c r="BN32" s="73"/>
      <c r="BO32" s="116"/>
      <c r="BP32" s="487">
        <f t="shared" si="1"/>
        <v>1271</v>
      </c>
      <c r="BQ32" s="116">
        <f t="shared" si="1"/>
        <v>0</v>
      </c>
    </row>
    <row r="33" spans="1:69">
      <c r="A33" s="76">
        <v>28</v>
      </c>
      <c r="B33" s="77" t="s">
        <v>747</v>
      </c>
      <c r="C33" s="76" t="s">
        <v>748</v>
      </c>
      <c r="D33" s="76">
        <v>1</v>
      </c>
      <c r="E33" s="117"/>
      <c r="F33" s="76">
        <v>4</v>
      </c>
      <c r="G33" s="117"/>
      <c r="H33" s="77"/>
      <c r="I33" s="117"/>
      <c r="J33" s="77"/>
      <c r="K33" s="117"/>
      <c r="L33" s="77">
        <v>41</v>
      </c>
      <c r="M33" s="117"/>
      <c r="N33" s="77">
        <v>77</v>
      </c>
      <c r="O33" s="117"/>
      <c r="P33" s="77">
        <v>692</v>
      </c>
      <c r="Q33" s="117"/>
      <c r="R33" s="77"/>
      <c r="S33" s="117"/>
      <c r="T33" s="77"/>
      <c r="U33" s="117"/>
      <c r="V33" s="77"/>
      <c r="W33" s="117"/>
      <c r="X33" s="77"/>
      <c r="Y33" s="117"/>
      <c r="Z33" s="77"/>
      <c r="AA33" s="117"/>
      <c r="AB33" s="77"/>
      <c r="AC33" s="117"/>
      <c r="AD33" s="77"/>
      <c r="AE33" s="117"/>
      <c r="AF33" s="77"/>
      <c r="AG33" s="117"/>
      <c r="AH33" s="77"/>
      <c r="AI33" s="117"/>
      <c r="AJ33" s="77"/>
      <c r="AK33" s="117"/>
      <c r="AL33" s="77"/>
      <c r="AM33" s="117"/>
      <c r="AN33" s="77"/>
      <c r="AO33" s="117"/>
      <c r="AP33" s="77"/>
      <c r="AQ33" s="117"/>
      <c r="AR33" s="77"/>
      <c r="AS33" s="117"/>
      <c r="AT33" s="77"/>
      <c r="AU33" s="117"/>
      <c r="AV33" s="77"/>
      <c r="AW33" s="117"/>
      <c r="AX33" s="77">
        <v>9</v>
      </c>
      <c r="AY33" s="117"/>
      <c r="AZ33" s="77"/>
      <c r="BA33" s="117"/>
      <c r="BB33" s="154"/>
      <c r="BC33" s="117"/>
      <c r="BD33" s="77"/>
      <c r="BE33" s="117"/>
      <c r="BF33" s="77"/>
      <c r="BG33" s="117"/>
      <c r="BH33" s="77">
        <v>1</v>
      </c>
      <c r="BI33" s="117"/>
      <c r="BJ33" s="77">
        <v>8</v>
      </c>
      <c r="BK33" s="117"/>
      <c r="BL33" s="77"/>
      <c r="BM33" s="117"/>
      <c r="BN33" s="77"/>
      <c r="BO33" s="117"/>
      <c r="BP33" s="486">
        <f t="shared" si="1"/>
        <v>833</v>
      </c>
      <c r="BQ33" s="117">
        <f t="shared" si="1"/>
        <v>0</v>
      </c>
    </row>
    <row r="34" spans="1:69">
      <c r="A34" s="74">
        <v>29</v>
      </c>
      <c r="B34" s="73" t="s">
        <v>752</v>
      </c>
      <c r="C34" s="74" t="s">
        <v>753</v>
      </c>
      <c r="D34" s="74">
        <v>7</v>
      </c>
      <c r="E34" s="116">
        <v>1876206585</v>
      </c>
      <c r="F34" s="74">
        <v>8</v>
      </c>
      <c r="G34" s="116">
        <v>5040986808</v>
      </c>
      <c r="H34" s="73"/>
      <c r="I34" s="116"/>
      <c r="J34" s="73">
        <v>32</v>
      </c>
      <c r="K34" s="116">
        <v>12825732876</v>
      </c>
      <c r="L34" s="73">
        <v>24</v>
      </c>
      <c r="M34" s="116">
        <v>1065464796</v>
      </c>
      <c r="N34" s="73">
        <v>143</v>
      </c>
      <c r="O34" s="116">
        <v>22570416264</v>
      </c>
      <c r="P34" s="73">
        <v>2877</v>
      </c>
      <c r="Q34" s="116">
        <v>48754004475</v>
      </c>
      <c r="R34" s="73">
        <v>396</v>
      </c>
      <c r="S34" s="116">
        <v>31776545658</v>
      </c>
      <c r="T34" s="73"/>
      <c r="U34" s="74"/>
      <c r="V34" s="73"/>
      <c r="W34" s="116"/>
      <c r="X34" s="73"/>
      <c r="Y34" s="116"/>
      <c r="Z34" s="73"/>
      <c r="AA34" s="116"/>
      <c r="AB34" s="73"/>
      <c r="AC34" s="116"/>
      <c r="AD34" s="73"/>
      <c r="AE34" s="116"/>
      <c r="AF34" s="73"/>
      <c r="AG34" s="116"/>
      <c r="AH34" s="73"/>
      <c r="AI34" s="116"/>
      <c r="AJ34" s="73"/>
      <c r="AK34" s="116"/>
      <c r="AL34" s="73">
        <v>1</v>
      </c>
      <c r="AM34" s="116">
        <v>494567931</v>
      </c>
      <c r="AN34" s="73">
        <v>4</v>
      </c>
      <c r="AO34" s="116">
        <v>147726018</v>
      </c>
      <c r="AP34" s="73"/>
      <c r="AQ34" s="116"/>
      <c r="AR34" s="73">
        <v>14</v>
      </c>
      <c r="AS34" s="116">
        <v>225466065</v>
      </c>
      <c r="AT34" s="73">
        <v>29</v>
      </c>
      <c r="AU34" s="116">
        <v>3912315825</v>
      </c>
      <c r="AV34" s="73"/>
      <c r="AW34" s="116"/>
      <c r="AX34" s="73"/>
      <c r="AY34" s="116"/>
      <c r="AZ34" s="73"/>
      <c r="BA34" s="116"/>
      <c r="BB34" s="153"/>
      <c r="BC34" s="116"/>
      <c r="BD34" s="73"/>
      <c r="BE34" s="116"/>
      <c r="BF34" s="73"/>
      <c r="BG34" s="116"/>
      <c r="BH34" s="73"/>
      <c r="BI34" s="116"/>
      <c r="BJ34" s="73"/>
      <c r="BK34" s="116"/>
      <c r="BL34" s="73"/>
      <c r="BM34" s="116"/>
      <c r="BN34" s="73"/>
      <c r="BO34" s="116"/>
      <c r="BP34" s="487">
        <f t="shared" si="1"/>
        <v>3535</v>
      </c>
      <c r="BQ34" s="116">
        <f t="shared" si="1"/>
        <v>128689433301</v>
      </c>
    </row>
    <row r="35" spans="1:69">
      <c r="A35" s="488">
        <v>30</v>
      </c>
      <c r="B35" s="489" t="s">
        <v>131</v>
      </c>
      <c r="C35" s="76" t="s">
        <v>619</v>
      </c>
      <c r="D35" s="76"/>
      <c r="E35" s="117"/>
      <c r="F35" s="76"/>
      <c r="G35" s="117"/>
      <c r="H35" s="77"/>
      <c r="I35" s="117"/>
      <c r="J35" s="77"/>
      <c r="K35" s="117"/>
      <c r="L35" s="77"/>
      <c r="M35" s="117"/>
      <c r="N35" s="77"/>
      <c r="O35" s="117"/>
      <c r="P35" s="77"/>
      <c r="Q35" s="117"/>
      <c r="R35" s="77"/>
      <c r="S35" s="117"/>
      <c r="T35" s="77"/>
      <c r="U35" s="76"/>
      <c r="V35" s="77"/>
      <c r="W35" s="117"/>
      <c r="X35" s="77"/>
      <c r="Y35" s="117"/>
      <c r="Z35" s="77"/>
      <c r="AA35" s="117"/>
      <c r="AB35" s="77"/>
      <c r="AC35" s="117"/>
      <c r="AD35" s="77"/>
      <c r="AE35" s="76"/>
      <c r="AF35" s="77"/>
      <c r="AG35" s="117"/>
      <c r="AH35" s="77"/>
      <c r="AI35" s="117"/>
      <c r="AJ35" s="77"/>
      <c r="AK35" s="117"/>
      <c r="AL35" s="77"/>
      <c r="AM35" s="117"/>
      <c r="AN35" s="77"/>
      <c r="AO35" s="117"/>
      <c r="AP35" s="77"/>
      <c r="AQ35" s="117"/>
      <c r="AR35" s="77"/>
      <c r="AS35" s="117"/>
      <c r="AT35" s="77"/>
      <c r="AU35" s="117"/>
      <c r="AV35" s="77"/>
      <c r="AW35" s="117"/>
      <c r="AX35" s="77"/>
      <c r="AY35" s="117"/>
      <c r="AZ35" s="77"/>
      <c r="BA35" s="117"/>
      <c r="BB35" s="154"/>
      <c r="BC35" s="117"/>
      <c r="BD35" s="77"/>
      <c r="BE35" s="117"/>
      <c r="BF35" s="77"/>
      <c r="BG35" s="117"/>
      <c r="BH35" s="77"/>
      <c r="BI35" s="117"/>
      <c r="BJ35" s="77"/>
      <c r="BK35" s="117"/>
      <c r="BL35" s="77"/>
      <c r="BM35" s="117"/>
      <c r="BN35" s="77"/>
      <c r="BO35" s="117"/>
      <c r="BP35" s="486">
        <f t="shared" si="1"/>
        <v>0</v>
      </c>
      <c r="BQ35" s="117">
        <f t="shared" si="1"/>
        <v>0</v>
      </c>
    </row>
    <row r="36" spans="1:69">
      <c r="A36" s="74">
        <v>31</v>
      </c>
      <c r="B36" s="73" t="s">
        <v>760</v>
      </c>
      <c r="C36" s="74" t="s">
        <v>761</v>
      </c>
      <c r="D36" s="487"/>
      <c r="E36" s="116"/>
      <c r="F36" s="487"/>
      <c r="G36" s="116"/>
      <c r="H36" s="487"/>
      <c r="I36" s="116"/>
      <c r="J36" s="487"/>
      <c r="K36" s="116"/>
      <c r="L36" s="487"/>
      <c r="M36" s="116"/>
      <c r="N36" s="487"/>
      <c r="O36" s="116"/>
      <c r="P36" s="487"/>
      <c r="Q36" s="116"/>
      <c r="R36" s="487"/>
      <c r="S36" s="116"/>
      <c r="T36" s="487"/>
      <c r="U36" s="116"/>
      <c r="V36" s="487"/>
      <c r="W36" s="116"/>
      <c r="X36" s="487"/>
      <c r="Y36" s="116"/>
      <c r="Z36" s="487"/>
      <c r="AA36" s="116"/>
      <c r="AB36" s="487"/>
      <c r="AC36" s="116"/>
      <c r="AD36" s="487"/>
      <c r="AE36" s="116"/>
      <c r="AF36" s="487"/>
      <c r="AG36" s="116"/>
      <c r="AH36" s="487"/>
      <c r="AI36" s="116"/>
      <c r="AJ36" s="487"/>
      <c r="AK36" s="116"/>
      <c r="AL36" s="487"/>
      <c r="AM36" s="116"/>
      <c r="AN36" s="487"/>
      <c r="AO36" s="116"/>
      <c r="AP36" s="487"/>
      <c r="AQ36" s="116"/>
      <c r="AR36" s="487"/>
      <c r="AS36" s="116"/>
      <c r="AT36" s="487"/>
      <c r="AU36" s="116"/>
      <c r="AV36" s="487"/>
      <c r="AW36" s="116"/>
      <c r="AX36" s="487"/>
      <c r="AY36" s="116"/>
      <c r="AZ36" s="487"/>
      <c r="BA36" s="116"/>
      <c r="BB36" s="116"/>
      <c r="BC36" s="116"/>
      <c r="BD36" s="487"/>
      <c r="BE36" s="116"/>
      <c r="BF36" s="487"/>
      <c r="BG36" s="116"/>
      <c r="BH36" s="487"/>
      <c r="BI36" s="116"/>
      <c r="BJ36" s="487"/>
      <c r="BK36" s="116"/>
      <c r="BL36" s="487"/>
      <c r="BM36" s="116"/>
      <c r="BN36" s="487"/>
      <c r="BO36" s="116"/>
      <c r="BP36" s="487">
        <f t="shared" si="1"/>
        <v>0</v>
      </c>
      <c r="BQ36" s="116">
        <f t="shared" si="1"/>
        <v>0</v>
      </c>
    </row>
    <row r="37" spans="1:69">
      <c r="A37" s="488">
        <v>32</v>
      </c>
      <c r="B37" s="77" t="s">
        <v>763</v>
      </c>
      <c r="C37" s="76" t="s">
        <v>764</v>
      </c>
      <c r="D37" s="76"/>
      <c r="E37" s="117"/>
      <c r="F37" s="76"/>
      <c r="G37" s="117"/>
      <c r="H37" s="77"/>
      <c r="I37" s="117"/>
      <c r="J37" s="77"/>
      <c r="K37" s="117"/>
      <c r="L37" s="77"/>
      <c r="M37" s="117"/>
      <c r="N37" s="77"/>
      <c r="O37" s="117"/>
      <c r="P37" s="77"/>
      <c r="Q37" s="117"/>
      <c r="R37" s="77"/>
      <c r="S37" s="117"/>
      <c r="T37" s="77"/>
      <c r="U37" s="76"/>
      <c r="V37" s="77"/>
      <c r="W37" s="117"/>
      <c r="X37" s="77"/>
      <c r="Y37" s="117"/>
      <c r="Z37" s="77"/>
      <c r="AA37" s="117"/>
      <c r="AB37" s="77"/>
      <c r="AC37" s="117"/>
      <c r="AD37" s="77"/>
      <c r="AE37" s="76"/>
      <c r="AF37" s="77"/>
      <c r="AG37" s="117"/>
      <c r="AH37" s="77"/>
      <c r="AI37" s="117"/>
      <c r="AJ37" s="77"/>
      <c r="AK37" s="117"/>
      <c r="AL37" s="77"/>
      <c r="AM37" s="117"/>
      <c r="AN37" s="77"/>
      <c r="AO37" s="117"/>
      <c r="AP37" s="77"/>
      <c r="AQ37" s="117"/>
      <c r="AR37" s="77"/>
      <c r="AS37" s="117"/>
      <c r="AT37" s="77"/>
      <c r="AU37" s="117"/>
      <c r="AV37" s="77"/>
      <c r="AW37" s="117"/>
      <c r="AX37" s="77"/>
      <c r="AY37" s="117"/>
      <c r="AZ37" s="77"/>
      <c r="BA37" s="117"/>
      <c r="BB37" s="154"/>
      <c r="BC37" s="117"/>
      <c r="BD37" s="77"/>
      <c r="BE37" s="117"/>
      <c r="BF37" s="77"/>
      <c r="BG37" s="117"/>
      <c r="BH37" s="77"/>
      <c r="BI37" s="117"/>
      <c r="BJ37" s="77"/>
      <c r="BK37" s="117"/>
      <c r="BL37" s="77"/>
      <c r="BM37" s="117"/>
      <c r="BN37" s="77"/>
      <c r="BO37" s="117"/>
      <c r="BP37" s="486">
        <f t="shared" si="1"/>
        <v>0</v>
      </c>
      <c r="BQ37" s="117">
        <f t="shared" si="1"/>
        <v>0</v>
      </c>
    </row>
    <row r="38" spans="1:69">
      <c r="A38" s="74">
        <v>33</v>
      </c>
      <c r="B38" s="73" t="s">
        <v>767</v>
      </c>
      <c r="C38" s="74" t="s">
        <v>768</v>
      </c>
      <c r="D38" s="487">
        <v>1</v>
      </c>
      <c r="E38" s="116"/>
      <c r="F38" s="487">
        <v>2</v>
      </c>
      <c r="G38" s="116"/>
      <c r="H38" s="487">
        <v>10</v>
      </c>
      <c r="I38" s="116"/>
      <c r="J38" s="487">
        <v>233</v>
      </c>
      <c r="K38" s="116"/>
      <c r="L38" s="487">
        <v>21</v>
      </c>
      <c r="M38" s="116"/>
      <c r="N38" s="487"/>
      <c r="O38" s="116"/>
      <c r="P38" s="487">
        <v>31</v>
      </c>
      <c r="Q38" s="116"/>
      <c r="R38" s="487"/>
      <c r="S38" s="116"/>
      <c r="T38" s="487"/>
      <c r="U38" s="116"/>
      <c r="V38" s="487"/>
      <c r="W38" s="116"/>
      <c r="X38" s="487"/>
      <c r="Y38" s="116"/>
      <c r="Z38" s="487"/>
      <c r="AA38" s="116"/>
      <c r="AB38" s="487">
        <v>258</v>
      </c>
      <c r="AC38" s="116"/>
      <c r="AD38" s="487"/>
      <c r="AE38" s="116"/>
      <c r="AF38" s="487"/>
      <c r="AG38" s="116"/>
      <c r="AH38" s="487"/>
      <c r="AI38" s="116"/>
      <c r="AJ38" s="487">
        <v>1</v>
      </c>
      <c r="AK38" s="116"/>
      <c r="AL38" s="487"/>
      <c r="AM38" s="116"/>
      <c r="AN38" s="487">
        <v>3</v>
      </c>
      <c r="AO38" s="116"/>
      <c r="AP38" s="487">
        <v>14</v>
      </c>
      <c r="AQ38" s="116"/>
      <c r="AR38" s="487"/>
      <c r="AS38" s="116"/>
      <c r="AT38" s="487"/>
      <c r="AU38" s="116"/>
      <c r="AV38" s="487"/>
      <c r="AW38" s="116"/>
      <c r="AX38" s="487"/>
      <c r="AY38" s="116"/>
      <c r="AZ38" s="487"/>
      <c r="BA38" s="116"/>
      <c r="BB38" s="116"/>
      <c r="BC38" s="116"/>
      <c r="BD38" s="487"/>
      <c r="BE38" s="116"/>
      <c r="BF38" s="487"/>
      <c r="BG38" s="116"/>
      <c r="BH38" s="487">
        <v>12</v>
      </c>
      <c r="BI38" s="116"/>
      <c r="BJ38" s="487"/>
      <c r="BK38" s="116"/>
      <c r="BL38" s="487">
        <v>877</v>
      </c>
      <c r="BM38" s="116"/>
      <c r="BN38" s="487">
        <v>17</v>
      </c>
      <c r="BO38" s="116"/>
      <c r="BP38" s="487">
        <f t="shared" si="1"/>
        <v>1480</v>
      </c>
      <c r="BQ38" s="116">
        <f t="shared" si="1"/>
        <v>0</v>
      </c>
    </row>
    <row r="39" spans="1:69">
      <c r="A39" s="488">
        <v>34</v>
      </c>
      <c r="B39" s="77" t="s">
        <v>774</v>
      </c>
      <c r="C39" s="76" t="s">
        <v>775</v>
      </c>
      <c r="D39" s="76"/>
      <c r="E39" s="117"/>
      <c r="F39" s="76"/>
      <c r="G39" s="117"/>
      <c r="H39" s="77">
        <v>24</v>
      </c>
      <c r="I39" s="117">
        <v>64000000</v>
      </c>
      <c r="J39" s="77"/>
      <c r="K39" s="117"/>
      <c r="L39" s="77">
        <v>480</v>
      </c>
      <c r="M39" s="117">
        <v>576000000</v>
      </c>
      <c r="N39" s="77"/>
      <c r="O39" s="117"/>
      <c r="P39" s="77">
        <v>5144</v>
      </c>
      <c r="Q39" s="117">
        <v>2594238300</v>
      </c>
      <c r="R39" s="77"/>
      <c r="S39" s="117"/>
      <c r="T39" s="77"/>
      <c r="U39" s="76"/>
      <c r="V39" s="77">
        <v>6</v>
      </c>
      <c r="W39" s="117">
        <v>20899212</v>
      </c>
      <c r="X39" s="77"/>
      <c r="Y39" s="117"/>
      <c r="Z39" s="77">
        <v>4</v>
      </c>
      <c r="AA39" s="117">
        <v>91436484</v>
      </c>
      <c r="AB39" s="77"/>
      <c r="AC39" s="117"/>
      <c r="AD39" s="77">
        <v>54</v>
      </c>
      <c r="AE39" s="117">
        <v>1094083200</v>
      </c>
      <c r="AF39" s="77"/>
      <c r="AG39" s="117"/>
      <c r="AH39" s="77"/>
      <c r="AI39" s="117"/>
      <c r="AJ39" s="77"/>
      <c r="AK39" s="117"/>
      <c r="AL39" s="77"/>
      <c r="AM39" s="117"/>
      <c r="AN39" s="77"/>
      <c r="AO39" s="117"/>
      <c r="AP39" s="77"/>
      <c r="AQ39" s="117"/>
      <c r="AR39" s="77"/>
      <c r="AS39" s="117"/>
      <c r="AT39" s="77"/>
      <c r="AU39" s="117"/>
      <c r="AV39" s="77">
        <v>192</v>
      </c>
      <c r="AW39" s="117">
        <v>129600000</v>
      </c>
      <c r="AX39" s="77"/>
      <c r="AY39" s="117"/>
      <c r="AZ39" s="77"/>
      <c r="BA39" s="117"/>
      <c r="BB39" s="490">
        <v>2</v>
      </c>
      <c r="BC39" s="117">
        <v>83596800</v>
      </c>
      <c r="BD39" s="77"/>
      <c r="BE39" s="117"/>
      <c r="BF39" s="77"/>
      <c r="BG39" s="117"/>
      <c r="BH39" s="77"/>
      <c r="BI39" s="117"/>
      <c r="BJ39" s="77">
        <v>8</v>
      </c>
      <c r="BK39" s="117">
        <v>169612800</v>
      </c>
      <c r="BL39" s="77"/>
      <c r="BM39" s="117"/>
      <c r="BN39" s="77"/>
      <c r="BO39" s="117"/>
      <c r="BP39" s="486">
        <f t="shared" si="1"/>
        <v>5914</v>
      </c>
      <c r="BQ39" s="117">
        <f t="shared" si="1"/>
        <v>4823466796</v>
      </c>
    </row>
    <row r="40" spans="1:69">
      <c r="A40" s="74">
        <v>35</v>
      </c>
      <c r="B40" s="491" t="s">
        <v>1854</v>
      </c>
      <c r="C40" s="74" t="s">
        <v>619</v>
      </c>
      <c r="D40" s="487"/>
      <c r="E40" s="116"/>
      <c r="F40" s="487"/>
      <c r="G40" s="116"/>
      <c r="H40" s="487"/>
      <c r="I40" s="116"/>
      <c r="J40" s="487"/>
      <c r="K40" s="116"/>
      <c r="L40" s="487"/>
      <c r="M40" s="116"/>
      <c r="N40" s="487"/>
      <c r="O40" s="116"/>
      <c r="P40" s="487"/>
      <c r="Q40" s="116"/>
      <c r="R40" s="487"/>
      <c r="S40" s="116"/>
      <c r="T40" s="487"/>
      <c r="U40" s="116"/>
      <c r="V40" s="487"/>
      <c r="W40" s="116"/>
      <c r="X40" s="487"/>
      <c r="Y40" s="116"/>
      <c r="Z40" s="487"/>
      <c r="AA40" s="116"/>
      <c r="AB40" s="487"/>
      <c r="AC40" s="116"/>
      <c r="AD40" s="487"/>
      <c r="AE40" s="116"/>
      <c r="AF40" s="487"/>
      <c r="AG40" s="116"/>
      <c r="AH40" s="487"/>
      <c r="AI40" s="116"/>
      <c r="AJ40" s="487"/>
      <c r="AK40" s="116"/>
      <c r="AL40" s="487"/>
      <c r="AM40" s="116"/>
      <c r="AN40" s="487"/>
      <c r="AO40" s="116"/>
      <c r="AP40" s="487"/>
      <c r="AQ40" s="116"/>
      <c r="AR40" s="487"/>
      <c r="AS40" s="116"/>
      <c r="AT40" s="487"/>
      <c r="AU40" s="116"/>
      <c r="AV40" s="487"/>
      <c r="AW40" s="116"/>
      <c r="AX40" s="487"/>
      <c r="AY40" s="116"/>
      <c r="AZ40" s="487"/>
      <c r="BA40" s="116"/>
      <c r="BB40" s="116"/>
      <c r="BC40" s="116"/>
      <c r="BD40" s="487"/>
      <c r="BE40" s="116"/>
      <c r="BF40" s="487"/>
      <c r="BG40" s="116"/>
      <c r="BH40" s="487"/>
      <c r="BI40" s="116"/>
      <c r="BJ40" s="487"/>
      <c r="BK40" s="116"/>
      <c r="BL40" s="487"/>
      <c r="BM40" s="116"/>
      <c r="BN40" s="487"/>
      <c r="BO40" s="116"/>
      <c r="BP40" s="487">
        <f t="shared" si="1"/>
        <v>0</v>
      </c>
      <c r="BQ40" s="116">
        <f t="shared" si="1"/>
        <v>0</v>
      </c>
    </row>
    <row r="41" spans="1:69">
      <c r="A41" s="488">
        <v>36</v>
      </c>
      <c r="B41" s="77" t="s">
        <v>778</v>
      </c>
      <c r="C41" s="76" t="s">
        <v>779</v>
      </c>
      <c r="D41" s="76"/>
      <c r="E41" s="117"/>
      <c r="F41" s="76"/>
      <c r="G41" s="117"/>
      <c r="H41" s="77"/>
      <c r="I41" s="117"/>
      <c r="J41" s="77"/>
      <c r="K41" s="117"/>
      <c r="L41" s="77"/>
      <c r="M41" s="117"/>
      <c r="N41" s="77"/>
      <c r="O41" s="117"/>
      <c r="P41" s="77"/>
      <c r="Q41" s="117"/>
      <c r="R41" s="77"/>
      <c r="S41" s="117"/>
      <c r="T41" s="77"/>
      <c r="U41" s="76"/>
      <c r="V41" s="77"/>
      <c r="W41" s="117"/>
      <c r="X41" s="77"/>
      <c r="Y41" s="117"/>
      <c r="Z41" s="77"/>
      <c r="AA41" s="117"/>
      <c r="AB41" s="77"/>
      <c r="AC41" s="117"/>
      <c r="AD41" s="77"/>
      <c r="AE41" s="76"/>
      <c r="AF41" s="77"/>
      <c r="AG41" s="117"/>
      <c r="AH41" s="77"/>
      <c r="AI41" s="117"/>
      <c r="AJ41" s="77"/>
      <c r="AK41" s="117"/>
      <c r="AL41" s="77"/>
      <c r="AM41" s="117"/>
      <c r="AN41" s="77"/>
      <c r="AO41" s="117"/>
      <c r="AP41" s="77"/>
      <c r="AQ41" s="117"/>
      <c r="AR41" s="77"/>
      <c r="AS41" s="117"/>
      <c r="AT41" s="77"/>
      <c r="AU41" s="117"/>
      <c r="AV41" s="77"/>
      <c r="AW41" s="117"/>
      <c r="AX41" s="77"/>
      <c r="AY41" s="117"/>
      <c r="AZ41" s="77"/>
      <c r="BA41" s="117"/>
      <c r="BB41" s="154"/>
      <c r="BC41" s="117"/>
      <c r="BD41" s="77"/>
      <c r="BE41" s="117"/>
      <c r="BF41" s="77"/>
      <c r="BG41" s="117"/>
      <c r="BH41" s="77"/>
      <c r="BI41" s="117"/>
      <c r="BJ41" s="77"/>
      <c r="BK41" s="117"/>
      <c r="BL41" s="77"/>
      <c r="BM41" s="117"/>
      <c r="BN41" s="77"/>
      <c r="BO41" s="117"/>
      <c r="BP41" s="486">
        <f t="shared" si="1"/>
        <v>0</v>
      </c>
      <c r="BQ41" s="117">
        <f t="shared" si="1"/>
        <v>0</v>
      </c>
    </row>
    <row r="42" spans="1:69">
      <c r="A42" s="74">
        <v>37</v>
      </c>
      <c r="B42" s="73" t="s">
        <v>783</v>
      </c>
      <c r="C42" s="74" t="s">
        <v>784</v>
      </c>
      <c r="D42" s="487"/>
      <c r="E42" s="116"/>
      <c r="F42" s="487">
        <v>2</v>
      </c>
      <c r="G42" s="116">
        <v>28133848.600000001</v>
      </c>
      <c r="H42" s="487"/>
      <c r="I42" s="116"/>
      <c r="J42" s="487">
        <v>3</v>
      </c>
      <c r="K42" s="116">
        <v>39102114.75</v>
      </c>
      <c r="L42" s="487"/>
      <c r="M42" s="116"/>
      <c r="N42" s="487"/>
      <c r="O42" s="116"/>
      <c r="P42" s="487">
        <v>292</v>
      </c>
      <c r="Q42" s="116">
        <v>913909000</v>
      </c>
      <c r="R42" s="487">
        <v>29</v>
      </c>
      <c r="S42" s="116">
        <v>363157816.67500001</v>
      </c>
      <c r="T42" s="487"/>
      <c r="U42" s="116"/>
      <c r="V42" s="487"/>
      <c r="W42" s="116"/>
      <c r="X42" s="487"/>
      <c r="Y42" s="116"/>
      <c r="Z42" s="487"/>
      <c r="AA42" s="116"/>
      <c r="AB42" s="487"/>
      <c r="AC42" s="116"/>
      <c r="AD42" s="487"/>
      <c r="AE42" s="116"/>
      <c r="AF42" s="487">
        <v>59</v>
      </c>
      <c r="AG42" s="116">
        <v>144688000</v>
      </c>
      <c r="AH42" s="487"/>
      <c r="AI42" s="116"/>
      <c r="AJ42" s="487"/>
      <c r="AK42" s="116"/>
      <c r="AL42" s="487">
        <v>2</v>
      </c>
      <c r="AM42" s="116">
        <v>23018603.399999999</v>
      </c>
      <c r="AN42" s="487"/>
      <c r="AO42" s="116"/>
      <c r="AP42" s="487">
        <v>2</v>
      </c>
      <c r="AQ42" s="116">
        <v>21739792.100000001</v>
      </c>
      <c r="AR42" s="487"/>
      <c r="AS42" s="116"/>
      <c r="AT42" s="487"/>
      <c r="AU42" s="116"/>
      <c r="AV42" s="487">
        <v>4</v>
      </c>
      <c r="AW42" s="116">
        <v>16426000</v>
      </c>
      <c r="AX42" s="487">
        <v>7</v>
      </c>
      <c r="AY42" s="116">
        <v>93623742.674999997</v>
      </c>
      <c r="AZ42" s="487"/>
      <c r="BA42" s="116"/>
      <c r="BB42" s="116"/>
      <c r="BC42" s="116"/>
      <c r="BD42" s="487"/>
      <c r="BE42" s="116"/>
      <c r="BF42" s="487"/>
      <c r="BG42" s="116"/>
      <c r="BH42" s="487"/>
      <c r="BI42" s="116"/>
      <c r="BJ42" s="487"/>
      <c r="BK42" s="116"/>
      <c r="BL42" s="487"/>
      <c r="BM42" s="116"/>
      <c r="BN42" s="487"/>
      <c r="BO42" s="116"/>
      <c r="BP42" s="487">
        <f t="shared" si="1"/>
        <v>400</v>
      </c>
      <c r="BQ42" s="116">
        <f t="shared" si="1"/>
        <v>1643798918.1999998</v>
      </c>
    </row>
    <row r="43" spans="1:69">
      <c r="A43" s="488">
        <v>38</v>
      </c>
      <c r="B43" s="77" t="s">
        <v>786</v>
      </c>
      <c r="C43" s="76" t="s">
        <v>787</v>
      </c>
      <c r="D43" s="76"/>
      <c r="E43" s="117"/>
      <c r="F43" s="76"/>
      <c r="G43" s="117"/>
      <c r="H43" s="77"/>
      <c r="I43" s="117"/>
      <c r="J43" s="77"/>
      <c r="K43" s="117"/>
      <c r="L43" s="77"/>
      <c r="M43" s="117"/>
      <c r="N43" s="77"/>
      <c r="O43" s="117"/>
      <c r="P43" s="77"/>
      <c r="Q43" s="117"/>
      <c r="R43" s="77"/>
      <c r="S43" s="117"/>
      <c r="T43" s="77"/>
      <c r="U43" s="76"/>
      <c r="V43" s="77">
        <v>1</v>
      </c>
      <c r="W43" s="117">
        <v>1800000</v>
      </c>
      <c r="X43" s="77"/>
      <c r="Y43" s="117"/>
      <c r="Z43" s="77">
        <v>1</v>
      </c>
      <c r="AA43" s="117">
        <v>1100000</v>
      </c>
      <c r="AB43" s="77">
        <v>43</v>
      </c>
      <c r="AC43" s="117">
        <v>19810000</v>
      </c>
      <c r="AD43" s="77">
        <v>17</v>
      </c>
      <c r="AE43" s="117">
        <v>16165000</v>
      </c>
      <c r="AF43" s="77">
        <v>222</v>
      </c>
      <c r="AG43" s="117">
        <v>62855000</v>
      </c>
      <c r="AH43" s="77"/>
      <c r="AI43" s="117"/>
      <c r="AJ43" s="77"/>
      <c r="AK43" s="117"/>
      <c r="AL43" s="77"/>
      <c r="AM43" s="117"/>
      <c r="AN43" s="77"/>
      <c r="AO43" s="117"/>
      <c r="AP43" s="77"/>
      <c r="AQ43" s="117"/>
      <c r="AR43" s="77"/>
      <c r="AS43" s="117"/>
      <c r="AT43" s="77"/>
      <c r="AU43" s="117"/>
      <c r="AV43" s="77"/>
      <c r="AW43" s="117"/>
      <c r="AX43" s="77"/>
      <c r="AY43" s="117"/>
      <c r="AZ43" s="77"/>
      <c r="BA43" s="117"/>
      <c r="BB43" s="154"/>
      <c r="BC43" s="117"/>
      <c r="BD43" s="77"/>
      <c r="BE43" s="117"/>
      <c r="BF43" s="77"/>
      <c r="BG43" s="117"/>
      <c r="BH43" s="77"/>
      <c r="BI43" s="117"/>
      <c r="BJ43" s="77">
        <v>1</v>
      </c>
      <c r="BK43" s="117">
        <v>900000</v>
      </c>
      <c r="BL43" s="77"/>
      <c r="BM43" s="117"/>
      <c r="BN43" s="77"/>
      <c r="BO43" s="117"/>
      <c r="BP43" s="486">
        <f t="shared" si="1"/>
        <v>285</v>
      </c>
      <c r="BQ43" s="117">
        <f t="shared" si="1"/>
        <v>102630000</v>
      </c>
    </row>
    <row r="44" spans="1:69">
      <c r="A44" s="74">
        <v>39</v>
      </c>
      <c r="B44" s="73" t="s">
        <v>549</v>
      </c>
      <c r="C44" s="74" t="s">
        <v>789</v>
      </c>
      <c r="D44" s="487"/>
      <c r="E44" s="116"/>
      <c r="F44" s="487"/>
      <c r="G44" s="116"/>
      <c r="H44" s="487"/>
      <c r="I44" s="116"/>
      <c r="J44" s="487"/>
      <c r="K44" s="116"/>
      <c r="L44" s="487"/>
      <c r="M44" s="116"/>
      <c r="N44" s="487"/>
      <c r="O44" s="116"/>
      <c r="P44" s="487"/>
      <c r="Q44" s="116"/>
      <c r="R44" s="487"/>
      <c r="S44" s="116"/>
      <c r="T44" s="487"/>
      <c r="U44" s="116"/>
      <c r="V44" s="487"/>
      <c r="W44" s="116"/>
      <c r="X44" s="487"/>
      <c r="Y44" s="116"/>
      <c r="Z44" s="487"/>
      <c r="AA44" s="116"/>
      <c r="AB44" s="487"/>
      <c r="AC44" s="116"/>
      <c r="AD44" s="487"/>
      <c r="AE44" s="116"/>
      <c r="AF44" s="487"/>
      <c r="AG44" s="116"/>
      <c r="AH44" s="487"/>
      <c r="AI44" s="116"/>
      <c r="AJ44" s="487"/>
      <c r="AK44" s="116"/>
      <c r="AL44" s="487"/>
      <c r="AM44" s="116"/>
      <c r="AN44" s="487"/>
      <c r="AO44" s="116"/>
      <c r="AP44" s="487"/>
      <c r="AQ44" s="116"/>
      <c r="AR44" s="487"/>
      <c r="AS44" s="116"/>
      <c r="AT44" s="487"/>
      <c r="AU44" s="116"/>
      <c r="AV44" s="487"/>
      <c r="AW44" s="116"/>
      <c r="AX44" s="487"/>
      <c r="AY44" s="116"/>
      <c r="AZ44" s="487"/>
      <c r="BA44" s="116"/>
      <c r="BB44" s="487"/>
      <c r="BC44" s="116"/>
      <c r="BD44" s="487"/>
      <c r="BE44" s="116"/>
      <c r="BF44" s="487"/>
      <c r="BG44" s="116"/>
      <c r="BH44" s="487"/>
      <c r="BI44" s="116"/>
      <c r="BJ44" s="487"/>
      <c r="BK44" s="116"/>
      <c r="BL44" s="487"/>
      <c r="BM44" s="116"/>
      <c r="BN44" s="487"/>
      <c r="BO44" s="116"/>
      <c r="BP44" s="487">
        <f t="shared" si="1"/>
        <v>0</v>
      </c>
      <c r="BQ44" s="116">
        <f t="shared" si="1"/>
        <v>0</v>
      </c>
    </row>
    <row r="45" spans="1:69">
      <c r="A45" s="488">
        <v>40</v>
      </c>
      <c r="B45" s="489" t="s">
        <v>2449</v>
      </c>
      <c r="C45" s="76"/>
      <c r="D45" s="486"/>
      <c r="E45" s="117"/>
      <c r="F45" s="486"/>
      <c r="G45" s="117"/>
      <c r="H45" s="486"/>
      <c r="I45" s="117"/>
      <c r="J45" s="486"/>
      <c r="K45" s="117"/>
      <c r="L45" s="486"/>
      <c r="M45" s="117"/>
      <c r="N45" s="486"/>
      <c r="O45" s="117"/>
      <c r="P45" s="486"/>
      <c r="Q45" s="117"/>
      <c r="R45" s="486"/>
      <c r="S45" s="117"/>
      <c r="T45" s="486"/>
      <c r="U45" s="117"/>
      <c r="V45" s="486"/>
      <c r="W45" s="117"/>
      <c r="X45" s="486"/>
      <c r="Y45" s="117"/>
      <c r="Z45" s="486"/>
      <c r="AA45" s="117"/>
      <c r="AB45" s="486"/>
      <c r="AC45" s="117"/>
      <c r="AD45" s="486"/>
      <c r="AE45" s="117"/>
      <c r="AF45" s="486"/>
      <c r="AG45" s="117"/>
      <c r="AH45" s="486"/>
      <c r="AI45" s="117"/>
      <c r="AJ45" s="486"/>
      <c r="AK45" s="117"/>
      <c r="AL45" s="486"/>
      <c r="AM45" s="117"/>
      <c r="AN45" s="486"/>
      <c r="AO45" s="117"/>
      <c r="AP45" s="486"/>
      <c r="AQ45" s="117"/>
      <c r="AR45" s="486"/>
      <c r="AS45" s="117"/>
      <c r="AT45" s="486"/>
      <c r="AU45" s="117"/>
      <c r="AV45" s="486"/>
      <c r="AW45" s="117"/>
      <c r="AX45" s="486"/>
      <c r="AY45" s="117"/>
      <c r="AZ45" s="486"/>
      <c r="BA45" s="117"/>
      <c r="BB45" s="486"/>
      <c r="BC45" s="117"/>
      <c r="BD45" s="486"/>
      <c r="BE45" s="117"/>
      <c r="BF45" s="486"/>
      <c r="BG45" s="117"/>
      <c r="BH45" s="486"/>
      <c r="BI45" s="117"/>
      <c r="BJ45" s="486"/>
      <c r="BK45" s="117"/>
      <c r="BL45" s="486"/>
      <c r="BM45" s="117"/>
      <c r="BN45" s="486"/>
      <c r="BO45" s="117"/>
      <c r="BP45" s="486">
        <f t="shared" si="1"/>
        <v>0</v>
      </c>
      <c r="BQ45" s="117">
        <f t="shared" si="1"/>
        <v>0</v>
      </c>
    </row>
    <row r="46" spans="1:69">
      <c r="A46" s="74">
        <v>41</v>
      </c>
      <c r="B46" s="73" t="s">
        <v>227</v>
      </c>
      <c r="C46" s="74" t="s">
        <v>790</v>
      </c>
      <c r="D46" s="487"/>
      <c r="E46" s="116"/>
      <c r="F46" s="487"/>
      <c r="G46" s="116"/>
      <c r="H46" s="487"/>
      <c r="I46" s="116"/>
      <c r="J46" s="487"/>
      <c r="K46" s="116"/>
      <c r="L46" s="487"/>
      <c r="M46" s="116"/>
      <c r="N46" s="487"/>
      <c r="O46" s="116"/>
      <c r="P46" s="487"/>
      <c r="Q46" s="116"/>
      <c r="R46" s="487"/>
      <c r="S46" s="116"/>
      <c r="T46" s="487">
        <v>13</v>
      </c>
      <c r="U46" s="116">
        <v>170886806</v>
      </c>
      <c r="V46" s="487">
        <v>7</v>
      </c>
      <c r="W46" s="116">
        <v>286333020.05180198</v>
      </c>
      <c r="X46" s="487">
        <v>62</v>
      </c>
      <c r="Y46" s="116">
        <v>610175592</v>
      </c>
      <c r="Z46" s="487">
        <v>32</v>
      </c>
      <c r="AA46" s="116">
        <v>822760530.32000005</v>
      </c>
      <c r="AB46" s="487">
        <v>728</v>
      </c>
      <c r="AC46" s="116">
        <v>644673850</v>
      </c>
      <c r="AD46" s="487">
        <v>62</v>
      </c>
      <c r="AE46" s="116">
        <v>1162577730.3099999</v>
      </c>
      <c r="AF46" s="487">
        <v>159</v>
      </c>
      <c r="AG46" s="116">
        <v>525725505</v>
      </c>
      <c r="AH46" s="487">
        <v>35</v>
      </c>
      <c r="AI46" s="116">
        <v>516308665.60000002</v>
      </c>
      <c r="AJ46" s="487"/>
      <c r="AK46" s="116"/>
      <c r="AL46" s="487"/>
      <c r="AM46" s="116"/>
      <c r="AN46" s="487"/>
      <c r="AO46" s="116"/>
      <c r="AP46" s="487"/>
      <c r="AQ46" s="116"/>
      <c r="AR46" s="487"/>
      <c r="AS46" s="116"/>
      <c r="AT46" s="487"/>
      <c r="AU46" s="116"/>
      <c r="AV46" s="487"/>
      <c r="AW46" s="116"/>
      <c r="AX46" s="487"/>
      <c r="AY46" s="116"/>
      <c r="AZ46" s="487">
        <v>1</v>
      </c>
      <c r="BA46" s="116">
        <v>714771</v>
      </c>
      <c r="BB46" s="487"/>
      <c r="BC46" s="116"/>
      <c r="BD46" s="487">
        <v>1</v>
      </c>
      <c r="BE46" s="116">
        <v>648935</v>
      </c>
      <c r="BF46" s="487">
        <v>3</v>
      </c>
      <c r="BG46" s="116">
        <v>70592657.930000007</v>
      </c>
      <c r="BH46" s="487">
        <v>9</v>
      </c>
      <c r="BI46" s="116">
        <v>416651114</v>
      </c>
      <c r="BJ46" s="487">
        <v>6</v>
      </c>
      <c r="BK46" s="116">
        <v>113559944.89</v>
      </c>
      <c r="BL46" s="487">
        <v>6</v>
      </c>
      <c r="BM46" s="116">
        <v>104314721</v>
      </c>
      <c r="BN46" s="487">
        <v>8</v>
      </c>
      <c r="BO46" s="116">
        <v>86586754.969999999</v>
      </c>
      <c r="BP46" s="487">
        <f t="shared" si="1"/>
        <v>1132</v>
      </c>
      <c r="BQ46" s="116">
        <f t="shared" si="1"/>
        <v>5532510598.0718012</v>
      </c>
    </row>
    <row r="47" spans="1:69">
      <c r="A47" s="488">
        <v>42</v>
      </c>
      <c r="B47" s="77" t="s">
        <v>792</v>
      </c>
      <c r="C47" s="76" t="s">
        <v>793</v>
      </c>
      <c r="D47" s="486">
        <v>1</v>
      </c>
      <c r="E47" s="117">
        <v>22159700</v>
      </c>
      <c r="F47" s="486">
        <v>2</v>
      </c>
      <c r="G47" s="117">
        <v>44306188</v>
      </c>
      <c r="H47" s="486">
        <v>7</v>
      </c>
      <c r="I47" s="117">
        <v>114531579</v>
      </c>
      <c r="J47" s="486">
        <v>6</v>
      </c>
      <c r="K47" s="117">
        <v>84134194</v>
      </c>
      <c r="L47" s="486">
        <v>117</v>
      </c>
      <c r="M47" s="117">
        <v>1167888434</v>
      </c>
      <c r="N47" s="486"/>
      <c r="O47" s="117"/>
      <c r="P47" s="486">
        <v>184</v>
      </c>
      <c r="Q47" s="117">
        <v>1136050211</v>
      </c>
      <c r="R47" s="486">
        <v>24</v>
      </c>
      <c r="S47" s="117">
        <v>277462737</v>
      </c>
      <c r="T47" s="486"/>
      <c r="U47" s="117"/>
      <c r="V47" s="486"/>
      <c r="W47" s="117"/>
      <c r="X47" s="486"/>
      <c r="Y47" s="117"/>
      <c r="Z47" s="486"/>
      <c r="AA47" s="117"/>
      <c r="AB47" s="486"/>
      <c r="AC47" s="117"/>
      <c r="AD47" s="486"/>
      <c r="AE47" s="117"/>
      <c r="AF47" s="486"/>
      <c r="AG47" s="117"/>
      <c r="AH47" s="486"/>
      <c r="AI47" s="117"/>
      <c r="AJ47" s="486"/>
      <c r="AK47" s="117"/>
      <c r="AL47" s="486"/>
      <c r="AM47" s="117"/>
      <c r="AN47" s="486"/>
      <c r="AO47" s="117"/>
      <c r="AP47" s="486"/>
      <c r="AQ47" s="117"/>
      <c r="AR47" s="486"/>
      <c r="AS47" s="117"/>
      <c r="AT47" s="486"/>
      <c r="AU47" s="117"/>
      <c r="AV47" s="486">
        <v>1</v>
      </c>
      <c r="AW47" s="117">
        <v>7214990</v>
      </c>
      <c r="AX47" s="486"/>
      <c r="AY47" s="117"/>
      <c r="AZ47" s="486"/>
      <c r="BA47" s="117"/>
      <c r="BB47" s="486"/>
      <c r="BC47" s="117"/>
      <c r="BD47" s="486"/>
      <c r="BE47" s="117"/>
      <c r="BF47" s="486"/>
      <c r="BG47" s="117"/>
      <c r="BH47" s="486"/>
      <c r="BI47" s="117"/>
      <c r="BJ47" s="486"/>
      <c r="BK47" s="117"/>
      <c r="BL47" s="486"/>
      <c r="BM47" s="117"/>
      <c r="BN47" s="486"/>
      <c r="BO47" s="117"/>
      <c r="BP47" s="486">
        <f t="shared" si="1"/>
        <v>342</v>
      </c>
      <c r="BQ47" s="117">
        <f t="shared" si="1"/>
        <v>2853748033</v>
      </c>
    </row>
    <row r="48" spans="1:69">
      <c r="A48" s="74">
        <v>43</v>
      </c>
      <c r="B48" s="491" t="s">
        <v>1856</v>
      </c>
      <c r="C48" s="74"/>
      <c r="D48" s="487"/>
      <c r="E48" s="116"/>
      <c r="F48" s="487"/>
      <c r="G48" s="116"/>
      <c r="H48" s="487"/>
      <c r="I48" s="116"/>
      <c r="J48" s="487"/>
      <c r="K48" s="116"/>
      <c r="L48" s="487"/>
      <c r="M48" s="116"/>
      <c r="N48" s="487"/>
      <c r="O48" s="116"/>
      <c r="P48" s="487"/>
      <c r="Q48" s="116"/>
      <c r="R48" s="487"/>
      <c r="S48" s="116"/>
      <c r="T48" s="487"/>
      <c r="U48" s="116"/>
      <c r="V48" s="487"/>
      <c r="W48" s="116"/>
      <c r="X48" s="487"/>
      <c r="Y48" s="116"/>
      <c r="Z48" s="487"/>
      <c r="AA48" s="116"/>
      <c r="AB48" s="487"/>
      <c r="AC48" s="116"/>
      <c r="AD48" s="487"/>
      <c r="AE48" s="116"/>
      <c r="AF48" s="487"/>
      <c r="AG48" s="116"/>
      <c r="AH48" s="487"/>
      <c r="AI48" s="116"/>
      <c r="AJ48" s="487"/>
      <c r="AK48" s="116"/>
      <c r="AL48" s="487"/>
      <c r="AM48" s="116"/>
      <c r="AN48" s="487"/>
      <c r="AO48" s="116"/>
      <c r="AP48" s="487"/>
      <c r="AQ48" s="116"/>
      <c r="AR48" s="487"/>
      <c r="AS48" s="116"/>
      <c r="AT48" s="487"/>
      <c r="AU48" s="116"/>
      <c r="AV48" s="487"/>
      <c r="AW48" s="116"/>
      <c r="AX48" s="487"/>
      <c r="AY48" s="116"/>
      <c r="AZ48" s="487"/>
      <c r="BA48" s="116"/>
      <c r="BB48" s="487"/>
      <c r="BC48" s="116"/>
      <c r="BD48" s="487"/>
      <c r="BE48" s="116"/>
      <c r="BF48" s="487"/>
      <c r="BG48" s="116"/>
      <c r="BH48" s="487"/>
      <c r="BI48" s="116"/>
      <c r="BJ48" s="487"/>
      <c r="BK48" s="116"/>
      <c r="BL48" s="487"/>
      <c r="BM48" s="116"/>
      <c r="BN48" s="487"/>
      <c r="BO48" s="116"/>
      <c r="BP48" s="487">
        <f t="shared" si="1"/>
        <v>0</v>
      </c>
      <c r="BQ48" s="116">
        <f t="shared" si="1"/>
        <v>0</v>
      </c>
    </row>
    <row r="49" spans="1:69">
      <c r="A49" s="488">
        <v>44</v>
      </c>
      <c r="B49" s="489" t="s">
        <v>487</v>
      </c>
      <c r="C49" s="76"/>
      <c r="D49" s="486"/>
      <c r="E49" s="117"/>
      <c r="F49" s="486"/>
      <c r="G49" s="117"/>
      <c r="H49" s="486"/>
      <c r="I49" s="117"/>
      <c r="J49" s="486"/>
      <c r="K49" s="117"/>
      <c r="L49" s="486"/>
      <c r="M49" s="117"/>
      <c r="N49" s="486"/>
      <c r="O49" s="117"/>
      <c r="P49" s="486"/>
      <c r="Q49" s="117"/>
      <c r="R49" s="486"/>
      <c r="S49" s="117"/>
      <c r="T49" s="486"/>
      <c r="U49" s="117"/>
      <c r="V49" s="486"/>
      <c r="W49" s="117"/>
      <c r="X49" s="486"/>
      <c r="Y49" s="117"/>
      <c r="Z49" s="486"/>
      <c r="AA49" s="117"/>
      <c r="AB49" s="486"/>
      <c r="AC49" s="117"/>
      <c r="AD49" s="486"/>
      <c r="AE49" s="117"/>
      <c r="AF49" s="486"/>
      <c r="AG49" s="117"/>
      <c r="AH49" s="486"/>
      <c r="AI49" s="117"/>
      <c r="AJ49" s="486"/>
      <c r="AK49" s="117"/>
      <c r="AL49" s="486"/>
      <c r="AM49" s="117"/>
      <c r="AN49" s="486"/>
      <c r="AO49" s="117"/>
      <c r="AP49" s="486"/>
      <c r="AQ49" s="117"/>
      <c r="AR49" s="486"/>
      <c r="AS49" s="117"/>
      <c r="AT49" s="486"/>
      <c r="AU49" s="117"/>
      <c r="AV49" s="486"/>
      <c r="AW49" s="117"/>
      <c r="AX49" s="486"/>
      <c r="AY49" s="117"/>
      <c r="AZ49" s="486"/>
      <c r="BA49" s="117"/>
      <c r="BB49" s="486"/>
      <c r="BC49" s="117"/>
      <c r="BD49" s="486"/>
      <c r="BE49" s="117"/>
      <c r="BF49" s="486"/>
      <c r="BG49" s="117"/>
      <c r="BH49" s="486"/>
      <c r="BI49" s="117"/>
      <c r="BJ49" s="486"/>
      <c r="BK49" s="117"/>
      <c r="BL49" s="486"/>
      <c r="BM49" s="117"/>
      <c r="BN49" s="486"/>
      <c r="BO49" s="117"/>
      <c r="BP49" s="486">
        <f t="shared" si="1"/>
        <v>0</v>
      </c>
      <c r="BQ49" s="117">
        <f t="shared" si="1"/>
        <v>0</v>
      </c>
    </row>
    <row r="50" spans="1:69">
      <c r="A50" s="74">
        <v>45</v>
      </c>
      <c r="B50" s="73" t="s">
        <v>801</v>
      </c>
      <c r="C50" s="74" t="s">
        <v>802</v>
      </c>
      <c r="D50" s="487"/>
      <c r="E50" s="116"/>
      <c r="F50" s="487"/>
      <c r="G50" s="116"/>
      <c r="H50" s="487"/>
      <c r="I50" s="116"/>
      <c r="J50" s="487"/>
      <c r="K50" s="116"/>
      <c r="L50" s="487"/>
      <c r="M50" s="116"/>
      <c r="N50" s="487"/>
      <c r="O50" s="116"/>
      <c r="P50" s="487"/>
      <c r="Q50" s="116"/>
      <c r="R50" s="487"/>
      <c r="S50" s="116"/>
      <c r="T50" s="487"/>
      <c r="U50" s="116"/>
      <c r="V50" s="487"/>
      <c r="W50" s="116"/>
      <c r="X50" s="487"/>
      <c r="Y50" s="116"/>
      <c r="Z50" s="487"/>
      <c r="AA50" s="116"/>
      <c r="AB50" s="487"/>
      <c r="AC50" s="116"/>
      <c r="AD50" s="487"/>
      <c r="AE50" s="116"/>
      <c r="AF50" s="487"/>
      <c r="AG50" s="116"/>
      <c r="AH50" s="487"/>
      <c r="AI50" s="116"/>
      <c r="AJ50" s="487"/>
      <c r="AK50" s="116"/>
      <c r="AL50" s="487"/>
      <c r="AM50" s="116"/>
      <c r="AN50" s="487"/>
      <c r="AO50" s="116"/>
      <c r="AP50" s="487"/>
      <c r="AQ50" s="116"/>
      <c r="AR50" s="487"/>
      <c r="AS50" s="116"/>
      <c r="AT50" s="487"/>
      <c r="AU50" s="116"/>
      <c r="AV50" s="487"/>
      <c r="AW50" s="116"/>
      <c r="AX50" s="487"/>
      <c r="AY50" s="116"/>
      <c r="AZ50" s="487"/>
      <c r="BA50" s="116"/>
      <c r="BB50" s="487"/>
      <c r="BC50" s="116"/>
      <c r="BD50" s="487"/>
      <c r="BE50" s="116"/>
      <c r="BF50" s="487"/>
      <c r="BG50" s="116"/>
      <c r="BH50" s="487"/>
      <c r="BI50" s="116"/>
      <c r="BJ50" s="487"/>
      <c r="BK50" s="116"/>
      <c r="BL50" s="487"/>
      <c r="BM50" s="116"/>
      <c r="BN50" s="487"/>
      <c r="BO50" s="116"/>
      <c r="BP50" s="487">
        <f t="shared" si="1"/>
        <v>0</v>
      </c>
      <c r="BQ50" s="116">
        <f t="shared" si="1"/>
        <v>0</v>
      </c>
    </row>
    <row r="51" spans="1:69">
      <c r="A51" s="488">
        <v>46</v>
      </c>
      <c r="B51" s="77" t="s">
        <v>176</v>
      </c>
      <c r="C51" s="76" t="s">
        <v>804</v>
      </c>
      <c r="D51" s="486"/>
      <c r="E51" s="117"/>
      <c r="F51" s="486"/>
      <c r="G51" s="117"/>
      <c r="H51" s="486"/>
      <c r="I51" s="117"/>
      <c r="J51" s="486"/>
      <c r="K51" s="117"/>
      <c r="L51" s="486"/>
      <c r="M51" s="117"/>
      <c r="N51" s="486"/>
      <c r="O51" s="117"/>
      <c r="P51" s="486"/>
      <c r="Q51" s="117"/>
      <c r="R51" s="486"/>
      <c r="S51" s="117"/>
      <c r="T51" s="486"/>
      <c r="U51" s="117"/>
      <c r="V51" s="486"/>
      <c r="W51" s="117"/>
      <c r="X51" s="486"/>
      <c r="Y51" s="117"/>
      <c r="Z51" s="486"/>
      <c r="AA51" s="117"/>
      <c r="AB51" s="486"/>
      <c r="AC51" s="117"/>
      <c r="AD51" s="486"/>
      <c r="AE51" s="117"/>
      <c r="AF51" s="486"/>
      <c r="AG51" s="117"/>
      <c r="AH51" s="486"/>
      <c r="AI51" s="117"/>
      <c r="AJ51" s="486"/>
      <c r="AK51" s="117"/>
      <c r="AL51" s="486"/>
      <c r="AM51" s="117"/>
      <c r="AN51" s="486"/>
      <c r="AO51" s="117"/>
      <c r="AP51" s="486"/>
      <c r="AQ51" s="117"/>
      <c r="AR51" s="486"/>
      <c r="AS51" s="117"/>
      <c r="AT51" s="486"/>
      <c r="AU51" s="117"/>
      <c r="AV51" s="486"/>
      <c r="AW51" s="117"/>
      <c r="AX51" s="486"/>
      <c r="AY51" s="117"/>
      <c r="AZ51" s="486"/>
      <c r="BA51" s="117"/>
      <c r="BB51" s="486"/>
      <c r="BC51" s="117"/>
      <c r="BD51" s="486"/>
      <c r="BE51" s="117"/>
      <c r="BF51" s="486"/>
      <c r="BG51" s="117"/>
      <c r="BH51" s="486"/>
      <c r="BI51" s="117"/>
      <c r="BJ51" s="486"/>
      <c r="BK51" s="117"/>
      <c r="BL51" s="486"/>
      <c r="BM51" s="117"/>
      <c r="BN51" s="486"/>
      <c r="BO51" s="117"/>
      <c r="BP51" s="486">
        <f t="shared" si="1"/>
        <v>0</v>
      </c>
      <c r="BQ51" s="117">
        <f t="shared" si="1"/>
        <v>0</v>
      </c>
    </row>
    <row r="52" spans="1:69">
      <c r="A52" s="74">
        <v>47</v>
      </c>
      <c r="B52" s="73" t="s">
        <v>806</v>
      </c>
      <c r="C52" s="74" t="s">
        <v>807</v>
      </c>
      <c r="D52" s="487">
        <v>1</v>
      </c>
      <c r="E52" s="116">
        <v>7200000</v>
      </c>
      <c r="F52" s="487">
        <v>6</v>
      </c>
      <c r="G52" s="116">
        <v>107670000</v>
      </c>
      <c r="H52" s="487">
        <v>2</v>
      </c>
      <c r="I52" s="116">
        <v>8944000</v>
      </c>
      <c r="J52" s="487">
        <v>2</v>
      </c>
      <c r="K52" s="116">
        <v>32100000</v>
      </c>
      <c r="L52" s="487">
        <v>1</v>
      </c>
      <c r="M52" s="116">
        <v>3740000</v>
      </c>
      <c r="N52" s="487">
        <v>4</v>
      </c>
      <c r="O52" s="116">
        <v>63300000</v>
      </c>
      <c r="P52" s="487">
        <v>193</v>
      </c>
      <c r="Q52" s="116">
        <v>461678400</v>
      </c>
      <c r="R52" s="487">
        <v>3</v>
      </c>
      <c r="S52" s="116">
        <v>45000000</v>
      </c>
      <c r="T52" s="487"/>
      <c r="U52" s="116"/>
      <c r="V52" s="487"/>
      <c r="W52" s="116"/>
      <c r="X52" s="487"/>
      <c r="Y52" s="116"/>
      <c r="Z52" s="487"/>
      <c r="AA52" s="116"/>
      <c r="AB52" s="487"/>
      <c r="AC52" s="116"/>
      <c r="AD52" s="487"/>
      <c r="AE52" s="116"/>
      <c r="AF52" s="487"/>
      <c r="AG52" s="116"/>
      <c r="AH52" s="487"/>
      <c r="AI52" s="116"/>
      <c r="AJ52" s="487">
        <v>1</v>
      </c>
      <c r="AK52" s="116">
        <v>8400000</v>
      </c>
      <c r="AL52" s="487">
        <v>3</v>
      </c>
      <c r="AM52" s="116">
        <v>53838000</v>
      </c>
      <c r="AN52" s="487"/>
      <c r="AO52" s="116"/>
      <c r="AP52" s="487"/>
      <c r="AQ52" s="116"/>
      <c r="AR52" s="487"/>
      <c r="AS52" s="116"/>
      <c r="AT52" s="487"/>
      <c r="AU52" s="116"/>
      <c r="AV52" s="487"/>
      <c r="AW52" s="116"/>
      <c r="AX52" s="487"/>
      <c r="AY52" s="116"/>
      <c r="AZ52" s="487"/>
      <c r="BA52" s="116"/>
      <c r="BB52" s="487"/>
      <c r="BC52" s="116"/>
      <c r="BD52" s="487"/>
      <c r="BE52" s="116"/>
      <c r="BF52" s="487"/>
      <c r="BG52" s="116"/>
      <c r="BH52" s="487"/>
      <c r="BI52" s="116"/>
      <c r="BJ52" s="487"/>
      <c r="BK52" s="116"/>
      <c r="BL52" s="487"/>
      <c r="BM52" s="116"/>
      <c r="BN52" s="487"/>
      <c r="BO52" s="116"/>
      <c r="BP52" s="487">
        <f t="shared" si="1"/>
        <v>216</v>
      </c>
      <c r="BQ52" s="116">
        <f t="shared" si="1"/>
        <v>791870400</v>
      </c>
    </row>
    <row r="53" spans="1:69">
      <c r="A53" s="488">
        <v>48</v>
      </c>
      <c r="B53" s="77" t="s">
        <v>812</v>
      </c>
      <c r="C53" s="76" t="s">
        <v>813</v>
      </c>
      <c r="D53" s="486">
        <v>3</v>
      </c>
      <c r="E53" s="117"/>
      <c r="F53" s="486"/>
      <c r="G53" s="117"/>
      <c r="H53" s="486">
        <v>27</v>
      </c>
      <c r="I53" s="117"/>
      <c r="J53" s="486"/>
      <c r="K53" s="117"/>
      <c r="L53" s="486">
        <v>56</v>
      </c>
      <c r="M53" s="117"/>
      <c r="N53" s="486"/>
      <c r="O53" s="117"/>
      <c r="P53" s="486">
        <v>654</v>
      </c>
      <c r="Q53" s="117"/>
      <c r="R53" s="486"/>
      <c r="S53" s="117"/>
      <c r="T53" s="486"/>
      <c r="U53" s="117"/>
      <c r="V53" s="486"/>
      <c r="W53" s="117"/>
      <c r="X53" s="486"/>
      <c r="Y53" s="117"/>
      <c r="Z53" s="486"/>
      <c r="AA53" s="117"/>
      <c r="AB53" s="486"/>
      <c r="AC53" s="117"/>
      <c r="AD53" s="486"/>
      <c r="AE53" s="117"/>
      <c r="AF53" s="486"/>
      <c r="AG53" s="117"/>
      <c r="AH53" s="486"/>
      <c r="AI53" s="117"/>
      <c r="AJ53" s="486"/>
      <c r="AK53" s="117"/>
      <c r="AL53" s="486"/>
      <c r="AM53" s="117"/>
      <c r="AN53" s="486"/>
      <c r="AO53" s="117"/>
      <c r="AP53" s="486"/>
      <c r="AQ53" s="117"/>
      <c r="AR53" s="486"/>
      <c r="AS53" s="117"/>
      <c r="AT53" s="486"/>
      <c r="AU53" s="117"/>
      <c r="AV53" s="486"/>
      <c r="AW53" s="117"/>
      <c r="AX53" s="486"/>
      <c r="AY53" s="117"/>
      <c r="AZ53" s="486"/>
      <c r="BA53" s="117"/>
      <c r="BB53" s="486"/>
      <c r="BC53" s="117"/>
      <c r="BD53" s="486">
        <v>1</v>
      </c>
      <c r="BE53" s="117"/>
      <c r="BF53" s="486"/>
      <c r="BG53" s="117"/>
      <c r="BH53" s="486"/>
      <c r="BI53" s="117"/>
      <c r="BJ53" s="486"/>
      <c r="BK53" s="117"/>
      <c r="BL53" s="486">
        <v>2</v>
      </c>
      <c r="BM53" s="117"/>
      <c r="BN53" s="486"/>
      <c r="BO53" s="117"/>
      <c r="BP53" s="486">
        <f t="shared" si="1"/>
        <v>743</v>
      </c>
      <c r="BQ53" s="117">
        <f t="shared" si="1"/>
        <v>0</v>
      </c>
    </row>
    <row r="54" spans="1:69">
      <c r="A54" s="74">
        <v>49</v>
      </c>
      <c r="B54" s="491" t="s">
        <v>189</v>
      </c>
      <c r="C54" s="74"/>
      <c r="D54" s="487"/>
      <c r="E54" s="116"/>
      <c r="F54" s="487"/>
      <c r="G54" s="116"/>
      <c r="H54" s="487"/>
      <c r="I54" s="116"/>
      <c r="J54" s="487"/>
      <c r="K54" s="116"/>
      <c r="L54" s="487"/>
      <c r="M54" s="116"/>
      <c r="N54" s="487"/>
      <c r="O54" s="116"/>
      <c r="P54" s="487"/>
      <c r="Q54" s="116"/>
      <c r="R54" s="487"/>
      <c r="S54" s="116"/>
      <c r="T54" s="487"/>
      <c r="U54" s="116"/>
      <c r="V54" s="487"/>
      <c r="W54" s="116"/>
      <c r="X54" s="487"/>
      <c r="Y54" s="116"/>
      <c r="Z54" s="487"/>
      <c r="AA54" s="116"/>
      <c r="AB54" s="487"/>
      <c r="AC54" s="116"/>
      <c r="AD54" s="487"/>
      <c r="AE54" s="116"/>
      <c r="AF54" s="487"/>
      <c r="AG54" s="116"/>
      <c r="AH54" s="487"/>
      <c r="AI54" s="116"/>
      <c r="AJ54" s="487"/>
      <c r="AK54" s="116"/>
      <c r="AL54" s="487"/>
      <c r="AM54" s="116"/>
      <c r="AN54" s="487"/>
      <c r="AO54" s="116"/>
      <c r="AP54" s="487"/>
      <c r="AQ54" s="116"/>
      <c r="AR54" s="487"/>
      <c r="AS54" s="116"/>
      <c r="AT54" s="487"/>
      <c r="AU54" s="116"/>
      <c r="AV54" s="487"/>
      <c r="AW54" s="116"/>
      <c r="AX54" s="487"/>
      <c r="AY54" s="116"/>
      <c r="AZ54" s="487"/>
      <c r="BA54" s="116"/>
      <c r="BB54" s="487"/>
      <c r="BC54" s="116"/>
      <c r="BD54" s="487"/>
      <c r="BE54" s="116"/>
      <c r="BF54" s="487"/>
      <c r="BG54" s="116"/>
      <c r="BH54" s="487"/>
      <c r="BI54" s="116"/>
      <c r="BJ54" s="487"/>
      <c r="BK54" s="116"/>
      <c r="BL54" s="487"/>
      <c r="BM54" s="116"/>
      <c r="BN54" s="487"/>
      <c r="BO54" s="116"/>
      <c r="BP54" s="487">
        <f t="shared" si="1"/>
        <v>0</v>
      </c>
      <c r="BQ54" s="116">
        <f t="shared" si="1"/>
        <v>0</v>
      </c>
    </row>
    <row r="55" spans="1:69">
      <c r="A55" s="488">
        <v>50</v>
      </c>
      <c r="B55" s="489" t="s">
        <v>1865</v>
      </c>
      <c r="C55" s="76"/>
      <c r="D55" s="486"/>
      <c r="E55" s="117"/>
      <c r="F55" s="486"/>
      <c r="G55" s="117"/>
      <c r="H55" s="486"/>
      <c r="I55" s="117"/>
      <c r="J55" s="486"/>
      <c r="K55" s="117"/>
      <c r="L55" s="486"/>
      <c r="M55" s="117"/>
      <c r="N55" s="486"/>
      <c r="O55" s="117"/>
      <c r="P55" s="486"/>
      <c r="Q55" s="117"/>
      <c r="R55" s="486"/>
      <c r="S55" s="117"/>
      <c r="T55" s="486"/>
      <c r="U55" s="117"/>
      <c r="V55" s="486"/>
      <c r="W55" s="117"/>
      <c r="X55" s="486"/>
      <c r="Y55" s="117"/>
      <c r="Z55" s="486"/>
      <c r="AA55" s="117"/>
      <c r="AB55" s="486"/>
      <c r="AC55" s="117"/>
      <c r="AD55" s="486"/>
      <c r="AE55" s="117"/>
      <c r="AF55" s="486"/>
      <c r="AG55" s="117"/>
      <c r="AH55" s="486"/>
      <c r="AI55" s="117"/>
      <c r="AJ55" s="486"/>
      <c r="AK55" s="117"/>
      <c r="AL55" s="486"/>
      <c r="AM55" s="117"/>
      <c r="AN55" s="486"/>
      <c r="AO55" s="117"/>
      <c r="AP55" s="486"/>
      <c r="AQ55" s="117"/>
      <c r="AR55" s="486"/>
      <c r="AS55" s="117"/>
      <c r="AT55" s="486"/>
      <c r="AU55" s="117"/>
      <c r="AV55" s="486"/>
      <c r="AW55" s="117"/>
      <c r="AX55" s="486"/>
      <c r="AY55" s="117"/>
      <c r="AZ55" s="486"/>
      <c r="BA55" s="117"/>
      <c r="BB55" s="486"/>
      <c r="BC55" s="117"/>
      <c r="BD55" s="486"/>
      <c r="BE55" s="117"/>
      <c r="BF55" s="486"/>
      <c r="BG55" s="117"/>
      <c r="BH55" s="486"/>
      <c r="BI55" s="117"/>
      <c r="BJ55" s="486"/>
      <c r="BK55" s="117"/>
      <c r="BL55" s="486"/>
      <c r="BM55" s="117"/>
      <c r="BN55" s="486"/>
      <c r="BO55" s="117"/>
      <c r="BP55" s="486">
        <f t="shared" si="1"/>
        <v>0</v>
      </c>
      <c r="BQ55" s="117">
        <f t="shared" si="1"/>
        <v>0</v>
      </c>
    </row>
    <row r="56" spans="1:69">
      <c r="A56" s="74">
        <v>51</v>
      </c>
      <c r="B56" s="73" t="s">
        <v>816</v>
      </c>
      <c r="C56" s="74" t="s">
        <v>817</v>
      </c>
      <c r="D56" s="487"/>
      <c r="E56" s="116"/>
      <c r="F56" s="487"/>
      <c r="G56" s="116"/>
      <c r="H56" s="487"/>
      <c r="I56" s="116"/>
      <c r="J56" s="487"/>
      <c r="K56" s="116"/>
      <c r="L56" s="487"/>
      <c r="M56" s="116"/>
      <c r="N56" s="487"/>
      <c r="O56" s="116"/>
      <c r="P56" s="487"/>
      <c r="Q56" s="116"/>
      <c r="R56" s="487"/>
      <c r="S56" s="116"/>
      <c r="T56" s="487"/>
      <c r="U56" s="116"/>
      <c r="V56" s="487"/>
      <c r="W56" s="116"/>
      <c r="X56" s="487"/>
      <c r="Y56" s="116"/>
      <c r="Z56" s="487"/>
      <c r="AA56" s="116"/>
      <c r="AB56" s="487"/>
      <c r="AC56" s="116"/>
      <c r="AD56" s="487"/>
      <c r="AE56" s="116"/>
      <c r="AF56" s="487"/>
      <c r="AG56" s="116"/>
      <c r="AH56" s="487"/>
      <c r="AI56" s="116"/>
      <c r="AJ56" s="487"/>
      <c r="AK56" s="116"/>
      <c r="AL56" s="487"/>
      <c r="AM56" s="116"/>
      <c r="AN56" s="487"/>
      <c r="AO56" s="116"/>
      <c r="AP56" s="487"/>
      <c r="AQ56" s="116"/>
      <c r="AR56" s="487"/>
      <c r="AS56" s="116"/>
      <c r="AT56" s="487"/>
      <c r="AU56" s="116"/>
      <c r="AV56" s="487"/>
      <c r="AW56" s="116"/>
      <c r="AX56" s="487"/>
      <c r="AY56" s="116"/>
      <c r="AZ56" s="487"/>
      <c r="BA56" s="116"/>
      <c r="BB56" s="487"/>
      <c r="BC56" s="116"/>
      <c r="BD56" s="487"/>
      <c r="BE56" s="116"/>
      <c r="BF56" s="487"/>
      <c r="BG56" s="116"/>
      <c r="BH56" s="487"/>
      <c r="BI56" s="116"/>
      <c r="BJ56" s="487"/>
      <c r="BK56" s="116"/>
      <c r="BL56" s="487"/>
      <c r="BM56" s="116"/>
      <c r="BN56" s="487"/>
      <c r="BO56" s="116"/>
      <c r="BP56" s="487">
        <f t="shared" si="1"/>
        <v>0</v>
      </c>
      <c r="BQ56" s="116">
        <f t="shared" si="1"/>
        <v>0</v>
      </c>
    </row>
    <row r="57" spans="1:69">
      <c r="A57" s="488">
        <v>52</v>
      </c>
      <c r="B57" s="77" t="s">
        <v>818</v>
      </c>
      <c r="C57" s="76" t="s">
        <v>819</v>
      </c>
      <c r="D57" s="486">
        <v>1</v>
      </c>
      <c r="E57" s="117"/>
      <c r="F57" s="486"/>
      <c r="G57" s="117"/>
      <c r="H57" s="486">
        <v>42</v>
      </c>
      <c r="I57" s="117"/>
      <c r="J57" s="486">
        <v>2</v>
      </c>
      <c r="K57" s="117"/>
      <c r="L57" s="486">
        <v>322</v>
      </c>
      <c r="M57" s="117"/>
      <c r="N57" s="486"/>
      <c r="O57" s="117"/>
      <c r="P57" s="486"/>
      <c r="Q57" s="117"/>
      <c r="R57" s="486"/>
      <c r="S57" s="117"/>
      <c r="T57" s="486"/>
      <c r="U57" s="117"/>
      <c r="V57" s="486"/>
      <c r="W57" s="117"/>
      <c r="X57" s="486"/>
      <c r="Y57" s="117"/>
      <c r="Z57" s="486"/>
      <c r="AA57" s="117"/>
      <c r="AB57" s="486">
        <v>344</v>
      </c>
      <c r="AC57" s="117"/>
      <c r="AD57" s="486">
        <v>22</v>
      </c>
      <c r="AE57" s="117"/>
      <c r="AF57" s="486"/>
      <c r="AG57" s="117"/>
      <c r="AH57" s="486"/>
      <c r="AI57" s="117"/>
      <c r="AJ57" s="486">
        <v>1</v>
      </c>
      <c r="AK57" s="117"/>
      <c r="AL57" s="486"/>
      <c r="AM57" s="117"/>
      <c r="AN57" s="486"/>
      <c r="AO57" s="117"/>
      <c r="AP57" s="486"/>
      <c r="AQ57" s="117"/>
      <c r="AR57" s="486">
        <v>23</v>
      </c>
      <c r="AS57" s="117"/>
      <c r="AT57" s="486"/>
      <c r="AU57" s="117"/>
      <c r="AV57" s="486"/>
      <c r="AW57" s="117"/>
      <c r="AX57" s="486"/>
      <c r="AY57" s="117"/>
      <c r="AZ57" s="486"/>
      <c r="BA57" s="117"/>
      <c r="BB57" s="486"/>
      <c r="BC57" s="117"/>
      <c r="BD57" s="486"/>
      <c r="BE57" s="117"/>
      <c r="BF57" s="486"/>
      <c r="BG57" s="117"/>
      <c r="BH57" s="486">
        <v>13</v>
      </c>
      <c r="BI57" s="117"/>
      <c r="BJ57" s="486">
        <v>2</v>
      </c>
      <c r="BK57" s="117"/>
      <c r="BL57" s="486"/>
      <c r="BM57" s="117"/>
      <c r="BN57" s="486"/>
      <c r="BO57" s="117"/>
      <c r="BP57" s="486">
        <f t="shared" si="1"/>
        <v>772</v>
      </c>
      <c r="BQ57" s="117">
        <f t="shared" si="1"/>
        <v>0</v>
      </c>
    </row>
    <row r="58" spans="1:69">
      <c r="A58" s="74">
        <v>53</v>
      </c>
      <c r="B58" s="73" t="s">
        <v>175</v>
      </c>
      <c r="C58" s="74" t="s">
        <v>824</v>
      </c>
      <c r="D58" s="487"/>
      <c r="E58" s="116"/>
      <c r="F58" s="487">
        <v>2</v>
      </c>
      <c r="G58" s="116"/>
      <c r="H58" s="487"/>
      <c r="I58" s="116"/>
      <c r="J58" s="487">
        <v>47</v>
      </c>
      <c r="K58" s="116"/>
      <c r="L58" s="487">
        <v>89</v>
      </c>
      <c r="M58" s="116"/>
      <c r="N58" s="487">
        <v>23</v>
      </c>
      <c r="O58" s="116"/>
      <c r="P58" s="487">
        <v>354</v>
      </c>
      <c r="Q58" s="116">
        <v>2086337839</v>
      </c>
      <c r="R58" s="487">
        <v>48</v>
      </c>
      <c r="S58" s="116">
        <v>3467652841</v>
      </c>
      <c r="T58" s="487"/>
      <c r="U58" s="116"/>
      <c r="V58" s="487"/>
      <c r="W58" s="116"/>
      <c r="X58" s="487"/>
      <c r="Y58" s="116"/>
      <c r="Z58" s="487"/>
      <c r="AA58" s="116"/>
      <c r="AB58" s="487"/>
      <c r="AC58" s="116"/>
      <c r="AD58" s="487"/>
      <c r="AE58" s="116"/>
      <c r="AF58" s="487"/>
      <c r="AG58" s="116"/>
      <c r="AH58" s="487"/>
      <c r="AI58" s="116"/>
      <c r="AJ58" s="487"/>
      <c r="AK58" s="116"/>
      <c r="AL58" s="487"/>
      <c r="AM58" s="116"/>
      <c r="AN58" s="487"/>
      <c r="AO58" s="116"/>
      <c r="AP58" s="487">
        <v>3</v>
      </c>
      <c r="AQ58" s="116"/>
      <c r="AR58" s="487"/>
      <c r="AS58" s="116"/>
      <c r="AT58" s="487"/>
      <c r="AU58" s="116"/>
      <c r="AV58" s="487">
        <v>13</v>
      </c>
      <c r="AW58" s="116"/>
      <c r="AX58" s="487">
        <v>4</v>
      </c>
      <c r="AY58" s="116"/>
      <c r="AZ58" s="487"/>
      <c r="BA58" s="116"/>
      <c r="BB58" s="487"/>
      <c r="BC58" s="116"/>
      <c r="BD58" s="487"/>
      <c r="BE58" s="116"/>
      <c r="BF58" s="487"/>
      <c r="BG58" s="116"/>
      <c r="BH58" s="487"/>
      <c r="BI58" s="116"/>
      <c r="BJ58" s="487"/>
      <c r="BK58" s="116"/>
      <c r="BL58" s="487"/>
      <c r="BM58" s="116"/>
      <c r="BN58" s="487"/>
      <c r="BO58" s="116"/>
      <c r="BP58" s="487">
        <f t="shared" si="1"/>
        <v>583</v>
      </c>
      <c r="BQ58" s="116">
        <f t="shared" si="1"/>
        <v>5553990680</v>
      </c>
    </row>
    <row r="59" spans="1:69">
      <c r="A59" s="488">
        <v>54</v>
      </c>
      <c r="B59" s="77" t="s">
        <v>564</v>
      </c>
      <c r="C59" s="76" t="s">
        <v>562</v>
      </c>
      <c r="D59" s="486">
        <v>3</v>
      </c>
      <c r="E59" s="117"/>
      <c r="F59" s="486">
        <v>1</v>
      </c>
      <c r="G59" s="117"/>
      <c r="H59" s="486">
        <v>28</v>
      </c>
      <c r="I59" s="117"/>
      <c r="J59" s="486">
        <v>5</v>
      </c>
      <c r="K59" s="117"/>
      <c r="L59" s="486">
        <v>35</v>
      </c>
      <c r="M59" s="117"/>
      <c r="N59" s="486"/>
      <c r="O59" s="117"/>
      <c r="P59" s="486">
        <v>15</v>
      </c>
      <c r="Q59" s="117"/>
      <c r="R59" s="486"/>
      <c r="S59" s="117"/>
      <c r="T59" s="486"/>
      <c r="U59" s="117"/>
      <c r="V59" s="486"/>
      <c r="W59" s="117"/>
      <c r="X59" s="486"/>
      <c r="Y59" s="117"/>
      <c r="Z59" s="486"/>
      <c r="AA59" s="117"/>
      <c r="AB59" s="486"/>
      <c r="AC59" s="117"/>
      <c r="AD59" s="486"/>
      <c r="AE59" s="117"/>
      <c r="AF59" s="486"/>
      <c r="AG59" s="117"/>
      <c r="AH59" s="486"/>
      <c r="AI59" s="117"/>
      <c r="AJ59" s="486"/>
      <c r="AK59" s="117"/>
      <c r="AL59" s="486">
        <v>1</v>
      </c>
      <c r="AM59" s="117"/>
      <c r="AN59" s="486">
        <v>5</v>
      </c>
      <c r="AO59" s="117"/>
      <c r="AP59" s="486"/>
      <c r="AQ59" s="117"/>
      <c r="AR59" s="486">
        <v>13</v>
      </c>
      <c r="AS59" s="117"/>
      <c r="AT59" s="486"/>
      <c r="AU59" s="117"/>
      <c r="AV59" s="486">
        <v>13</v>
      </c>
      <c r="AW59" s="117"/>
      <c r="AX59" s="486"/>
      <c r="AY59" s="117"/>
      <c r="AZ59" s="486"/>
      <c r="BA59" s="117"/>
      <c r="BB59" s="486"/>
      <c r="BC59" s="117"/>
      <c r="BD59" s="486"/>
      <c r="BE59" s="117"/>
      <c r="BF59" s="486"/>
      <c r="BG59" s="117"/>
      <c r="BH59" s="486"/>
      <c r="BI59" s="117"/>
      <c r="BJ59" s="486"/>
      <c r="BK59" s="117"/>
      <c r="BL59" s="486"/>
      <c r="BM59" s="117"/>
      <c r="BN59" s="486"/>
      <c r="BO59" s="117"/>
      <c r="BP59" s="486">
        <f t="shared" si="1"/>
        <v>119</v>
      </c>
      <c r="BQ59" s="117">
        <f t="shared" si="1"/>
        <v>0</v>
      </c>
    </row>
    <row r="60" spans="1:69">
      <c r="A60" s="74">
        <v>55</v>
      </c>
      <c r="B60" s="73" t="s">
        <v>827</v>
      </c>
      <c r="C60" s="74" t="s">
        <v>828</v>
      </c>
      <c r="D60" s="487"/>
      <c r="E60" s="116"/>
      <c r="F60" s="487">
        <v>1</v>
      </c>
      <c r="G60" s="116">
        <v>15395900</v>
      </c>
      <c r="H60" s="487">
        <v>24</v>
      </c>
      <c r="I60" s="116">
        <v>124024411.925</v>
      </c>
      <c r="J60" s="487">
        <v>5</v>
      </c>
      <c r="K60" s="116">
        <v>76979500</v>
      </c>
      <c r="L60" s="487">
        <v>30</v>
      </c>
      <c r="M60" s="116">
        <v>119375016.5</v>
      </c>
      <c r="N60" s="487">
        <v>8</v>
      </c>
      <c r="O60" s="116">
        <v>123167200</v>
      </c>
      <c r="P60" s="487">
        <v>127</v>
      </c>
      <c r="Q60" s="116">
        <v>387554726.48750001</v>
      </c>
      <c r="R60" s="487"/>
      <c r="S60" s="116"/>
      <c r="T60" s="487"/>
      <c r="U60" s="116"/>
      <c r="V60" s="487">
        <v>1</v>
      </c>
      <c r="W60" s="116">
        <v>15395900</v>
      </c>
      <c r="X60" s="487">
        <v>28</v>
      </c>
      <c r="Y60" s="116">
        <v>119638150.8</v>
      </c>
      <c r="Z60" s="487">
        <v>2</v>
      </c>
      <c r="AA60" s="116">
        <v>30791800</v>
      </c>
      <c r="AB60" s="487">
        <v>36</v>
      </c>
      <c r="AC60" s="116">
        <v>103563671.55</v>
      </c>
      <c r="AD60" s="487">
        <v>4</v>
      </c>
      <c r="AE60" s="116">
        <v>61583600</v>
      </c>
      <c r="AF60" s="487"/>
      <c r="AG60" s="116"/>
      <c r="AH60" s="487"/>
      <c r="AI60" s="116"/>
      <c r="AJ60" s="487"/>
      <c r="AK60" s="116"/>
      <c r="AL60" s="487">
        <v>1</v>
      </c>
      <c r="AM60" s="116">
        <v>15395900</v>
      </c>
      <c r="AN60" s="487"/>
      <c r="AO60" s="116"/>
      <c r="AP60" s="487">
        <v>1</v>
      </c>
      <c r="AQ60" s="116">
        <v>15395900</v>
      </c>
      <c r="AR60" s="487">
        <v>1</v>
      </c>
      <c r="AS60" s="116">
        <v>3610716.25</v>
      </c>
      <c r="AT60" s="487">
        <v>1</v>
      </c>
      <c r="AU60" s="116">
        <v>15395900</v>
      </c>
      <c r="AV60" s="487">
        <v>4</v>
      </c>
      <c r="AW60" s="116">
        <v>14606924.025</v>
      </c>
      <c r="AX60" s="487"/>
      <c r="AY60" s="116"/>
      <c r="AZ60" s="487"/>
      <c r="BA60" s="116"/>
      <c r="BB60" s="487"/>
      <c r="BC60" s="116"/>
      <c r="BD60" s="487"/>
      <c r="BE60" s="116"/>
      <c r="BF60" s="487">
        <v>1</v>
      </c>
      <c r="BG60" s="116">
        <v>15395900</v>
      </c>
      <c r="BH60" s="487"/>
      <c r="BI60" s="116"/>
      <c r="BJ60" s="487"/>
      <c r="BK60" s="116"/>
      <c r="BL60" s="487">
        <v>2</v>
      </c>
      <c r="BM60" s="116">
        <v>6250924.2000000002</v>
      </c>
      <c r="BN60" s="487"/>
      <c r="BO60" s="116"/>
      <c r="BP60" s="487">
        <f t="shared" si="1"/>
        <v>277</v>
      </c>
      <c r="BQ60" s="116">
        <f t="shared" si="1"/>
        <v>1263522041.7375</v>
      </c>
    </row>
    <row r="61" spans="1:69">
      <c r="A61" s="488">
        <v>56</v>
      </c>
      <c r="B61" s="77" t="s">
        <v>177</v>
      </c>
      <c r="C61" s="76" t="s">
        <v>832</v>
      </c>
      <c r="D61" s="486">
        <v>2</v>
      </c>
      <c r="E61" s="117">
        <v>112262519</v>
      </c>
      <c r="F61" s="486">
        <v>5</v>
      </c>
      <c r="G61" s="117">
        <v>121551240</v>
      </c>
      <c r="H61" s="486">
        <v>10</v>
      </c>
      <c r="I61" s="117">
        <v>97438600</v>
      </c>
      <c r="J61" s="486">
        <v>9</v>
      </c>
      <c r="K61" s="117">
        <v>261914550</v>
      </c>
      <c r="L61" s="486">
        <v>10</v>
      </c>
      <c r="M61" s="117">
        <v>70558987</v>
      </c>
      <c r="N61" s="486"/>
      <c r="O61" s="117"/>
      <c r="P61" s="486">
        <v>57</v>
      </c>
      <c r="Q61" s="117">
        <v>187707631</v>
      </c>
      <c r="R61" s="486"/>
      <c r="S61" s="117"/>
      <c r="T61" s="486"/>
      <c r="U61" s="117"/>
      <c r="V61" s="486"/>
      <c r="W61" s="117"/>
      <c r="X61" s="486"/>
      <c r="Y61" s="117"/>
      <c r="Z61" s="486"/>
      <c r="AA61" s="117"/>
      <c r="AB61" s="486"/>
      <c r="AC61" s="117"/>
      <c r="AD61" s="486"/>
      <c r="AE61" s="117"/>
      <c r="AF61" s="486"/>
      <c r="AG61" s="117"/>
      <c r="AH61" s="486"/>
      <c r="AI61" s="117"/>
      <c r="AJ61" s="486"/>
      <c r="AK61" s="117"/>
      <c r="AL61" s="486">
        <v>1</v>
      </c>
      <c r="AM61" s="117">
        <v>24310248</v>
      </c>
      <c r="AN61" s="486">
        <v>2</v>
      </c>
      <c r="AO61" s="117">
        <v>19487720</v>
      </c>
      <c r="AP61" s="486"/>
      <c r="AQ61" s="117"/>
      <c r="AR61" s="486">
        <v>2</v>
      </c>
      <c r="AS61" s="117">
        <v>14111797</v>
      </c>
      <c r="AT61" s="486"/>
      <c r="AU61" s="117"/>
      <c r="AV61" s="486">
        <v>9</v>
      </c>
      <c r="AW61" s="117">
        <v>29638047</v>
      </c>
      <c r="AX61" s="486"/>
      <c r="AY61" s="117"/>
      <c r="AZ61" s="486"/>
      <c r="BA61" s="117"/>
      <c r="BB61" s="486"/>
      <c r="BC61" s="117"/>
      <c r="BD61" s="486"/>
      <c r="BE61" s="117"/>
      <c r="BF61" s="486"/>
      <c r="BG61" s="117"/>
      <c r="BH61" s="486"/>
      <c r="BI61" s="117"/>
      <c r="BJ61" s="486"/>
      <c r="BK61" s="117"/>
      <c r="BL61" s="486"/>
      <c r="BM61" s="117"/>
      <c r="BN61" s="486"/>
      <c r="BO61" s="117"/>
      <c r="BP61" s="486">
        <f t="shared" si="1"/>
        <v>107</v>
      </c>
      <c r="BQ61" s="117">
        <f t="shared" si="1"/>
        <v>938981339</v>
      </c>
    </row>
    <row r="62" spans="1:69">
      <c r="A62" s="74">
        <v>57</v>
      </c>
      <c r="B62" s="73" t="s">
        <v>182</v>
      </c>
      <c r="C62" s="74" t="s">
        <v>837</v>
      </c>
      <c r="D62" s="487"/>
      <c r="E62" s="116"/>
      <c r="F62" s="487"/>
      <c r="G62" s="116"/>
      <c r="H62" s="487"/>
      <c r="I62" s="116"/>
      <c r="J62" s="487"/>
      <c r="K62" s="116"/>
      <c r="L62" s="487"/>
      <c r="M62" s="116"/>
      <c r="N62" s="487"/>
      <c r="O62" s="116"/>
      <c r="P62" s="487"/>
      <c r="Q62" s="116"/>
      <c r="R62" s="487"/>
      <c r="S62" s="116"/>
      <c r="T62" s="487"/>
      <c r="U62" s="116"/>
      <c r="V62" s="487"/>
      <c r="W62" s="116"/>
      <c r="X62" s="487"/>
      <c r="Y62" s="116"/>
      <c r="Z62" s="487"/>
      <c r="AA62" s="116"/>
      <c r="AB62" s="487"/>
      <c r="AC62" s="116"/>
      <c r="AD62" s="487"/>
      <c r="AE62" s="116"/>
      <c r="AF62" s="487"/>
      <c r="AG62" s="116"/>
      <c r="AH62" s="487"/>
      <c r="AI62" s="116"/>
      <c r="AJ62" s="487"/>
      <c r="AK62" s="116"/>
      <c r="AL62" s="487"/>
      <c r="AM62" s="116"/>
      <c r="AN62" s="487"/>
      <c r="AO62" s="116"/>
      <c r="AP62" s="487"/>
      <c r="AQ62" s="116"/>
      <c r="AR62" s="487"/>
      <c r="AS62" s="116"/>
      <c r="AT62" s="487"/>
      <c r="AU62" s="116"/>
      <c r="AV62" s="487"/>
      <c r="AW62" s="116"/>
      <c r="AX62" s="487"/>
      <c r="AY62" s="116"/>
      <c r="AZ62" s="487"/>
      <c r="BA62" s="116"/>
      <c r="BB62" s="487"/>
      <c r="BC62" s="116"/>
      <c r="BD62" s="487"/>
      <c r="BE62" s="116"/>
      <c r="BF62" s="487"/>
      <c r="BG62" s="116"/>
      <c r="BH62" s="487"/>
      <c r="BI62" s="116"/>
      <c r="BJ62" s="487"/>
      <c r="BK62" s="116"/>
      <c r="BL62" s="487"/>
      <c r="BM62" s="116"/>
      <c r="BN62" s="487"/>
      <c r="BO62" s="116"/>
      <c r="BP62" s="487">
        <f t="shared" si="1"/>
        <v>0</v>
      </c>
      <c r="BQ62" s="116">
        <f t="shared" si="1"/>
        <v>0</v>
      </c>
    </row>
    <row r="63" spans="1:69">
      <c r="A63" s="488">
        <v>58</v>
      </c>
      <c r="B63" s="77" t="s">
        <v>173</v>
      </c>
      <c r="C63" s="76" t="s">
        <v>840</v>
      </c>
      <c r="D63" s="486"/>
      <c r="E63" s="117"/>
      <c r="F63" s="486">
        <v>1</v>
      </c>
      <c r="G63" s="117"/>
      <c r="H63" s="486">
        <v>1</v>
      </c>
      <c r="I63" s="117"/>
      <c r="J63" s="486"/>
      <c r="K63" s="117"/>
      <c r="L63" s="486">
        <v>43</v>
      </c>
      <c r="M63" s="117"/>
      <c r="N63" s="486"/>
      <c r="O63" s="117"/>
      <c r="P63" s="486"/>
      <c r="Q63" s="117"/>
      <c r="R63" s="486"/>
      <c r="S63" s="117"/>
      <c r="T63" s="486"/>
      <c r="U63" s="117"/>
      <c r="V63" s="486"/>
      <c r="W63" s="117"/>
      <c r="X63" s="486"/>
      <c r="Y63" s="117"/>
      <c r="Z63" s="486"/>
      <c r="AA63" s="117"/>
      <c r="AB63" s="486">
        <v>2</v>
      </c>
      <c r="AC63" s="117"/>
      <c r="AD63" s="486"/>
      <c r="AE63" s="117"/>
      <c r="AF63" s="486"/>
      <c r="AG63" s="117"/>
      <c r="AH63" s="486"/>
      <c r="AI63" s="117"/>
      <c r="AJ63" s="486"/>
      <c r="AK63" s="117"/>
      <c r="AL63" s="486"/>
      <c r="AM63" s="117"/>
      <c r="AN63" s="486"/>
      <c r="AO63" s="117"/>
      <c r="AP63" s="486"/>
      <c r="AQ63" s="117"/>
      <c r="AR63" s="486"/>
      <c r="AS63" s="117"/>
      <c r="AT63" s="486"/>
      <c r="AU63" s="117"/>
      <c r="AV63" s="486"/>
      <c r="AW63" s="117"/>
      <c r="AX63" s="486"/>
      <c r="AY63" s="117"/>
      <c r="AZ63" s="486"/>
      <c r="BA63" s="117"/>
      <c r="BB63" s="486"/>
      <c r="BC63" s="117"/>
      <c r="BD63" s="486"/>
      <c r="BE63" s="117"/>
      <c r="BF63" s="486"/>
      <c r="BG63" s="117"/>
      <c r="BH63" s="486"/>
      <c r="BI63" s="117"/>
      <c r="BJ63" s="486"/>
      <c r="BK63" s="117"/>
      <c r="BL63" s="486"/>
      <c r="BM63" s="117"/>
      <c r="BN63" s="486"/>
      <c r="BO63" s="117"/>
      <c r="BP63" s="486">
        <f t="shared" si="1"/>
        <v>47</v>
      </c>
      <c r="BQ63" s="117">
        <f t="shared" si="1"/>
        <v>0</v>
      </c>
    </row>
    <row r="64" spans="1:69">
      <c r="A64" s="74">
        <v>59</v>
      </c>
      <c r="B64" s="491" t="s">
        <v>144</v>
      </c>
      <c r="C64" s="74"/>
      <c r="D64" s="487"/>
      <c r="E64" s="116"/>
      <c r="F64" s="487"/>
      <c r="G64" s="116"/>
      <c r="H64" s="487"/>
      <c r="I64" s="116"/>
      <c r="J64" s="487"/>
      <c r="K64" s="116"/>
      <c r="L64" s="487"/>
      <c r="M64" s="116"/>
      <c r="N64" s="487"/>
      <c r="O64" s="116"/>
      <c r="P64" s="487"/>
      <c r="Q64" s="116"/>
      <c r="R64" s="487"/>
      <c r="S64" s="116"/>
      <c r="T64" s="487"/>
      <c r="U64" s="116"/>
      <c r="V64" s="487"/>
      <c r="W64" s="116"/>
      <c r="X64" s="487"/>
      <c r="Y64" s="116"/>
      <c r="Z64" s="487"/>
      <c r="AA64" s="116"/>
      <c r="AB64" s="487"/>
      <c r="AC64" s="116"/>
      <c r="AD64" s="487"/>
      <c r="AE64" s="116"/>
      <c r="AF64" s="487"/>
      <c r="AG64" s="116"/>
      <c r="AH64" s="487"/>
      <c r="AI64" s="116"/>
      <c r="AJ64" s="487"/>
      <c r="AK64" s="116"/>
      <c r="AL64" s="487"/>
      <c r="AM64" s="116"/>
      <c r="AN64" s="487"/>
      <c r="AO64" s="116"/>
      <c r="AP64" s="487"/>
      <c r="AQ64" s="116"/>
      <c r="AR64" s="487"/>
      <c r="AS64" s="116"/>
      <c r="AT64" s="487"/>
      <c r="AU64" s="116"/>
      <c r="AV64" s="487"/>
      <c r="AW64" s="116"/>
      <c r="AX64" s="487"/>
      <c r="AY64" s="116"/>
      <c r="AZ64" s="487"/>
      <c r="BA64" s="116"/>
      <c r="BB64" s="487"/>
      <c r="BC64" s="116"/>
      <c r="BD64" s="487"/>
      <c r="BE64" s="116"/>
      <c r="BF64" s="487"/>
      <c r="BG64" s="116"/>
      <c r="BH64" s="487"/>
      <c r="BI64" s="116"/>
      <c r="BJ64" s="487"/>
      <c r="BK64" s="116"/>
      <c r="BL64" s="487"/>
      <c r="BM64" s="116"/>
      <c r="BN64" s="487"/>
      <c r="BO64" s="116"/>
      <c r="BP64" s="487">
        <f t="shared" si="1"/>
        <v>0</v>
      </c>
      <c r="BQ64" s="116">
        <f t="shared" si="1"/>
        <v>0</v>
      </c>
    </row>
    <row r="65" spans="1:69">
      <c r="A65" s="488">
        <v>60</v>
      </c>
      <c r="B65" s="77" t="s">
        <v>842</v>
      </c>
      <c r="C65" s="76" t="s">
        <v>843</v>
      </c>
      <c r="D65" s="486"/>
      <c r="E65" s="117"/>
      <c r="F65" s="486"/>
      <c r="G65" s="117"/>
      <c r="H65" s="486"/>
      <c r="I65" s="117"/>
      <c r="J65" s="486"/>
      <c r="K65" s="117"/>
      <c r="L65" s="486"/>
      <c r="M65" s="117"/>
      <c r="N65" s="486"/>
      <c r="O65" s="117"/>
      <c r="P65" s="486"/>
      <c r="Q65" s="117"/>
      <c r="R65" s="486"/>
      <c r="S65" s="117"/>
      <c r="T65" s="486"/>
      <c r="U65" s="117"/>
      <c r="V65" s="486"/>
      <c r="W65" s="117"/>
      <c r="X65" s="486"/>
      <c r="Y65" s="117"/>
      <c r="Z65" s="486"/>
      <c r="AA65" s="117"/>
      <c r="AB65" s="486"/>
      <c r="AC65" s="117"/>
      <c r="AD65" s="486"/>
      <c r="AE65" s="117"/>
      <c r="AF65" s="486"/>
      <c r="AG65" s="117"/>
      <c r="AH65" s="486"/>
      <c r="AI65" s="117"/>
      <c r="AJ65" s="486"/>
      <c r="AK65" s="117"/>
      <c r="AL65" s="486"/>
      <c r="AM65" s="117"/>
      <c r="AN65" s="486"/>
      <c r="AO65" s="117"/>
      <c r="AP65" s="486"/>
      <c r="AQ65" s="117"/>
      <c r="AR65" s="486"/>
      <c r="AS65" s="117"/>
      <c r="AT65" s="486"/>
      <c r="AU65" s="117"/>
      <c r="AV65" s="486"/>
      <c r="AW65" s="117"/>
      <c r="AX65" s="486"/>
      <c r="AY65" s="117"/>
      <c r="AZ65" s="486"/>
      <c r="BA65" s="117"/>
      <c r="BB65" s="486"/>
      <c r="BC65" s="117"/>
      <c r="BD65" s="486"/>
      <c r="BE65" s="117"/>
      <c r="BF65" s="486"/>
      <c r="BG65" s="117"/>
      <c r="BH65" s="486"/>
      <c r="BI65" s="117"/>
      <c r="BJ65" s="486"/>
      <c r="BK65" s="117"/>
      <c r="BL65" s="486"/>
      <c r="BM65" s="117"/>
      <c r="BN65" s="486"/>
      <c r="BO65" s="117"/>
      <c r="BP65" s="486">
        <f t="shared" si="1"/>
        <v>0</v>
      </c>
      <c r="BQ65" s="117">
        <f t="shared" si="1"/>
        <v>0</v>
      </c>
    </row>
    <row r="66" spans="1:69">
      <c r="A66" s="74">
        <v>61</v>
      </c>
      <c r="B66" s="73" t="s">
        <v>459</v>
      </c>
      <c r="C66" s="74" t="s">
        <v>847</v>
      </c>
      <c r="D66" s="487">
        <v>5</v>
      </c>
      <c r="E66" s="116">
        <v>12758550</v>
      </c>
      <c r="F66" s="487"/>
      <c r="G66" s="116"/>
      <c r="H66" s="487">
        <v>10</v>
      </c>
      <c r="I66" s="116">
        <v>27709500</v>
      </c>
      <c r="J66" s="487"/>
      <c r="K66" s="116"/>
      <c r="L66" s="487">
        <v>13</v>
      </c>
      <c r="M66" s="116">
        <v>16240000</v>
      </c>
      <c r="N66" s="487"/>
      <c r="O66" s="116"/>
      <c r="P66" s="487">
        <v>21</v>
      </c>
      <c r="Q66" s="116">
        <v>16016700</v>
      </c>
      <c r="R66" s="487"/>
      <c r="S66" s="116"/>
      <c r="T66" s="487"/>
      <c r="U66" s="116"/>
      <c r="V66" s="487"/>
      <c r="W66" s="116"/>
      <c r="X66" s="487"/>
      <c r="Y66" s="116"/>
      <c r="Z66" s="487"/>
      <c r="AA66" s="116"/>
      <c r="AB66" s="487"/>
      <c r="AC66" s="116"/>
      <c r="AD66" s="487"/>
      <c r="AE66" s="116"/>
      <c r="AF66" s="487"/>
      <c r="AG66" s="116"/>
      <c r="AH66" s="487"/>
      <c r="AI66" s="116"/>
      <c r="AJ66" s="487">
        <v>4</v>
      </c>
      <c r="AK66" s="116">
        <v>10198720</v>
      </c>
      <c r="AL66" s="487"/>
      <c r="AM66" s="116"/>
      <c r="AN66" s="487"/>
      <c r="AO66" s="116"/>
      <c r="AP66" s="487"/>
      <c r="AQ66" s="116"/>
      <c r="AR66" s="487"/>
      <c r="AS66" s="116"/>
      <c r="AT66" s="487"/>
      <c r="AU66" s="116"/>
      <c r="AV66" s="487">
        <v>6</v>
      </c>
      <c r="AW66" s="116">
        <v>5736780</v>
      </c>
      <c r="AX66" s="487"/>
      <c r="AY66" s="116"/>
      <c r="AZ66" s="487"/>
      <c r="BA66" s="116"/>
      <c r="BB66" s="487"/>
      <c r="BC66" s="116"/>
      <c r="BD66" s="487"/>
      <c r="BE66" s="116"/>
      <c r="BF66" s="487"/>
      <c r="BG66" s="116"/>
      <c r="BH66" s="487"/>
      <c r="BI66" s="116"/>
      <c r="BJ66" s="487"/>
      <c r="BK66" s="116"/>
      <c r="BL66" s="487"/>
      <c r="BM66" s="116"/>
      <c r="BN66" s="487"/>
      <c r="BO66" s="116"/>
      <c r="BP66" s="487">
        <f t="shared" si="1"/>
        <v>59</v>
      </c>
      <c r="BQ66" s="116">
        <f t="shared" si="1"/>
        <v>88660250</v>
      </c>
    </row>
    <row r="67" spans="1:69">
      <c r="A67" s="488">
        <v>62</v>
      </c>
      <c r="B67" s="489" t="s">
        <v>1864</v>
      </c>
      <c r="C67" s="76"/>
      <c r="D67" s="486"/>
      <c r="E67" s="117"/>
      <c r="F67" s="486"/>
      <c r="G67" s="117"/>
      <c r="H67" s="486"/>
      <c r="I67" s="117"/>
      <c r="J67" s="486"/>
      <c r="K67" s="117"/>
      <c r="L67" s="486"/>
      <c r="M67" s="117"/>
      <c r="N67" s="486"/>
      <c r="O67" s="117"/>
      <c r="P67" s="486"/>
      <c r="Q67" s="117"/>
      <c r="R67" s="486"/>
      <c r="S67" s="117"/>
      <c r="T67" s="486"/>
      <c r="U67" s="117"/>
      <c r="V67" s="486"/>
      <c r="W67" s="117"/>
      <c r="X67" s="486"/>
      <c r="Y67" s="117"/>
      <c r="Z67" s="486"/>
      <c r="AA67" s="117"/>
      <c r="AB67" s="486"/>
      <c r="AC67" s="117"/>
      <c r="AD67" s="486"/>
      <c r="AE67" s="117"/>
      <c r="AF67" s="486"/>
      <c r="AG67" s="117"/>
      <c r="AH67" s="486"/>
      <c r="AI67" s="117"/>
      <c r="AJ67" s="486"/>
      <c r="AK67" s="117"/>
      <c r="AL67" s="486"/>
      <c r="AM67" s="117"/>
      <c r="AN67" s="486"/>
      <c r="AO67" s="117"/>
      <c r="AP67" s="486"/>
      <c r="AQ67" s="117"/>
      <c r="AR67" s="486"/>
      <c r="AS67" s="117"/>
      <c r="AT67" s="486"/>
      <c r="AU67" s="117"/>
      <c r="AV67" s="486"/>
      <c r="AW67" s="117"/>
      <c r="AX67" s="486"/>
      <c r="AY67" s="117"/>
      <c r="AZ67" s="486"/>
      <c r="BA67" s="117"/>
      <c r="BB67" s="486"/>
      <c r="BC67" s="117"/>
      <c r="BD67" s="486"/>
      <c r="BE67" s="117"/>
      <c r="BF67" s="486"/>
      <c r="BG67" s="117"/>
      <c r="BH67" s="486"/>
      <c r="BI67" s="117"/>
      <c r="BJ67" s="486"/>
      <c r="BK67" s="117"/>
      <c r="BL67" s="486"/>
      <c r="BM67" s="117"/>
      <c r="BN67" s="486"/>
      <c r="BO67" s="117"/>
      <c r="BP67" s="486">
        <f t="shared" si="1"/>
        <v>0</v>
      </c>
      <c r="BQ67" s="117">
        <f t="shared" si="1"/>
        <v>0</v>
      </c>
    </row>
    <row r="68" spans="1:69">
      <c r="A68" s="74">
        <v>63</v>
      </c>
      <c r="B68" s="73" t="s">
        <v>851</v>
      </c>
      <c r="C68" s="74" t="s">
        <v>852</v>
      </c>
      <c r="D68" s="487">
        <v>10</v>
      </c>
      <c r="E68" s="116">
        <v>600000000</v>
      </c>
      <c r="F68" s="487"/>
      <c r="G68" s="116"/>
      <c r="H68" s="487">
        <v>30</v>
      </c>
      <c r="I68" s="116">
        <v>900000000</v>
      </c>
      <c r="J68" s="487"/>
      <c r="K68" s="116"/>
      <c r="L68" s="487">
        <v>70</v>
      </c>
      <c r="M68" s="116">
        <v>840000000</v>
      </c>
      <c r="N68" s="487"/>
      <c r="O68" s="116"/>
      <c r="P68" s="487">
        <v>422</v>
      </c>
      <c r="Q68" s="116">
        <v>1266000000</v>
      </c>
      <c r="R68" s="487"/>
      <c r="S68" s="116"/>
      <c r="T68" s="487"/>
      <c r="U68" s="116"/>
      <c r="V68" s="487"/>
      <c r="W68" s="116"/>
      <c r="X68" s="487"/>
      <c r="Y68" s="116"/>
      <c r="Z68" s="487"/>
      <c r="AA68" s="116"/>
      <c r="AB68" s="487"/>
      <c r="AC68" s="116"/>
      <c r="AD68" s="487"/>
      <c r="AE68" s="116"/>
      <c r="AF68" s="487"/>
      <c r="AG68" s="116"/>
      <c r="AH68" s="487"/>
      <c r="AI68" s="116"/>
      <c r="AJ68" s="487"/>
      <c r="AK68" s="116"/>
      <c r="AL68" s="487"/>
      <c r="AM68" s="116"/>
      <c r="AN68" s="487">
        <v>5</v>
      </c>
      <c r="AO68" s="116">
        <v>150000000</v>
      </c>
      <c r="AP68" s="487"/>
      <c r="AQ68" s="116"/>
      <c r="AR68" s="487">
        <v>46</v>
      </c>
      <c r="AS68" s="116">
        <v>552000000</v>
      </c>
      <c r="AT68" s="487"/>
      <c r="AU68" s="116"/>
      <c r="AV68" s="487">
        <v>42</v>
      </c>
      <c r="AW68" s="116">
        <v>126000000</v>
      </c>
      <c r="AX68" s="487"/>
      <c r="AY68" s="116"/>
      <c r="AZ68" s="487"/>
      <c r="BA68" s="116"/>
      <c r="BB68" s="487"/>
      <c r="BC68" s="116"/>
      <c r="BD68" s="487"/>
      <c r="BE68" s="116"/>
      <c r="BF68" s="487"/>
      <c r="BG68" s="116"/>
      <c r="BH68" s="487"/>
      <c r="BI68" s="116"/>
      <c r="BJ68" s="487"/>
      <c r="BK68" s="116"/>
      <c r="BL68" s="487"/>
      <c r="BM68" s="116"/>
      <c r="BN68" s="487"/>
      <c r="BO68" s="116"/>
      <c r="BP68" s="487">
        <f t="shared" si="1"/>
        <v>625</v>
      </c>
      <c r="BQ68" s="116">
        <f t="shared" si="1"/>
        <v>4434000000</v>
      </c>
    </row>
    <row r="69" spans="1:69">
      <c r="A69" s="488">
        <v>64</v>
      </c>
      <c r="B69" s="489" t="s">
        <v>107</v>
      </c>
      <c r="C69" s="76"/>
      <c r="D69" s="486"/>
      <c r="E69" s="117"/>
      <c r="F69" s="486"/>
      <c r="G69" s="117"/>
      <c r="H69" s="486"/>
      <c r="I69" s="117"/>
      <c r="J69" s="486"/>
      <c r="K69" s="117"/>
      <c r="L69" s="486"/>
      <c r="M69" s="117"/>
      <c r="N69" s="486"/>
      <c r="O69" s="117"/>
      <c r="P69" s="486"/>
      <c r="Q69" s="117"/>
      <c r="R69" s="486"/>
      <c r="S69" s="117"/>
      <c r="T69" s="486"/>
      <c r="U69" s="117"/>
      <c r="V69" s="486"/>
      <c r="W69" s="117"/>
      <c r="X69" s="486"/>
      <c r="Y69" s="117"/>
      <c r="Z69" s="486"/>
      <c r="AA69" s="117"/>
      <c r="AB69" s="486"/>
      <c r="AC69" s="117"/>
      <c r="AD69" s="486"/>
      <c r="AE69" s="117"/>
      <c r="AF69" s="486"/>
      <c r="AG69" s="117"/>
      <c r="AH69" s="486"/>
      <c r="AI69" s="117"/>
      <c r="AJ69" s="486"/>
      <c r="AK69" s="117"/>
      <c r="AL69" s="486"/>
      <c r="AM69" s="117"/>
      <c r="AN69" s="486"/>
      <c r="AO69" s="117"/>
      <c r="AP69" s="486"/>
      <c r="AQ69" s="117"/>
      <c r="AR69" s="486"/>
      <c r="AS69" s="117"/>
      <c r="AT69" s="486"/>
      <c r="AU69" s="117"/>
      <c r="AV69" s="486"/>
      <c r="AW69" s="117"/>
      <c r="AX69" s="486"/>
      <c r="AY69" s="117"/>
      <c r="AZ69" s="486"/>
      <c r="BA69" s="117"/>
      <c r="BB69" s="486"/>
      <c r="BC69" s="117"/>
      <c r="BD69" s="486"/>
      <c r="BE69" s="117"/>
      <c r="BF69" s="486"/>
      <c r="BG69" s="117"/>
      <c r="BH69" s="486"/>
      <c r="BI69" s="117"/>
      <c r="BJ69" s="486"/>
      <c r="BK69" s="117"/>
      <c r="BL69" s="486"/>
      <c r="BM69" s="117"/>
      <c r="BN69" s="486"/>
      <c r="BO69" s="117"/>
      <c r="BP69" s="486">
        <f t="shared" si="1"/>
        <v>0</v>
      </c>
      <c r="BQ69" s="117">
        <f t="shared" si="1"/>
        <v>0</v>
      </c>
    </row>
    <row r="70" spans="1:69">
      <c r="A70" s="74">
        <v>65</v>
      </c>
      <c r="B70" s="491" t="s">
        <v>1879</v>
      </c>
      <c r="C70" s="74"/>
      <c r="D70" s="487"/>
      <c r="E70" s="116"/>
      <c r="F70" s="487"/>
      <c r="G70" s="116"/>
      <c r="H70" s="487"/>
      <c r="I70" s="116"/>
      <c r="J70" s="487"/>
      <c r="K70" s="116"/>
      <c r="L70" s="487"/>
      <c r="M70" s="116"/>
      <c r="N70" s="487"/>
      <c r="O70" s="116"/>
      <c r="P70" s="487"/>
      <c r="Q70" s="116"/>
      <c r="R70" s="487"/>
      <c r="S70" s="116"/>
      <c r="T70" s="487"/>
      <c r="U70" s="116"/>
      <c r="V70" s="487"/>
      <c r="W70" s="116"/>
      <c r="X70" s="487"/>
      <c r="Y70" s="116"/>
      <c r="Z70" s="487"/>
      <c r="AA70" s="116"/>
      <c r="AB70" s="487"/>
      <c r="AC70" s="116"/>
      <c r="AD70" s="487"/>
      <c r="AE70" s="116"/>
      <c r="AF70" s="487"/>
      <c r="AG70" s="116"/>
      <c r="AH70" s="487"/>
      <c r="AI70" s="116"/>
      <c r="AJ70" s="487"/>
      <c r="AK70" s="116"/>
      <c r="AL70" s="487"/>
      <c r="AM70" s="116"/>
      <c r="AN70" s="487"/>
      <c r="AO70" s="116"/>
      <c r="AP70" s="487"/>
      <c r="AQ70" s="116"/>
      <c r="AR70" s="487"/>
      <c r="AS70" s="116"/>
      <c r="AT70" s="487"/>
      <c r="AU70" s="116"/>
      <c r="AV70" s="487"/>
      <c r="AW70" s="116"/>
      <c r="AX70" s="487"/>
      <c r="AY70" s="116"/>
      <c r="AZ70" s="487"/>
      <c r="BA70" s="116"/>
      <c r="BB70" s="487"/>
      <c r="BC70" s="116"/>
      <c r="BD70" s="487"/>
      <c r="BE70" s="116"/>
      <c r="BF70" s="487"/>
      <c r="BG70" s="116"/>
      <c r="BH70" s="487"/>
      <c r="BI70" s="116"/>
      <c r="BJ70" s="487"/>
      <c r="BK70" s="116"/>
      <c r="BL70" s="487"/>
      <c r="BM70" s="116"/>
      <c r="BN70" s="487"/>
      <c r="BO70" s="116"/>
      <c r="BP70" s="487">
        <f t="shared" si="1"/>
        <v>0</v>
      </c>
      <c r="BQ70" s="116">
        <f t="shared" si="1"/>
        <v>0</v>
      </c>
    </row>
    <row r="71" spans="1:69">
      <c r="A71" s="488">
        <v>66</v>
      </c>
      <c r="B71" s="77" t="s">
        <v>28</v>
      </c>
      <c r="C71" s="76" t="s">
        <v>853</v>
      </c>
      <c r="D71" s="486"/>
      <c r="E71" s="117"/>
      <c r="F71" s="486">
        <v>2</v>
      </c>
      <c r="G71" s="117">
        <v>32389268</v>
      </c>
      <c r="H71" s="486">
        <v>19</v>
      </c>
      <c r="I71" s="117">
        <v>237364013</v>
      </c>
      <c r="J71" s="486">
        <v>14</v>
      </c>
      <c r="K71" s="117">
        <v>173700175</v>
      </c>
      <c r="L71" s="486">
        <v>24</v>
      </c>
      <c r="M71" s="117">
        <v>149153923</v>
      </c>
      <c r="N71" s="486">
        <v>132</v>
      </c>
      <c r="O71" s="117">
        <v>1240850672</v>
      </c>
      <c r="P71" s="486"/>
      <c r="Q71" s="117"/>
      <c r="R71" s="486"/>
      <c r="S71" s="117"/>
      <c r="T71" s="486"/>
      <c r="U71" s="117"/>
      <c r="V71" s="486"/>
      <c r="W71" s="117"/>
      <c r="X71" s="486"/>
      <c r="Y71" s="117"/>
      <c r="Z71" s="486"/>
      <c r="AA71" s="117"/>
      <c r="AB71" s="486"/>
      <c r="AC71" s="117"/>
      <c r="AD71" s="486"/>
      <c r="AE71" s="117"/>
      <c r="AF71" s="486"/>
      <c r="AG71" s="117"/>
      <c r="AH71" s="486"/>
      <c r="AI71" s="117"/>
      <c r="AJ71" s="486"/>
      <c r="AK71" s="117"/>
      <c r="AL71" s="486"/>
      <c r="AM71" s="117"/>
      <c r="AN71" s="486">
        <v>1</v>
      </c>
      <c r="AO71" s="117"/>
      <c r="AP71" s="486"/>
      <c r="AQ71" s="117"/>
      <c r="AR71" s="486"/>
      <c r="AS71" s="117"/>
      <c r="AT71" s="486"/>
      <c r="AU71" s="117"/>
      <c r="AV71" s="486"/>
      <c r="AW71" s="117"/>
      <c r="AX71" s="486"/>
      <c r="AY71" s="117"/>
      <c r="AZ71" s="486"/>
      <c r="BA71" s="117"/>
      <c r="BB71" s="486"/>
      <c r="BC71" s="117"/>
      <c r="BD71" s="486"/>
      <c r="BE71" s="117"/>
      <c r="BF71" s="486"/>
      <c r="BG71" s="117"/>
      <c r="BH71" s="486"/>
      <c r="BI71" s="117"/>
      <c r="BJ71" s="486"/>
      <c r="BK71" s="117"/>
      <c r="BL71" s="486"/>
      <c r="BM71" s="117"/>
      <c r="BN71" s="486"/>
      <c r="BO71" s="117"/>
      <c r="BP71" s="486">
        <f t="shared" si="1"/>
        <v>192</v>
      </c>
      <c r="BQ71" s="117">
        <f t="shared" si="1"/>
        <v>1833458051</v>
      </c>
    </row>
    <row r="72" spans="1:69">
      <c r="A72" s="74">
        <v>67</v>
      </c>
      <c r="B72" s="491" t="s">
        <v>85</v>
      </c>
      <c r="C72" s="74"/>
      <c r="D72" s="487"/>
      <c r="E72" s="116"/>
      <c r="F72" s="487"/>
      <c r="G72" s="116"/>
      <c r="H72" s="487"/>
      <c r="I72" s="116"/>
      <c r="J72" s="487"/>
      <c r="K72" s="116"/>
      <c r="L72" s="487"/>
      <c r="M72" s="116"/>
      <c r="N72" s="487"/>
      <c r="O72" s="116"/>
      <c r="P72" s="487"/>
      <c r="Q72" s="116"/>
      <c r="R72" s="487"/>
      <c r="S72" s="116"/>
      <c r="T72" s="487"/>
      <c r="U72" s="116"/>
      <c r="V72" s="487"/>
      <c r="W72" s="116"/>
      <c r="X72" s="487"/>
      <c r="Y72" s="116"/>
      <c r="Z72" s="487"/>
      <c r="AA72" s="116"/>
      <c r="AB72" s="487"/>
      <c r="AC72" s="116"/>
      <c r="AD72" s="487"/>
      <c r="AE72" s="116"/>
      <c r="AF72" s="487"/>
      <c r="AG72" s="116"/>
      <c r="AH72" s="487"/>
      <c r="AI72" s="116"/>
      <c r="AJ72" s="487"/>
      <c r="AK72" s="116"/>
      <c r="AL72" s="487"/>
      <c r="AM72" s="116"/>
      <c r="AN72" s="487"/>
      <c r="AO72" s="116"/>
      <c r="AP72" s="487"/>
      <c r="AQ72" s="116"/>
      <c r="AR72" s="487"/>
      <c r="AS72" s="116"/>
      <c r="AT72" s="487"/>
      <c r="AU72" s="116"/>
      <c r="AV72" s="487"/>
      <c r="AW72" s="116"/>
      <c r="AX72" s="487"/>
      <c r="AY72" s="116"/>
      <c r="AZ72" s="487"/>
      <c r="BA72" s="116"/>
      <c r="BB72" s="487"/>
      <c r="BC72" s="116"/>
      <c r="BD72" s="487"/>
      <c r="BE72" s="116"/>
      <c r="BF72" s="487"/>
      <c r="BG72" s="116"/>
      <c r="BH72" s="487"/>
      <c r="BI72" s="116"/>
      <c r="BJ72" s="487"/>
      <c r="BK72" s="116"/>
      <c r="BL72" s="487"/>
      <c r="BM72" s="116"/>
      <c r="BN72" s="487"/>
      <c r="BO72" s="116"/>
      <c r="BP72" s="487">
        <f t="shared" si="1"/>
        <v>0</v>
      </c>
      <c r="BQ72" s="116">
        <f t="shared" si="1"/>
        <v>0</v>
      </c>
    </row>
    <row r="73" spans="1:69">
      <c r="A73" s="488">
        <v>68</v>
      </c>
      <c r="B73" s="77" t="s">
        <v>858</v>
      </c>
      <c r="C73" s="76" t="s">
        <v>859</v>
      </c>
      <c r="D73" s="486"/>
      <c r="E73" s="117"/>
      <c r="F73" s="486"/>
      <c r="G73" s="117"/>
      <c r="H73" s="486"/>
      <c r="I73" s="117"/>
      <c r="J73" s="486"/>
      <c r="K73" s="117"/>
      <c r="L73" s="486"/>
      <c r="M73" s="117"/>
      <c r="N73" s="486"/>
      <c r="O73" s="117"/>
      <c r="P73" s="486"/>
      <c r="Q73" s="117"/>
      <c r="R73" s="486"/>
      <c r="S73" s="117"/>
      <c r="T73" s="486"/>
      <c r="U73" s="117"/>
      <c r="V73" s="486"/>
      <c r="W73" s="117"/>
      <c r="X73" s="486"/>
      <c r="Y73" s="117"/>
      <c r="Z73" s="486"/>
      <c r="AA73" s="117"/>
      <c r="AB73" s="486"/>
      <c r="AC73" s="117"/>
      <c r="AD73" s="486"/>
      <c r="AE73" s="117"/>
      <c r="AF73" s="486"/>
      <c r="AG73" s="117"/>
      <c r="AH73" s="486"/>
      <c r="AI73" s="117"/>
      <c r="AJ73" s="486"/>
      <c r="AK73" s="117"/>
      <c r="AL73" s="486"/>
      <c r="AM73" s="117"/>
      <c r="AN73" s="486"/>
      <c r="AO73" s="117"/>
      <c r="AP73" s="486"/>
      <c r="AQ73" s="117"/>
      <c r="AR73" s="486"/>
      <c r="AS73" s="117"/>
      <c r="AT73" s="486"/>
      <c r="AU73" s="117"/>
      <c r="AV73" s="486"/>
      <c r="AW73" s="117"/>
      <c r="AX73" s="486"/>
      <c r="AY73" s="117"/>
      <c r="AZ73" s="486"/>
      <c r="BA73" s="117"/>
      <c r="BB73" s="486"/>
      <c r="BC73" s="117"/>
      <c r="BD73" s="486"/>
      <c r="BE73" s="117"/>
      <c r="BF73" s="486"/>
      <c r="BG73" s="117"/>
      <c r="BH73" s="486"/>
      <c r="BI73" s="117"/>
      <c r="BJ73" s="486"/>
      <c r="BK73" s="117"/>
      <c r="BL73" s="486"/>
      <c r="BM73" s="117"/>
      <c r="BN73" s="486"/>
      <c r="BO73" s="117"/>
      <c r="BP73" s="486">
        <f t="shared" si="1"/>
        <v>0</v>
      </c>
      <c r="BQ73" s="117">
        <f t="shared" si="1"/>
        <v>0</v>
      </c>
    </row>
    <row r="74" spans="1:69">
      <c r="A74" s="74">
        <v>69</v>
      </c>
      <c r="B74" s="491" t="s">
        <v>1097</v>
      </c>
      <c r="C74" s="74"/>
      <c r="D74" s="487"/>
      <c r="E74" s="116"/>
      <c r="F74" s="487"/>
      <c r="G74" s="116"/>
      <c r="H74" s="487"/>
      <c r="I74" s="116"/>
      <c r="J74" s="487"/>
      <c r="K74" s="116"/>
      <c r="L74" s="487"/>
      <c r="M74" s="116"/>
      <c r="N74" s="487"/>
      <c r="O74" s="116"/>
      <c r="P74" s="487"/>
      <c r="Q74" s="116"/>
      <c r="R74" s="487"/>
      <c r="S74" s="116"/>
      <c r="T74" s="487"/>
      <c r="U74" s="116"/>
      <c r="V74" s="487"/>
      <c r="W74" s="116"/>
      <c r="X74" s="487"/>
      <c r="Y74" s="116"/>
      <c r="Z74" s="487"/>
      <c r="AA74" s="116"/>
      <c r="AB74" s="487"/>
      <c r="AC74" s="116"/>
      <c r="AD74" s="487"/>
      <c r="AE74" s="116"/>
      <c r="AF74" s="487"/>
      <c r="AG74" s="116"/>
      <c r="AH74" s="487"/>
      <c r="AI74" s="116"/>
      <c r="AJ74" s="487"/>
      <c r="AK74" s="116"/>
      <c r="AL74" s="487"/>
      <c r="AM74" s="116"/>
      <c r="AN74" s="487"/>
      <c r="AO74" s="116"/>
      <c r="AP74" s="487"/>
      <c r="AQ74" s="116"/>
      <c r="AR74" s="487"/>
      <c r="AS74" s="116"/>
      <c r="AT74" s="487"/>
      <c r="AU74" s="116"/>
      <c r="AV74" s="487"/>
      <c r="AW74" s="116"/>
      <c r="AX74" s="487"/>
      <c r="AY74" s="116"/>
      <c r="AZ74" s="487"/>
      <c r="BA74" s="116"/>
      <c r="BB74" s="487"/>
      <c r="BC74" s="116"/>
      <c r="BD74" s="487"/>
      <c r="BE74" s="116"/>
      <c r="BF74" s="487"/>
      <c r="BG74" s="116"/>
      <c r="BH74" s="487"/>
      <c r="BI74" s="116"/>
      <c r="BJ74" s="487"/>
      <c r="BK74" s="116"/>
      <c r="BL74" s="487"/>
      <c r="BM74" s="116"/>
      <c r="BN74" s="487"/>
      <c r="BO74" s="116"/>
      <c r="BP74" s="487">
        <f t="shared" si="1"/>
        <v>0</v>
      </c>
      <c r="BQ74" s="116">
        <f t="shared" si="1"/>
        <v>0</v>
      </c>
    </row>
    <row r="75" spans="1:69">
      <c r="A75" s="488">
        <v>70</v>
      </c>
      <c r="B75" s="77" t="s">
        <v>860</v>
      </c>
      <c r="C75" s="76" t="s">
        <v>861</v>
      </c>
      <c r="D75" s="486">
        <v>1</v>
      </c>
      <c r="E75" s="117">
        <v>14683301</v>
      </c>
      <c r="F75" s="486">
        <v>2</v>
      </c>
      <c r="G75" s="117">
        <v>128974271</v>
      </c>
      <c r="H75" s="486">
        <v>1</v>
      </c>
      <c r="I75" s="117">
        <v>5909984</v>
      </c>
      <c r="J75" s="486"/>
      <c r="K75" s="117"/>
      <c r="L75" s="486">
        <v>1</v>
      </c>
      <c r="M75" s="117">
        <v>9882510</v>
      </c>
      <c r="N75" s="486">
        <v>2</v>
      </c>
      <c r="O75" s="117">
        <v>23098112</v>
      </c>
      <c r="P75" s="486"/>
      <c r="Q75" s="117"/>
      <c r="R75" s="486"/>
      <c r="S75" s="117"/>
      <c r="T75" s="486"/>
      <c r="U75" s="117"/>
      <c r="V75" s="486"/>
      <c r="W75" s="117"/>
      <c r="X75" s="486"/>
      <c r="Y75" s="117"/>
      <c r="Z75" s="486"/>
      <c r="AA75" s="117"/>
      <c r="AB75" s="486"/>
      <c r="AC75" s="117"/>
      <c r="AD75" s="486"/>
      <c r="AE75" s="117"/>
      <c r="AF75" s="486"/>
      <c r="AG75" s="117"/>
      <c r="AH75" s="486"/>
      <c r="AI75" s="117"/>
      <c r="AJ75" s="486"/>
      <c r="AK75" s="117"/>
      <c r="AL75" s="486"/>
      <c r="AM75" s="117"/>
      <c r="AN75" s="486"/>
      <c r="AO75" s="117"/>
      <c r="AP75" s="486"/>
      <c r="AQ75" s="117"/>
      <c r="AR75" s="486"/>
      <c r="AS75" s="117"/>
      <c r="AT75" s="486"/>
      <c r="AU75" s="117"/>
      <c r="AV75" s="486"/>
      <c r="AW75" s="117"/>
      <c r="AX75" s="486"/>
      <c r="AY75" s="117"/>
      <c r="AZ75" s="486"/>
      <c r="BA75" s="117"/>
      <c r="BB75" s="486"/>
      <c r="BC75" s="117"/>
      <c r="BD75" s="486"/>
      <c r="BE75" s="117"/>
      <c r="BF75" s="486"/>
      <c r="BG75" s="117"/>
      <c r="BH75" s="486"/>
      <c r="BI75" s="117"/>
      <c r="BJ75" s="486"/>
      <c r="BK75" s="117"/>
      <c r="BL75" s="486"/>
      <c r="BM75" s="117"/>
      <c r="BN75" s="486"/>
      <c r="BO75" s="117"/>
      <c r="BP75" s="486">
        <f t="shared" si="1"/>
        <v>7</v>
      </c>
      <c r="BQ75" s="117">
        <f t="shared" si="1"/>
        <v>182548178</v>
      </c>
    </row>
    <row r="76" spans="1:69">
      <c r="A76" s="74">
        <v>71</v>
      </c>
      <c r="B76" s="73" t="s">
        <v>863</v>
      </c>
      <c r="C76" s="74" t="s">
        <v>864</v>
      </c>
      <c r="D76" s="487">
        <v>3</v>
      </c>
      <c r="E76" s="116">
        <v>19500000</v>
      </c>
      <c r="F76" s="487"/>
      <c r="G76" s="116"/>
      <c r="H76" s="487">
        <v>3</v>
      </c>
      <c r="I76" s="116">
        <v>5200000</v>
      </c>
      <c r="J76" s="487"/>
      <c r="K76" s="116"/>
      <c r="L76" s="487">
        <v>6</v>
      </c>
      <c r="M76" s="116">
        <v>3900000</v>
      </c>
      <c r="N76" s="487"/>
      <c r="O76" s="116"/>
      <c r="P76" s="487">
        <v>32</v>
      </c>
      <c r="Q76" s="116">
        <v>1300000</v>
      </c>
      <c r="R76" s="487"/>
      <c r="S76" s="116"/>
      <c r="T76" s="487"/>
      <c r="U76" s="116"/>
      <c r="V76" s="487"/>
      <c r="W76" s="116"/>
      <c r="X76" s="487"/>
      <c r="Y76" s="116"/>
      <c r="Z76" s="487"/>
      <c r="AA76" s="116"/>
      <c r="AB76" s="487"/>
      <c r="AC76" s="116"/>
      <c r="AD76" s="487"/>
      <c r="AE76" s="116"/>
      <c r="AF76" s="487"/>
      <c r="AG76" s="116"/>
      <c r="AH76" s="487"/>
      <c r="AI76" s="116"/>
      <c r="AJ76" s="487"/>
      <c r="AK76" s="116"/>
      <c r="AL76" s="487"/>
      <c r="AM76" s="116"/>
      <c r="AN76" s="487">
        <v>3</v>
      </c>
      <c r="AO76" s="116">
        <v>5200000</v>
      </c>
      <c r="AP76" s="487"/>
      <c r="AQ76" s="116"/>
      <c r="AR76" s="487">
        <v>2</v>
      </c>
      <c r="AS76" s="116">
        <v>3900000</v>
      </c>
      <c r="AT76" s="487"/>
      <c r="AU76" s="116"/>
      <c r="AV76" s="487"/>
      <c r="AW76" s="116"/>
      <c r="AX76" s="487"/>
      <c r="AY76" s="116"/>
      <c r="AZ76" s="487"/>
      <c r="BA76" s="116"/>
      <c r="BB76" s="487"/>
      <c r="BC76" s="116"/>
      <c r="BD76" s="487"/>
      <c r="BE76" s="116"/>
      <c r="BF76" s="487"/>
      <c r="BG76" s="116"/>
      <c r="BH76" s="487"/>
      <c r="BI76" s="116"/>
      <c r="BJ76" s="487"/>
      <c r="BK76" s="116"/>
      <c r="BL76" s="487"/>
      <c r="BM76" s="116"/>
      <c r="BN76" s="487"/>
      <c r="BO76" s="116"/>
      <c r="BP76" s="487">
        <f t="shared" si="1"/>
        <v>49</v>
      </c>
      <c r="BQ76" s="116">
        <f t="shared" si="1"/>
        <v>39000000</v>
      </c>
    </row>
    <row r="77" spans="1:69">
      <c r="A77" s="488">
        <v>72</v>
      </c>
      <c r="B77" s="489" t="s">
        <v>1873</v>
      </c>
      <c r="C77" s="76"/>
      <c r="D77" s="486"/>
      <c r="E77" s="117"/>
      <c r="F77" s="486"/>
      <c r="G77" s="117"/>
      <c r="H77" s="486"/>
      <c r="I77" s="117"/>
      <c r="J77" s="486"/>
      <c r="K77" s="117"/>
      <c r="L77" s="486"/>
      <c r="M77" s="117"/>
      <c r="N77" s="486"/>
      <c r="O77" s="117"/>
      <c r="P77" s="486"/>
      <c r="Q77" s="117"/>
      <c r="R77" s="486"/>
      <c r="S77" s="117"/>
      <c r="T77" s="486"/>
      <c r="U77" s="117"/>
      <c r="V77" s="486"/>
      <c r="W77" s="117"/>
      <c r="X77" s="486"/>
      <c r="Y77" s="117"/>
      <c r="Z77" s="486"/>
      <c r="AA77" s="117"/>
      <c r="AB77" s="486"/>
      <c r="AC77" s="117"/>
      <c r="AD77" s="486"/>
      <c r="AE77" s="117"/>
      <c r="AF77" s="486"/>
      <c r="AG77" s="117"/>
      <c r="AH77" s="486"/>
      <c r="AI77" s="117"/>
      <c r="AJ77" s="486"/>
      <c r="AK77" s="117"/>
      <c r="AL77" s="486"/>
      <c r="AM77" s="117"/>
      <c r="AN77" s="486"/>
      <c r="AO77" s="117"/>
      <c r="AP77" s="486"/>
      <c r="AQ77" s="117"/>
      <c r="AR77" s="486"/>
      <c r="AS77" s="117"/>
      <c r="AT77" s="486"/>
      <c r="AU77" s="117"/>
      <c r="AV77" s="486"/>
      <c r="AW77" s="117"/>
      <c r="AX77" s="486"/>
      <c r="AY77" s="117"/>
      <c r="AZ77" s="486"/>
      <c r="BA77" s="117"/>
      <c r="BB77" s="486"/>
      <c r="BC77" s="117"/>
      <c r="BD77" s="486"/>
      <c r="BE77" s="117"/>
      <c r="BF77" s="486"/>
      <c r="BG77" s="117"/>
      <c r="BH77" s="486"/>
      <c r="BI77" s="117"/>
      <c r="BJ77" s="486"/>
      <c r="BK77" s="117"/>
      <c r="BL77" s="486"/>
      <c r="BM77" s="117"/>
      <c r="BN77" s="486"/>
      <c r="BO77" s="117"/>
      <c r="BP77" s="486">
        <f t="shared" si="1"/>
        <v>0</v>
      </c>
      <c r="BQ77" s="117">
        <f t="shared" si="1"/>
        <v>0</v>
      </c>
    </row>
    <row r="78" spans="1:69">
      <c r="A78" s="74">
        <v>73</v>
      </c>
      <c r="B78" s="491" t="s">
        <v>2464</v>
      </c>
      <c r="C78" s="74"/>
      <c r="D78" s="487"/>
      <c r="E78" s="116"/>
      <c r="F78" s="487"/>
      <c r="G78" s="116"/>
      <c r="H78" s="487"/>
      <c r="I78" s="116"/>
      <c r="J78" s="487"/>
      <c r="K78" s="116"/>
      <c r="L78" s="487"/>
      <c r="M78" s="116"/>
      <c r="N78" s="487"/>
      <c r="O78" s="116"/>
      <c r="P78" s="487"/>
      <c r="Q78" s="116"/>
      <c r="R78" s="487"/>
      <c r="S78" s="116"/>
      <c r="T78" s="487"/>
      <c r="U78" s="116"/>
      <c r="V78" s="487"/>
      <c r="W78" s="116"/>
      <c r="X78" s="487"/>
      <c r="Y78" s="116"/>
      <c r="Z78" s="487"/>
      <c r="AA78" s="116"/>
      <c r="AB78" s="487"/>
      <c r="AC78" s="116"/>
      <c r="AD78" s="487"/>
      <c r="AE78" s="116"/>
      <c r="AF78" s="487"/>
      <c r="AG78" s="116"/>
      <c r="AH78" s="487"/>
      <c r="AI78" s="116"/>
      <c r="AJ78" s="487"/>
      <c r="AK78" s="116"/>
      <c r="AL78" s="487"/>
      <c r="AM78" s="116"/>
      <c r="AN78" s="487"/>
      <c r="AO78" s="116"/>
      <c r="AP78" s="487"/>
      <c r="AQ78" s="116"/>
      <c r="AR78" s="487"/>
      <c r="AS78" s="116"/>
      <c r="AT78" s="487"/>
      <c r="AU78" s="116"/>
      <c r="AV78" s="487"/>
      <c r="AW78" s="116"/>
      <c r="AX78" s="487"/>
      <c r="AY78" s="116"/>
      <c r="AZ78" s="487"/>
      <c r="BA78" s="116"/>
      <c r="BB78" s="487"/>
      <c r="BC78" s="116"/>
      <c r="BD78" s="487"/>
      <c r="BE78" s="116"/>
      <c r="BF78" s="487"/>
      <c r="BG78" s="116"/>
      <c r="BH78" s="487"/>
      <c r="BI78" s="116"/>
      <c r="BJ78" s="487"/>
      <c r="BK78" s="116"/>
      <c r="BL78" s="487"/>
      <c r="BM78" s="116"/>
      <c r="BN78" s="487"/>
      <c r="BO78" s="116"/>
      <c r="BP78" s="487">
        <f t="shared" si="1"/>
        <v>0</v>
      </c>
      <c r="BQ78" s="116">
        <f t="shared" si="1"/>
        <v>0</v>
      </c>
    </row>
    <row r="79" spans="1:69">
      <c r="A79" s="488">
        <v>74</v>
      </c>
      <c r="B79" s="77" t="s">
        <v>867</v>
      </c>
      <c r="C79" s="76" t="s">
        <v>868</v>
      </c>
      <c r="D79" s="486">
        <v>2</v>
      </c>
      <c r="E79" s="117">
        <v>357846187</v>
      </c>
      <c r="F79" s="486">
        <v>1</v>
      </c>
      <c r="G79" s="117">
        <v>1007506183</v>
      </c>
      <c r="H79" s="486"/>
      <c r="I79" s="117"/>
      <c r="J79" s="486"/>
      <c r="K79" s="117"/>
      <c r="L79" s="486"/>
      <c r="M79" s="117"/>
      <c r="N79" s="486"/>
      <c r="O79" s="117"/>
      <c r="P79" s="486"/>
      <c r="Q79" s="117"/>
      <c r="R79" s="486"/>
      <c r="S79" s="117"/>
      <c r="T79" s="486"/>
      <c r="U79" s="117"/>
      <c r="V79" s="486"/>
      <c r="W79" s="117"/>
      <c r="X79" s="486">
        <v>149</v>
      </c>
      <c r="Y79" s="117"/>
      <c r="Z79" s="486">
        <v>3</v>
      </c>
      <c r="AA79" s="117"/>
      <c r="AB79" s="486"/>
      <c r="AC79" s="117"/>
      <c r="AD79" s="486"/>
      <c r="AE79" s="117"/>
      <c r="AF79" s="486"/>
      <c r="AG79" s="117"/>
      <c r="AH79" s="486"/>
      <c r="AI79" s="117"/>
      <c r="AJ79" s="486"/>
      <c r="AK79" s="117"/>
      <c r="AL79" s="486"/>
      <c r="AM79" s="117"/>
      <c r="AN79" s="486"/>
      <c r="AO79" s="117"/>
      <c r="AP79" s="486"/>
      <c r="AQ79" s="117"/>
      <c r="AR79" s="486"/>
      <c r="AS79" s="117"/>
      <c r="AT79" s="486"/>
      <c r="AU79" s="117"/>
      <c r="AV79" s="486"/>
      <c r="AW79" s="117"/>
      <c r="AX79" s="486"/>
      <c r="AY79" s="117"/>
      <c r="AZ79" s="486"/>
      <c r="BA79" s="117"/>
      <c r="BB79" s="486"/>
      <c r="BC79" s="117"/>
      <c r="BD79" s="486"/>
      <c r="BE79" s="117"/>
      <c r="BF79" s="486"/>
      <c r="BG79" s="117"/>
      <c r="BH79" s="486"/>
      <c r="BI79" s="117"/>
      <c r="BJ79" s="486"/>
      <c r="BK79" s="117"/>
      <c r="BL79" s="486"/>
      <c r="BM79" s="117"/>
      <c r="BN79" s="486"/>
      <c r="BO79" s="117"/>
      <c r="BP79" s="486">
        <f t="shared" si="1"/>
        <v>155</v>
      </c>
      <c r="BQ79" s="117">
        <f t="shared" si="1"/>
        <v>1365352370</v>
      </c>
    </row>
    <row r="80" spans="1:69">
      <c r="A80" s="74">
        <v>75</v>
      </c>
      <c r="B80" s="73" t="s">
        <v>874</v>
      </c>
      <c r="C80" s="74" t="s">
        <v>875</v>
      </c>
      <c r="D80" s="487">
        <v>5</v>
      </c>
      <c r="E80" s="116"/>
      <c r="F80" s="487">
        <v>2</v>
      </c>
      <c r="G80" s="116"/>
      <c r="H80" s="487"/>
      <c r="I80" s="116"/>
      <c r="J80" s="487"/>
      <c r="K80" s="116"/>
      <c r="L80" s="487"/>
      <c r="M80" s="116"/>
      <c r="N80" s="487"/>
      <c r="O80" s="116"/>
      <c r="P80" s="487"/>
      <c r="Q80" s="116"/>
      <c r="R80" s="487"/>
      <c r="S80" s="116"/>
      <c r="T80" s="487"/>
      <c r="U80" s="116"/>
      <c r="V80" s="487"/>
      <c r="W80" s="116"/>
      <c r="X80" s="487"/>
      <c r="Y80" s="116"/>
      <c r="Z80" s="487"/>
      <c r="AA80" s="116"/>
      <c r="AB80" s="487"/>
      <c r="AC80" s="116"/>
      <c r="AD80" s="487"/>
      <c r="AE80" s="116"/>
      <c r="AF80" s="487"/>
      <c r="AG80" s="116"/>
      <c r="AH80" s="487"/>
      <c r="AI80" s="116"/>
      <c r="AJ80" s="487"/>
      <c r="AK80" s="116"/>
      <c r="AL80" s="487"/>
      <c r="AM80" s="116"/>
      <c r="AN80" s="487"/>
      <c r="AO80" s="116"/>
      <c r="AP80" s="487"/>
      <c r="AQ80" s="116"/>
      <c r="AR80" s="487"/>
      <c r="AS80" s="116"/>
      <c r="AT80" s="487"/>
      <c r="AU80" s="116"/>
      <c r="AV80" s="487"/>
      <c r="AW80" s="116"/>
      <c r="AX80" s="487"/>
      <c r="AY80" s="116"/>
      <c r="AZ80" s="487"/>
      <c r="BA80" s="116"/>
      <c r="BB80" s="487"/>
      <c r="BC80" s="116"/>
      <c r="BD80" s="487"/>
      <c r="BE80" s="116"/>
      <c r="BF80" s="487"/>
      <c r="BG80" s="116"/>
      <c r="BH80" s="487"/>
      <c r="BI80" s="116"/>
      <c r="BJ80" s="487"/>
      <c r="BK80" s="116"/>
      <c r="BL80" s="487"/>
      <c r="BM80" s="116"/>
      <c r="BN80" s="487"/>
      <c r="BO80" s="116"/>
      <c r="BP80" s="487">
        <f t="shared" si="1"/>
        <v>7</v>
      </c>
      <c r="BQ80" s="116">
        <f t="shared" si="1"/>
        <v>0</v>
      </c>
    </row>
    <row r="81" spans="1:69">
      <c r="A81" s="488">
        <v>76</v>
      </c>
      <c r="B81" s="489" t="s">
        <v>1877</v>
      </c>
      <c r="C81" s="76"/>
      <c r="D81" s="486"/>
      <c r="E81" s="117"/>
      <c r="F81" s="486"/>
      <c r="G81" s="117"/>
      <c r="H81" s="486"/>
      <c r="I81" s="117"/>
      <c r="J81" s="486"/>
      <c r="K81" s="117"/>
      <c r="L81" s="486"/>
      <c r="M81" s="117"/>
      <c r="N81" s="486"/>
      <c r="O81" s="117"/>
      <c r="P81" s="486"/>
      <c r="Q81" s="117"/>
      <c r="R81" s="486"/>
      <c r="S81" s="117"/>
      <c r="T81" s="486"/>
      <c r="U81" s="117"/>
      <c r="V81" s="486"/>
      <c r="W81" s="117"/>
      <c r="X81" s="486"/>
      <c r="Y81" s="117"/>
      <c r="Z81" s="486"/>
      <c r="AA81" s="117"/>
      <c r="AB81" s="486"/>
      <c r="AC81" s="117"/>
      <c r="AD81" s="486"/>
      <c r="AE81" s="117"/>
      <c r="AF81" s="486"/>
      <c r="AG81" s="117"/>
      <c r="AH81" s="486"/>
      <c r="AI81" s="117"/>
      <c r="AJ81" s="486"/>
      <c r="AK81" s="117"/>
      <c r="AL81" s="486"/>
      <c r="AM81" s="117"/>
      <c r="AN81" s="486"/>
      <c r="AO81" s="117"/>
      <c r="AP81" s="486"/>
      <c r="AQ81" s="117"/>
      <c r="AR81" s="486"/>
      <c r="AS81" s="117"/>
      <c r="AT81" s="486"/>
      <c r="AU81" s="117"/>
      <c r="AV81" s="486"/>
      <c r="AW81" s="117"/>
      <c r="AX81" s="486"/>
      <c r="AY81" s="117"/>
      <c r="AZ81" s="486"/>
      <c r="BA81" s="117"/>
      <c r="BB81" s="486"/>
      <c r="BC81" s="117"/>
      <c r="BD81" s="486"/>
      <c r="BE81" s="117"/>
      <c r="BF81" s="486"/>
      <c r="BG81" s="117"/>
      <c r="BH81" s="486"/>
      <c r="BI81" s="117"/>
      <c r="BJ81" s="486"/>
      <c r="BK81" s="117"/>
      <c r="BL81" s="486"/>
      <c r="BM81" s="117"/>
      <c r="BN81" s="486"/>
      <c r="BO81" s="117"/>
      <c r="BP81" s="486">
        <f t="shared" si="1"/>
        <v>0</v>
      </c>
      <c r="BQ81" s="117">
        <f t="shared" si="1"/>
        <v>0</v>
      </c>
    </row>
    <row r="82" spans="1:69">
      <c r="A82" s="74">
        <v>77</v>
      </c>
      <c r="B82" s="491" t="s">
        <v>191</v>
      </c>
      <c r="C82" s="74"/>
      <c r="D82" s="487"/>
      <c r="E82" s="116"/>
      <c r="F82" s="487"/>
      <c r="G82" s="116"/>
      <c r="H82" s="487"/>
      <c r="I82" s="116"/>
      <c r="J82" s="487"/>
      <c r="K82" s="116"/>
      <c r="L82" s="487"/>
      <c r="M82" s="116"/>
      <c r="N82" s="487"/>
      <c r="O82" s="116"/>
      <c r="P82" s="487"/>
      <c r="Q82" s="116"/>
      <c r="R82" s="487"/>
      <c r="S82" s="116"/>
      <c r="T82" s="487"/>
      <c r="U82" s="116"/>
      <c r="V82" s="487"/>
      <c r="W82" s="116"/>
      <c r="X82" s="487"/>
      <c r="Y82" s="116"/>
      <c r="Z82" s="487"/>
      <c r="AA82" s="116"/>
      <c r="AB82" s="487"/>
      <c r="AC82" s="116"/>
      <c r="AD82" s="487"/>
      <c r="AE82" s="116"/>
      <c r="AF82" s="487"/>
      <c r="AG82" s="116"/>
      <c r="AH82" s="487"/>
      <c r="AI82" s="116"/>
      <c r="AJ82" s="487"/>
      <c r="AK82" s="116"/>
      <c r="AL82" s="487"/>
      <c r="AM82" s="116"/>
      <c r="AN82" s="487"/>
      <c r="AO82" s="116"/>
      <c r="AP82" s="487"/>
      <c r="AQ82" s="116"/>
      <c r="AR82" s="487"/>
      <c r="AS82" s="116"/>
      <c r="AT82" s="487"/>
      <c r="AU82" s="116"/>
      <c r="AV82" s="487"/>
      <c r="AW82" s="116"/>
      <c r="AX82" s="487"/>
      <c r="AY82" s="116"/>
      <c r="AZ82" s="487"/>
      <c r="BA82" s="116"/>
      <c r="BB82" s="487"/>
      <c r="BC82" s="116"/>
      <c r="BD82" s="487"/>
      <c r="BE82" s="116"/>
      <c r="BF82" s="487"/>
      <c r="BG82" s="116"/>
      <c r="BH82" s="487"/>
      <c r="BI82" s="116"/>
      <c r="BJ82" s="487"/>
      <c r="BK82" s="116"/>
      <c r="BL82" s="487"/>
      <c r="BM82" s="116"/>
      <c r="BN82" s="487"/>
      <c r="BO82" s="116"/>
      <c r="BP82" s="487">
        <f t="shared" si="1"/>
        <v>0</v>
      </c>
      <c r="BQ82" s="116">
        <f t="shared" si="1"/>
        <v>0</v>
      </c>
    </row>
    <row r="83" spans="1:69">
      <c r="A83" s="488">
        <v>78</v>
      </c>
      <c r="B83" s="489" t="s">
        <v>375</v>
      </c>
      <c r="C83" s="76"/>
      <c r="D83" s="486"/>
      <c r="E83" s="117"/>
      <c r="F83" s="486"/>
      <c r="G83" s="117"/>
      <c r="H83" s="486"/>
      <c r="I83" s="117"/>
      <c r="J83" s="486"/>
      <c r="K83" s="117"/>
      <c r="L83" s="486"/>
      <c r="M83" s="117"/>
      <c r="N83" s="486"/>
      <c r="O83" s="117"/>
      <c r="P83" s="486"/>
      <c r="Q83" s="117"/>
      <c r="R83" s="486"/>
      <c r="S83" s="117"/>
      <c r="T83" s="486"/>
      <c r="U83" s="117"/>
      <c r="V83" s="486"/>
      <c r="W83" s="117"/>
      <c r="X83" s="486"/>
      <c r="Y83" s="117"/>
      <c r="Z83" s="486"/>
      <c r="AA83" s="117"/>
      <c r="AB83" s="486"/>
      <c r="AC83" s="117"/>
      <c r="AD83" s="486"/>
      <c r="AE83" s="117"/>
      <c r="AF83" s="486"/>
      <c r="AG83" s="117"/>
      <c r="AH83" s="486"/>
      <c r="AI83" s="117"/>
      <c r="AJ83" s="486"/>
      <c r="AK83" s="117"/>
      <c r="AL83" s="486"/>
      <c r="AM83" s="117"/>
      <c r="AN83" s="486"/>
      <c r="AO83" s="117"/>
      <c r="AP83" s="486"/>
      <c r="AQ83" s="117"/>
      <c r="AR83" s="486"/>
      <c r="AS83" s="117"/>
      <c r="AT83" s="486"/>
      <c r="AU83" s="117"/>
      <c r="AV83" s="486"/>
      <c r="AW83" s="117"/>
      <c r="AX83" s="486"/>
      <c r="AY83" s="117"/>
      <c r="AZ83" s="486"/>
      <c r="BA83" s="117"/>
      <c r="BB83" s="486"/>
      <c r="BC83" s="117"/>
      <c r="BD83" s="486"/>
      <c r="BE83" s="117"/>
      <c r="BF83" s="486"/>
      <c r="BG83" s="117"/>
      <c r="BH83" s="486"/>
      <c r="BI83" s="117"/>
      <c r="BJ83" s="486"/>
      <c r="BK83" s="117"/>
      <c r="BL83" s="486"/>
      <c r="BM83" s="117"/>
      <c r="BN83" s="486"/>
      <c r="BO83" s="117"/>
      <c r="BP83" s="486">
        <f t="shared" si="1"/>
        <v>0</v>
      </c>
      <c r="BQ83" s="117">
        <f t="shared" si="1"/>
        <v>0</v>
      </c>
    </row>
    <row r="84" spans="1:69">
      <c r="A84" s="74">
        <v>79</v>
      </c>
      <c r="B84" s="73" t="s">
        <v>877</v>
      </c>
      <c r="C84" s="74" t="s">
        <v>878</v>
      </c>
      <c r="D84" s="487"/>
      <c r="E84" s="116"/>
      <c r="F84" s="487"/>
      <c r="G84" s="116"/>
      <c r="H84" s="487"/>
      <c r="I84" s="116"/>
      <c r="J84" s="487"/>
      <c r="K84" s="116"/>
      <c r="L84" s="487"/>
      <c r="M84" s="116"/>
      <c r="N84" s="487"/>
      <c r="O84" s="116"/>
      <c r="P84" s="487">
        <v>303</v>
      </c>
      <c r="Q84" s="116">
        <v>2112913482.4000001</v>
      </c>
      <c r="R84" s="487">
        <v>56</v>
      </c>
      <c r="S84" s="116">
        <v>2758619008.5999999</v>
      </c>
      <c r="T84" s="487"/>
      <c r="U84" s="116"/>
      <c r="V84" s="487"/>
      <c r="W84" s="116"/>
      <c r="X84" s="487"/>
      <c r="Y84" s="116"/>
      <c r="Z84" s="487"/>
      <c r="AA84" s="116"/>
      <c r="AB84" s="487"/>
      <c r="AC84" s="116"/>
      <c r="AD84" s="487"/>
      <c r="AE84" s="116"/>
      <c r="AF84" s="487"/>
      <c r="AG84" s="116"/>
      <c r="AH84" s="487"/>
      <c r="AI84" s="116"/>
      <c r="AJ84" s="487"/>
      <c r="AK84" s="116"/>
      <c r="AL84" s="487"/>
      <c r="AM84" s="116"/>
      <c r="AN84" s="487"/>
      <c r="AO84" s="116"/>
      <c r="AP84" s="487"/>
      <c r="AQ84" s="116"/>
      <c r="AR84" s="487"/>
      <c r="AS84" s="116"/>
      <c r="AT84" s="487"/>
      <c r="AU84" s="116"/>
      <c r="AV84" s="487">
        <v>4</v>
      </c>
      <c r="AW84" s="116"/>
      <c r="AX84" s="487"/>
      <c r="AY84" s="116"/>
      <c r="AZ84" s="487"/>
      <c r="BA84" s="116"/>
      <c r="BB84" s="487"/>
      <c r="BC84" s="116"/>
      <c r="BD84" s="487"/>
      <c r="BE84" s="116"/>
      <c r="BF84" s="487"/>
      <c r="BG84" s="116"/>
      <c r="BH84" s="487"/>
      <c r="BI84" s="116"/>
      <c r="BJ84" s="487"/>
      <c r="BK84" s="116"/>
      <c r="BL84" s="487"/>
      <c r="BM84" s="116"/>
      <c r="BN84" s="487"/>
      <c r="BO84" s="116"/>
      <c r="BP84" s="487">
        <f t="shared" si="1"/>
        <v>363</v>
      </c>
      <c r="BQ84" s="116">
        <f t="shared" si="1"/>
        <v>4871532491</v>
      </c>
    </row>
    <row r="85" spans="1:69">
      <c r="A85" s="488">
        <v>80</v>
      </c>
      <c r="B85" s="77" t="s">
        <v>881</v>
      </c>
      <c r="C85" s="76" t="s">
        <v>882</v>
      </c>
      <c r="D85" s="486">
        <v>2</v>
      </c>
      <c r="E85" s="117"/>
      <c r="F85" s="486"/>
      <c r="G85" s="117"/>
      <c r="H85" s="486">
        <v>4</v>
      </c>
      <c r="I85" s="117"/>
      <c r="J85" s="486">
        <v>6</v>
      </c>
      <c r="K85" s="117"/>
      <c r="L85" s="486">
        <v>6</v>
      </c>
      <c r="M85" s="117"/>
      <c r="N85" s="486">
        <v>1</v>
      </c>
      <c r="O85" s="117"/>
      <c r="P85" s="486">
        <v>5</v>
      </c>
      <c r="Q85" s="117"/>
      <c r="R85" s="486"/>
      <c r="S85" s="117"/>
      <c r="T85" s="486"/>
      <c r="U85" s="117"/>
      <c r="V85" s="486"/>
      <c r="W85" s="117"/>
      <c r="X85" s="486">
        <v>3</v>
      </c>
      <c r="Y85" s="117"/>
      <c r="Z85" s="486">
        <v>3</v>
      </c>
      <c r="AA85" s="117"/>
      <c r="AB85" s="486">
        <v>8</v>
      </c>
      <c r="AC85" s="117"/>
      <c r="AD85" s="486">
        <v>4</v>
      </c>
      <c r="AE85" s="117"/>
      <c r="AF85" s="486">
        <v>20</v>
      </c>
      <c r="AG85" s="117"/>
      <c r="AH85" s="486">
        <v>5</v>
      </c>
      <c r="AI85" s="117"/>
      <c r="AJ85" s="486"/>
      <c r="AK85" s="117"/>
      <c r="AL85" s="486"/>
      <c r="AM85" s="117"/>
      <c r="AN85" s="486"/>
      <c r="AO85" s="117"/>
      <c r="AP85" s="486"/>
      <c r="AQ85" s="117"/>
      <c r="AR85" s="486"/>
      <c r="AS85" s="117"/>
      <c r="AT85" s="486"/>
      <c r="AU85" s="117"/>
      <c r="AV85" s="486"/>
      <c r="AW85" s="117"/>
      <c r="AX85" s="486"/>
      <c r="AY85" s="117"/>
      <c r="AZ85" s="486"/>
      <c r="BA85" s="117"/>
      <c r="BB85" s="486"/>
      <c r="BC85" s="117"/>
      <c r="BD85" s="486"/>
      <c r="BE85" s="117"/>
      <c r="BF85" s="486">
        <v>2</v>
      </c>
      <c r="BG85" s="117"/>
      <c r="BH85" s="486"/>
      <c r="BI85" s="117"/>
      <c r="BJ85" s="486"/>
      <c r="BK85" s="117"/>
      <c r="BL85" s="486"/>
      <c r="BM85" s="117"/>
      <c r="BN85" s="486"/>
      <c r="BO85" s="117"/>
      <c r="BP85" s="486">
        <f t="shared" si="1"/>
        <v>69</v>
      </c>
      <c r="BQ85" s="117">
        <f t="shared" si="1"/>
        <v>0</v>
      </c>
    </row>
    <row r="86" spans="1:69">
      <c r="A86" s="74">
        <v>81</v>
      </c>
      <c r="B86" s="491" t="s">
        <v>2468</v>
      </c>
      <c r="C86" s="74"/>
      <c r="D86" s="487"/>
      <c r="E86" s="116"/>
      <c r="F86" s="487"/>
      <c r="G86" s="116"/>
      <c r="H86" s="487"/>
      <c r="I86" s="116"/>
      <c r="J86" s="487"/>
      <c r="K86" s="116"/>
      <c r="L86" s="487"/>
      <c r="M86" s="116"/>
      <c r="N86" s="487"/>
      <c r="O86" s="116"/>
      <c r="P86" s="487"/>
      <c r="Q86" s="116"/>
      <c r="R86" s="487"/>
      <c r="S86" s="116"/>
      <c r="T86" s="487"/>
      <c r="U86" s="116"/>
      <c r="V86" s="487"/>
      <c r="W86" s="116"/>
      <c r="X86" s="487"/>
      <c r="Y86" s="116"/>
      <c r="Z86" s="487"/>
      <c r="AA86" s="116"/>
      <c r="AB86" s="487"/>
      <c r="AC86" s="116"/>
      <c r="AD86" s="487"/>
      <c r="AE86" s="116"/>
      <c r="AF86" s="487"/>
      <c r="AG86" s="116"/>
      <c r="AH86" s="487"/>
      <c r="AI86" s="116"/>
      <c r="AJ86" s="487"/>
      <c r="AK86" s="116"/>
      <c r="AL86" s="487"/>
      <c r="AM86" s="116"/>
      <c r="AN86" s="487"/>
      <c r="AO86" s="116"/>
      <c r="AP86" s="487"/>
      <c r="AQ86" s="116"/>
      <c r="AR86" s="487"/>
      <c r="AS86" s="116"/>
      <c r="AT86" s="487"/>
      <c r="AU86" s="116"/>
      <c r="AV86" s="487"/>
      <c r="AW86" s="116"/>
      <c r="AX86" s="487"/>
      <c r="AY86" s="116"/>
      <c r="AZ86" s="487"/>
      <c r="BA86" s="116"/>
      <c r="BB86" s="487"/>
      <c r="BC86" s="116"/>
      <c r="BD86" s="487"/>
      <c r="BE86" s="116"/>
      <c r="BF86" s="487"/>
      <c r="BG86" s="116"/>
      <c r="BH86" s="487"/>
      <c r="BI86" s="116"/>
      <c r="BJ86" s="487"/>
      <c r="BK86" s="116"/>
      <c r="BL86" s="487"/>
      <c r="BM86" s="116"/>
      <c r="BN86" s="487"/>
      <c r="BO86" s="116"/>
      <c r="BP86" s="487">
        <f t="shared" si="1"/>
        <v>0</v>
      </c>
      <c r="BQ86" s="116">
        <f t="shared" si="1"/>
        <v>0</v>
      </c>
    </row>
    <row r="87" spans="1:69">
      <c r="A87" s="488">
        <v>82</v>
      </c>
      <c r="B87" s="489" t="s">
        <v>83</v>
      </c>
      <c r="C87" s="76"/>
      <c r="D87" s="486"/>
      <c r="E87" s="117"/>
      <c r="F87" s="486"/>
      <c r="G87" s="117"/>
      <c r="H87" s="486"/>
      <c r="I87" s="117"/>
      <c r="J87" s="486"/>
      <c r="K87" s="117"/>
      <c r="L87" s="486"/>
      <c r="M87" s="117"/>
      <c r="N87" s="486"/>
      <c r="O87" s="117"/>
      <c r="P87" s="486"/>
      <c r="Q87" s="117"/>
      <c r="R87" s="486"/>
      <c r="S87" s="117"/>
      <c r="T87" s="486"/>
      <c r="U87" s="117"/>
      <c r="V87" s="486"/>
      <c r="W87" s="117"/>
      <c r="X87" s="486"/>
      <c r="Y87" s="117"/>
      <c r="Z87" s="486"/>
      <c r="AA87" s="117"/>
      <c r="AB87" s="486"/>
      <c r="AC87" s="117"/>
      <c r="AD87" s="486"/>
      <c r="AE87" s="117"/>
      <c r="AF87" s="486"/>
      <c r="AG87" s="117"/>
      <c r="AH87" s="486"/>
      <c r="AI87" s="117"/>
      <c r="AJ87" s="486"/>
      <c r="AK87" s="117"/>
      <c r="AL87" s="486"/>
      <c r="AM87" s="117"/>
      <c r="AN87" s="486"/>
      <c r="AO87" s="117"/>
      <c r="AP87" s="486"/>
      <c r="AQ87" s="117"/>
      <c r="AR87" s="486"/>
      <c r="AS87" s="117"/>
      <c r="AT87" s="486"/>
      <c r="AU87" s="117"/>
      <c r="AV87" s="486"/>
      <c r="AW87" s="117"/>
      <c r="AX87" s="486"/>
      <c r="AY87" s="117"/>
      <c r="AZ87" s="486"/>
      <c r="BA87" s="117"/>
      <c r="BB87" s="486"/>
      <c r="BC87" s="117"/>
      <c r="BD87" s="486"/>
      <c r="BE87" s="117"/>
      <c r="BF87" s="486"/>
      <c r="BG87" s="117"/>
      <c r="BH87" s="486"/>
      <c r="BI87" s="117"/>
      <c r="BJ87" s="486"/>
      <c r="BK87" s="117"/>
      <c r="BL87" s="486"/>
      <c r="BM87" s="117"/>
      <c r="BN87" s="486"/>
      <c r="BO87" s="117"/>
      <c r="BP87" s="486">
        <f t="shared" si="1"/>
        <v>0</v>
      </c>
      <c r="BQ87" s="117">
        <f t="shared" si="1"/>
        <v>0</v>
      </c>
    </row>
    <row r="88" spans="1:69">
      <c r="A88" s="74">
        <v>83</v>
      </c>
      <c r="B88" s="491" t="s">
        <v>153</v>
      </c>
      <c r="C88" s="74"/>
      <c r="D88" s="487"/>
      <c r="E88" s="116"/>
      <c r="F88" s="487"/>
      <c r="G88" s="116"/>
      <c r="H88" s="487"/>
      <c r="I88" s="116"/>
      <c r="J88" s="487"/>
      <c r="K88" s="116"/>
      <c r="L88" s="487"/>
      <c r="M88" s="116"/>
      <c r="N88" s="487"/>
      <c r="O88" s="116"/>
      <c r="P88" s="487"/>
      <c r="Q88" s="116"/>
      <c r="R88" s="487"/>
      <c r="S88" s="116"/>
      <c r="T88" s="487"/>
      <c r="U88" s="116"/>
      <c r="V88" s="487"/>
      <c r="W88" s="116"/>
      <c r="X88" s="487"/>
      <c r="Y88" s="116"/>
      <c r="Z88" s="487"/>
      <c r="AA88" s="116"/>
      <c r="AB88" s="487"/>
      <c r="AC88" s="116"/>
      <c r="AD88" s="487"/>
      <c r="AE88" s="116"/>
      <c r="AF88" s="487"/>
      <c r="AG88" s="116"/>
      <c r="AH88" s="487"/>
      <c r="AI88" s="116"/>
      <c r="AJ88" s="487"/>
      <c r="AK88" s="116"/>
      <c r="AL88" s="487"/>
      <c r="AM88" s="116"/>
      <c r="AN88" s="487"/>
      <c r="AO88" s="116"/>
      <c r="AP88" s="487"/>
      <c r="AQ88" s="116"/>
      <c r="AR88" s="487"/>
      <c r="AS88" s="116"/>
      <c r="AT88" s="487"/>
      <c r="AU88" s="116"/>
      <c r="AV88" s="487"/>
      <c r="AW88" s="116"/>
      <c r="AX88" s="487"/>
      <c r="AY88" s="116"/>
      <c r="AZ88" s="487"/>
      <c r="BA88" s="116"/>
      <c r="BB88" s="487"/>
      <c r="BC88" s="116"/>
      <c r="BD88" s="487"/>
      <c r="BE88" s="116"/>
      <c r="BF88" s="487"/>
      <c r="BG88" s="116"/>
      <c r="BH88" s="487"/>
      <c r="BI88" s="116"/>
      <c r="BJ88" s="487"/>
      <c r="BK88" s="116"/>
      <c r="BL88" s="487"/>
      <c r="BM88" s="116"/>
      <c r="BN88" s="487"/>
      <c r="BO88" s="116"/>
      <c r="BP88" s="487">
        <f t="shared" si="1"/>
        <v>0</v>
      </c>
      <c r="BQ88" s="116">
        <f t="shared" si="1"/>
        <v>0</v>
      </c>
    </row>
    <row r="89" spans="1:69">
      <c r="A89" s="488">
        <v>84</v>
      </c>
      <c r="B89" s="489" t="s">
        <v>90</v>
      </c>
      <c r="C89" s="76"/>
      <c r="D89" s="486"/>
      <c r="E89" s="117"/>
      <c r="F89" s="486"/>
      <c r="G89" s="117"/>
      <c r="H89" s="486"/>
      <c r="I89" s="117"/>
      <c r="J89" s="486"/>
      <c r="K89" s="117"/>
      <c r="L89" s="486"/>
      <c r="M89" s="117"/>
      <c r="N89" s="486"/>
      <c r="O89" s="117"/>
      <c r="P89" s="486"/>
      <c r="Q89" s="117"/>
      <c r="R89" s="486"/>
      <c r="S89" s="117"/>
      <c r="T89" s="486"/>
      <c r="U89" s="117"/>
      <c r="V89" s="486"/>
      <c r="W89" s="117"/>
      <c r="X89" s="486"/>
      <c r="Y89" s="117"/>
      <c r="Z89" s="486"/>
      <c r="AA89" s="117"/>
      <c r="AB89" s="486"/>
      <c r="AC89" s="117"/>
      <c r="AD89" s="486"/>
      <c r="AE89" s="117"/>
      <c r="AF89" s="486"/>
      <c r="AG89" s="117"/>
      <c r="AH89" s="486"/>
      <c r="AI89" s="117"/>
      <c r="AJ89" s="486"/>
      <c r="AK89" s="117"/>
      <c r="AL89" s="486"/>
      <c r="AM89" s="117"/>
      <c r="AN89" s="486"/>
      <c r="AO89" s="117"/>
      <c r="AP89" s="486"/>
      <c r="AQ89" s="117"/>
      <c r="AR89" s="486"/>
      <c r="AS89" s="117"/>
      <c r="AT89" s="486"/>
      <c r="AU89" s="117"/>
      <c r="AV89" s="486"/>
      <c r="AW89" s="117"/>
      <c r="AX89" s="486"/>
      <c r="AY89" s="117"/>
      <c r="AZ89" s="486"/>
      <c r="BA89" s="117"/>
      <c r="BB89" s="486"/>
      <c r="BC89" s="117"/>
      <c r="BD89" s="486"/>
      <c r="BE89" s="117"/>
      <c r="BF89" s="486"/>
      <c r="BG89" s="117"/>
      <c r="BH89" s="486"/>
      <c r="BI89" s="117"/>
      <c r="BJ89" s="486"/>
      <c r="BK89" s="117"/>
      <c r="BL89" s="486"/>
      <c r="BM89" s="117"/>
      <c r="BN89" s="486"/>
      <c r="BO89" s="117"/>
      <c r="BP89" s="486">
        <f t="shared" si="1"/>
        <v>0</v>
      </c>
      <c r="BQ89" s="117">
        <f t="shared" si="1"/>
        <v>0</v>
      </c>
    </row>
    <row r="90" spans="1:69">
      <c r="A90" s="74">
        <v>85</v>
      </c>
      <c r="B90" s="73" t="s">
        <v>894</v>
      </c>
      <c r="C90" s="74" t="s">
        <v>895</v>
      </c>
      <c r="D90" s="487"/>
      <c r="E90" s="116"/>
      <c r="F90" s="487">
        <v>3</v>
      </c>
      <c r="G90" s="116">
        <v>28095510</v>
      </c>
      <c r="H90" s="487"/>
      <c r="I90" s="116"/>
      <c r="J90" s="487"/>
      <c r="K90" s="116"/>
      <c r="L90" s="487">
        <v>2</v>
      </c>
      <c r="M90" s="116">
        <v>8080800</v>
      </c>
      <c r="N90" s="487">
        <v>4</v>
      </c>
      <c r="O90" s="116">
        <v>78141347</v>
      </c>
      <c r="P90" s="487">
        <v>14</v>
      </c>
      <c r="Q90" s="116">
        <v>15904720</v>
      </c>
      <c r="R90" s="487"/>
      <c r="S90" s="116"/>
      <c r="T90" s="487"/>
      <c r="U90" s="116"/>
      <c r="V90" s="487"/>
      <c r="W90" s="116"/>
      <c r="X90" s="487"/>
      <c r="Y90" s="116"/>
      <c r="Z90" s="487"/>
      <c r="AA90" s="116"/>
      <c r="AB90" s="487"/>
      <c r="AC90" s="116"/>
      <c r="AD90" s="487"/>
      <c r="AE90" s="116"/>
      <c r="AF90" s="487"/>
      <c r="AG90" s="116"/>
      <c r="AH90" s="487"/>
      <c r="AI90" s="116"/>
      <c r="AJ90" s="487"/>
      <c r="AK90" s="116"/>
      <c r="AL90" s="487"/>
      <c r="AM90" s="116"/>
      <c r="AN90" s="487"/>
      <c r="AO90" s="116"/>
      <c r="AP90" s="487"/>
      <c r="AQ90" s="116"/>
      <c r="AR90" s="487"/>
      <c r="AS90" s="116"/>
      <c r="AT90" s="487"/>
      <c r="AU90" s="116"/>
      <c r="AV90" s="487"/>
      <c r="AW90" s="116"/>
      <c r="AX90" s="487"/>
      <c r="AY90" s="116"/>
      <c r="AZ90" s="487"/>
      <c r="BA90" s="116"/>
      <c r="BB90" s="487"/>
      <c r="BC90" s="116"/>
      <c r="BD90" s="487"/>
      <c r="BE90" s="116"/>
      <c r="BF90" s="487"/>
      <c r="BG90" s="116"/>
      <c r="BH90" s="487"/>
      <c r="BI90" s="116"/>
      <c r="BJ90" s="487"/>
      <c r="BK90" s="116"/>
      <c r="BL90" s="487"/>
      <c r="BM90" s="116"/>
      <c r="BN90" s="487"/>
      <c r="BO90" s="116"/>
      <c r="BP90" s="487">
        <f t="shared" ref="BP90:BQ121" si="2">BN90+BL90+BJ90+BH90+BF90+BD90+BB90+AZ90+AX90+AV90+AT90+AR90+AP90+AN90+AL90+AJ90+AH90+AF90+AD90+AB90+Z90+X90+V90+T90+R90+P90+N90+L90+J90+H90+F90+D90</f>
        <v>23</v>
      </c>
      <c r="BQ90" s="116">
        <f t="shared" si="2"/>
        <v>130222377</v>
      </c>
    </row>
    <row r="91" spans="1:69">
      <c r="A91" s="488">
        <v>86</v>
      </c>
      <c r="B91" s="489" t="s">
        <v>129</v>
      </c>
      <c r="C91" s="76"/>
      <c r="D91" s="486"/>
      <c r="E91" s="117"/>
      <c r="F91" s="486"/>
      <c r="G91" s="117"/>
      <c r="H91" s="486"/>
      <c r="I91" s="117"/>
      <c r="J91" s="486"/>
      <c r="K91" s="117"/>
      <c r="L91" s="486"/>
      <c r="M91" s="117"/>
      <c r="N91" s="486"/>
      <c r="O91" s="117"/>
      <c r="P91" s="486"/>
      <c r="Q91" s="117"/>
      <c r="R91" s="486"/>
      <c r="S91" s="117"/>
      <c r="T91" s="486"/>
      <c r="U91" s="117"/>
      <c r="V91" s="486"/>
      <c r="W91" s="117"/>
      <c r="X91" s="486"/>
      <c r="Y91" s="117"/>
      <c r="Z91" s="486"/>
      <c r="AA91" s="117"/>
      <c r="AB91" s="486"/>
      <c r="AC91" s="117"/>
      <c r="AD91" s="486"/>
      <c r="AE91" s="117"/>
      <c r="AF91" s="486"/>
      <c r="AG91" s="117"/>
      <c r="AH91" s="486"/>
      <c r="AI91" s="117"/>
      <c r="AJ91" s="486"/>
      <c r="AK91" s="117"/>
      <c r="AL91" s="486"/>
      <c r="AM91" s="117"/>
      <c r="AN91" s="486"/>
      <c r="AO91" s="117"/>
      <c r="AP91" s="486"/>
      <c r="AQ91" s="117"/>
      <c r="AR91" s="486"/>
      <c r="AS91" s="117"/>
      <c r="AT91" s="486"/>
      <c r="AU91" s="117"/>
      <c r="AV91" s="486"/>
      <c r="AW91" s="117"/>
      <c r="AX91" s="486"/>
      <c r="AY91" s="117"/>
      <c r="AZ91" s="486"/>
      <c r="BA91" s="117"/>
      <c r="BB91" s="486"/>
      <c r="BC91" s="117"/>
      <c r="BD91" s="486"/>
      <c r="BE91" s="117"/>
      <c r="BF91" s="486"/>
      <c r="BG91" s="117"/>
      <c r="BH91" s="486"/>
      <c r="BI91" s="117"/>
      <c r="BJ91" s="486"/>
      <c r="BK91" s="117"/>
      <c r="BL91" s="486"/>
      <c r="BM91" s="117"/>
      <c r="BN91" s="486"/>
      <c r="BO91" s="117"/>
      <c r="BP91" s="486">
        <f t="shared" si="2"/>
        <v>0</v>
      </c>
      <c r="BQ91" s="117">
        <f t="shared" si="2"/>
        <v>0</v>
      </c>
    </row>
    <row r="92" spans="1:69">
      <c r="A92" s="74">
        <v>87</v>
      </c>
      <c r="B92" s="73" t="s">
        <v>197</v>
      </c>
      <c r="C92" s="74" t="s">
        <v>902</v>
      </c>
      <c r="D92" s="487">
        <v>1</v>
      </c>
      <c r="E92" s="116">
        <v>4744821</v>
      </c>
      <c r="F92" s="487">
        <v>2</v>
      </c>
      <c r="G92" s="116">
        <v>39809547</v>
      </c>
      <c r="H92" s="487">
        <v>15</v>
      </c>
      <c r="I92" s="116">
        <v>37006160</v>
      </c>
      <c r="J92" s="487">
        <v>2</v>
      </c>
      <c r="K92" s="116">
        <v>31365102</v>
      </c>
      <c r="L92" s="487"/>
      <c r="M92" s="116"/>
      <c r="N92" s="487"/>
      <c r="O92" s="116"/>
      <c r="P92" s="487">
        <v>159</v>
      </c>
      <c r="Q92" s="116">
        <v>140518290</v>
      </c>
      <c r="R92" s="487"/>
      <c r="S92" s="116"/>
      <c r="T92" s="487"/>
      <c r="U92" s="116"/>
      <c r="V92" s="487"/>
      <c r="W92" s="116"/>
      <c r="X92" s="487"/>
      <c r="Y92" s="116"/>
      <c r="Z92" s="487"/>
      <c r="AA92" s="116"/>
      <c r="AB92" s="487"/>
      <c r="AC92" s="116"/>
      <c r="AD92" s="487"/>
      <c r="AE92" s="116"/>
      <c r="AF92" s="487"/>
      <c r="AG92" s="116"/>
      <c r="AH92" s="487"/>
      <c r="AI92" s="116"/>
      <c r="AJ92" s="487"/>
      <c r="AK92" s="116"/>
      <c r="AL92" s="487"/>
      <c r="AM92" s="116"/>
      <c r="AN92" s="487"/>
      <c r="AO92" s="116"/>
      <c r="AP92" s="487"/>
      <c r="AQ92" s="116"/>
      <c r="AR92" s="487"/>
      <c r="AS92" s="116"/>
      <c r="AT92" s="487"/>
      <c r="AU92" s="116"/>
      <c r="AV92" s="487"/>
      <c r="AW92" s="116"/>
      <c r="AX92" s="487"/>
      <c r="AY92" s="116"/>
      <c r="AZ92" s="487"/>
      <c r="BA92" s="116"/>
      <c r="BB92" s="487"/>
      <c r="BC92" s="116"/>
      <c r="BD92" s="487"/>
      <c r="BE92" s="116"/>
      <c r="BF92" s="487"/>
      <c r="BG92" s="116"/>
      <c r="BH92" s="487"/>
      <c r="BI92" s="116"/>
      <c r="BJ92" s="487"/>
      <c r="BK92" s="116"/>
      <c r="BL92" s="487"/>
      <c r="BM92" s="116"/>
      <c r="BN92" s="487"/>
      <c r="BO92" s="116"/>
      <c r="BP92" s="487">
        <f t="shared" si="2"/>
        <v>179</v>
      </c>
      <c r="BQ92" s="116">
        <f t="shared" si="2"/>
        <v>253443920</v>
      </c>
    </row>
    <row r="93" spans="1:69">
      <c r="A93" s="488">
        <v>88</v>
      </c>
      <c r="B93" s="489" t="s">
        <v>1884</v>
      </c>
      <c r="C93" s="76"/>
      <c r="D93" s="486"/>
      <c r="E93" s="117"/>
      <c r="F93" s="486"/>
      <c r="G93" s="117"/>
      <c r="H93" s="486"/>
      <c r="I93" s="117"/>
      <c r="J93" s="486"/>
      <c r="K93" s="117"/>
      <c r="L93" s="486"/>
      <c r="M93" s="117"/>
      <c r="N93" s="486"/>
      <c r="O93" s="117"/>
      <c r="P93" s="486"/>
      <c r="Q93" s="117"/>
      <c r="R93" s="486"/>
      <c r="S93" s="117"/>
      <c r="T93" s="486"/>
      <c r="U93" s="117"/>
      <c r="V93" s="486"/>
      <c r="W93" s="117"/>
      <c r="X93" s="486"/>
      <c r="Y93" s="117"/>
      <c r="Z93" s="486"/>
      <c r="AA93" s="117"/>
      <c r="AB93" s="486"/>
      <c r="AC93" s="117"/>
      <c r="AD93" s="486"/>
      <c r="AE93" s="117"/>
      <c r="AF93" s="486"/>
      <c r="AG93" s="117"/>
      <c r="AH93" s="486"/>
      <c r="AI93" s="117"/>
      <c r="AJ93" s="486"/>
      <c r="AK93" s="117"/>
      <c r="AL93" s="486"/>
      <c r="AM93" s="117"/>
      <c r="AN93" s="486"/>
      <c r="AO93" s="117"/>
      <c r="AP93" s="486"/>
      <c r="AQ93" s="117"/>
      <c r="AR93" s="486"/>
      <c r="AS93" s="117"/>
      <c r="AT93" s="486"/>
      <c r="AU93" s="117"/>
      <c r="AV93" s="486"/>
      <c r="AW93" s="117"/>
      <c r="AX93" s="486"/>
      <c r="AY93" s="117"/>
      <c r="AZ93" s="486"/>
      <c r="BA93" s="117"/>
      <c r="BB93" s="486"/>
      <c r="BC93" s="117"/>
      <c r="BD93" s="486"/>
      <c r="BE93" s="117"/>
      <c r="BF93" s="486"/>
      <c r="BG93" s="117"/>
      <c r="BH93" s="486"/>
      <c r="BI93" s="117"/>
      <c r="BJ93" s="486"/>
      <c r="BK93" s="117"/>
      <c r="BL93" s="486"/>
      <c r="BM93" s="117"/>
      <c r="BN93" s="486"/>
      <c r="BO93" s="117"/>
      <c r="BP93" s="486">
        <f t="shared" si="2"/>
        <v>0</v>
      </c>
      <c r="BQ93" s="117">
        <f t="shared" si="2"/>
        <v>0</v>
      </c>
    </row>
    <row r="94" spans="1:69">
      <c r="A94" s="74">
        <v>89</v>
      </c>
      <c r="B94" s="73" t="s">
        <v>198</v>
      </c>
      <c r="C94" s="74" t="s">
        <v>907</v>
      </c>
      <c r="D94" s="487"/>
      <c r="E94" s="116"/>
      <c r="F94" s="487"/>
      <c r="G94" s="116"/>
      <c r="H94" s="487"/>
      <c r="I94" s="116"/>
      <c r="J94" s="487"/>
      <c r="K94" s="116"/>
      <c r="L94" s="487"/>
      <c r="M94" s="116"/>
      <c r="N94" s="487"/>
      <c r="O94" s="116"/>
      <c r="P94" s="487"/>
      <c r="Q94" s="116"/>
      <c r="R94" s="487"/>
      <c r="S94" s="116"/>
      <c r="T94" s="487"/>
      <c r="U94" s="116"/>
      <c r="V94" s="487"/>
      <c r="W94" s="116"/>
      <c r="X94" s="487"/>
      <c r="Y94" s="116"/>
      <c r="Z94" s="487"/>
      <c r="AA94" s="116"/>
      <c r="AB94" s="487"/>
      <c r="AC94" s="116"/>
      <c r="AD94" s="487"/>
      <c r="AE94" s="116"/>
      <c r="AF94" s="487"/>
      <c r="AG94" s="116"/>
      <c r="AH94" s="487"/>
      <c r="AI94" s="116"/>
      <c r="AJ94" s="487"/>
      <c r="AK94" s="116"/>
      <c r="AL94" s="487"/>
      <c r="AM94" s="116"/>
      <c r="AN94" s="487"/>
      <c r="AO94" s="116"/>
      <c r="AP94" s="487"/>
      <c r="AQ94" s="116"/>
      <c r="AR94" s="487"/>
      <c r="AS94" s="116"/>
      <c r="AT94" s="487"/>
      <c r="AU94" s="116"/>
      <c r="AV94" s="487"/>
      <c r="AW94" s="116"/>
      <c r="AX94" s="487"/>
      <c r="AY94" s="116"/>
      <c r="AZ94" s="487"/>
      <c r="BA94" s="116"/>
      <c r="BB94" s="487"/>
      <c r="BC94" s="116"/>
      <c r="BD94" s="487"/>
      <c r="BE94" s="116"/>
      <c r="BF94" s="487"/>
      <c r="BG94" s="116"/>
      <c r="BH94" s="487"/>
      <c r="BI94" s="116"/>
      <c r="BJ94" s="487"/>
      <c r="BK94" s="116"/>
      <c r="BL94" s="487"/>
      <c r="BM94" s="116"/>
      <c r="BN94" s="487"/>
      <c r="BO94" s="116"/>
      <c r="BP94" s="487">
        <f t="shared" si="2"/>
        <v>0</v>
      </c>
      <c r="BQ94" s="116">
        <f t="shared" si="2"/>
        <v>0</v>
      </c>
    </row>
    <row r="95" spans="1:69">
      <c r="A95" s="488">
        <v>90</v>
      </c>
      <c r="B95" s="489" t="s">
        <v>1883</v>
      </c>
      <c r="C95" s="76"/>
      <c r="D95" s="486"/>
      <c r="E95" s="117"/>
      <c r="F95" s="486"/>
      <c r="G95" s="117"/>
      <c r="H95" s="486"/>
      <c r="I95" s="117"/>
      <c r="J95" s="486"/>
      <c r="K95" s="117"/>
      <c r="L95" s="486"/>
      <c r="M95" s="117"/>
      <c r="N95" s="486"/>
      <c r="O95" s="117"/>
      <c r="P95" s="486"/>
      <c r="Q95" s="117"/>
      <c r="R95" s="486"/>
      <c r="S95" s="117"/>
      <c r="T95" s="486"/>
      <c r="U95" s="117"/>
      <c r="V95" s="486"/>
      <c r="W95" s="117"/>
      <c r="X95" s="486"/>
      <c r="Y95" s="117"/>
      <c r="Z95" s="486"/>
      <c r="AA95" s="117"/>
      <c r="AB95" s="486"/>
      <c r="AC95" s="117"/>
      <c r="AD95" s="486"/>
      <c r="AE95" s="117"/>
      <c r="AF95" s="486"/>
      <c r="AG95" s="117"/>
      <c r="AH95" s="486"/>
      <c r="AI95" s="117"/>
      <c r="AJ95" s="486"/>
      <c r="AK95" s="117"/>
      <c r="AL95" s="486"/>
      <c r="AM95" s="117"/>
      <c r="AN95" s="486"/>
      <c r="AO95" s="117"/>
      <c r="AP95" s="486"/>
      <c r="AQ95" s="117"/>
      <c r="AR95" s="486"/>
      <c r="AS95" s="117"/>
      <c r="AT95" s="486"/>
      <c r="AU95" s="117"/>
      <c r="AV95" s="486"/>
      <c r="AW95" s="117"/>
      <c r="AX95" s="486"/>
      <c r="AY95" s="117"/>
      <c r="AZ95" s="486"/>
      <c r="BA95" s="117"/>
      <c r="BB95" s="486"/>
      <c r="BC95" s="117"/>
      <c r="BD95" s="486"/>
      <c r="BE95" s="117"/>
      <c r="BF95" s="486"/>
      <c r="BG95" s="117"/>
      <c r="BH95" s="486"/>
      <c r="BI95" s="117"/>
      <c r="BJ95" s="486"/>
      <c r="BK95" s="117"/>
      <c r="BL95" s="486"/>
      <c r="BM95" s="117"/>
      <c r="BN95" s="486"/>
      <c r="BO95" s="117"/>
      <c r="BP95" s="486">
        <f t="shared" si="2"/>
        <v>0</v>
      </c>
      <c r="BQ95" s="117">
        <f t="shared" si="2"/>
        <v>0</v>
      </c>
    </row>
    <row r="96" spans="1:69">
      <c r="A96" s="74">
        <v>91</v>
      </c>
      <c r="B96" s="491" t="s">
        <v>1887</v>
      </c>
      <c r="C96" s="74"/>
      <c r="D96" s="487"/>
      <c r="E96" s="116"/>
      <c r="F96" s="487"/>
      <c r="G96" s="116"/>
      <c r="H96" s="487"/>
      <c r="I96" s="116"/>
      <c r="J96" s="487"/>
      <c r="K96" s="116"/>
      <c r="L96" s="487"/>
      <c r="M96" s="116"/>
      <c r="N96" s="487"/>
      <c r="O96" s="116"/>
      <c r="P96" s="487"/>
      <c r="Q96" s="116"/>
      <c r="R96" s="487"/>
      <c r="S96" s="116"/>
      <c r="T96" s="487"/>
      <c r="U96" s="116"/>
      <c r="V96" s="487"/>
      <c r="W96" s="116"/>
      <c r="X96" s="487"/>
      <c r="Y96" s="116"/>
      <c r="Z96" s="487"/>
      <c r="AA96" s="116"/>
      <c r="AB96" s="487"/>
      <c r="AC96" s="116"/>
      <c r="AD96" s="487"/>
      <c r="AE96" s="116"/>
      <c r="AF96" s="487"/>
      <c r="AG96" s="116"/>
      <c r="AH96" s="487"/>
      <c r="AI96" s="116"/>
      <c r="AJ96" s="487"/>
      <c r="AK96" s="116"/>
      <c r="AL96" s="487"/>
      <c r="AM96" s="116"/>
      <c r="AN96" s="487"/>
      <c r="AO96" s="116"/>
      <c r="AP96" s="487"/>
      <c r="AQ96" s="116"/>
      <c r="AR96" s="487"/>
      <c r="AS96" s="116"/>
      <c r="AT96" s="487"/>
      <c r="AU96" s="116"/>
      <c r="AV96" s="487"/>
      <c r="AW96" s="116"/>
      <c r="AX96" s="487"/>
      <c r="AY96" s="116"/>
      <c r="AZ96" s="487"/>
      <c r="BA96" s="116"/>
      <c r="BB96" s="487"/>
      <c r="BC96" s="116"/>
      <c r="BD96" s="487"/>
      <c r="BE96" s="116"/>
      <c r="BF96" s="487"/>
      <c r="BG96" s="116"/>
      <c r="BH96" s="487"/>
      <c r="BI96" s="116"/>
      <c r="BJ96" s="487"/>
      <c r="BK96" s="116"/>
      <c r="BL96" s="487"/>
      <c r="BM96" s="116"/>
      <c r="BN96" s="487"/>
      <c r="BO96" s="116"/>
      <c r="BP96" s="487">
        <f t="shared" si="2"/>
        <v>0</v>
      </c>
      <c r="BQ96" s="116">
        <f t="shared" si="2"/>
        <v>0</v>
      </c>
    </row>
    <row r="97" spans="1:69">
      <c r="A97" s="488">
        <v>92</v>
      </c>
      <c r="B97" s="77" t="s">
        <v>912</v>
      </c>
      <c r="C97" s="76" t="s">
        <v>913</v>
      </c>
      <c r="D97" s="486"/>
      <c r="E97" s="117"/>
      <c r="F97" s="486"/>
      <c r="G97" s="117"/>
      <c r="H97" s="486"/>
      <c r="I97" s="117"/>
      <c r="J97" s="486"/>
      <c r="K97" s="117"/>
      <c r="L97" s="486"/>
      <c r="M97" s="117"/>
      <c r="N97" s="486"/>
      <c r="O97" s="117"/>
      <c r="P97" s="486"/>
      <c r="Q97" s="117"/>
      <c r="R97" s="486"/>
      <c r="S97" s="117"/>
      <c r="T97" s="486"/>
      <c r="U97" s="117"/>
      <c r="V97" s="486"/>
      <c r="W97" s="117"/>
      <c r="X97" s="486"/>
      <c r="Y97" s="117"/>
      <c r="Z97" s="486"/>
      <c r="AA97" s="117"/>
      <c r="AB97" s="486"/>
      <c r="AC97" s="117"/>
      <c r="AD97" s="486"/>
      <c r="AE97" s="117"/>
      <c r="AF97" s="486"/>
      <c r="AG97" s="117"/>
      <c r="AH97" s="486"/>
      <c r="AI97" s="117"/>
      <c r="AJ97" s="486"/>
      <c r="AK97" s="117"/>
      <c r="AL97" s="486"/>
      <c r="AM97" s="117"/>
      <c r="AN97" s="486"/>
      <c r="AO97" s="117"/>
      <c r="AP97" s="486"/>
      <c r="AQ97" s="117"/>
      <c r="AR97" s="486"/>
      <c r="AS97" s="117"/>
      <c r="AT97" s="486"/>
      <c r="AU97" s="117"/>
      <c r="AV97" s="486"/>
      <c r="AW97" s="117"/>
      <c r="AX97" s="486"/>
      <c r="AY97" s="117"/>
      <c r="AZ97" s="486"/>
      <c r="BA97" s="117"/>
      <c r="BB97" s="486"/>
      <c r="BC97" s="117"/>
      <c r="BD97" s="486"/>
      <c r="BE97" s="117"/>
      <c r="BF97" s="486"/>
      <c r="BG97" s="117"/>
      <c r="BH97" s="486"/>
      <c r="BI97" s="117"/>
      <c r="BJ97" s="486"/>
      <c r="BK97" s="117"/>
      <c r="BL97" s="486"/>
      <c r="BM97" s="117"/>
      <c r="BN97" s="486"/>
      <c r="BO97" s="117"/>
      <c r="BP97" s="486">
        <f t="shared" si="2"/>
        <v>0</v>
      </c>
      <c r="BQ97" s="117">
        <f t="shared" si="2"/>
        <v>0</v>
      </c>
    </row>
    <row r="98" spans="1:69">
      <c r="A98" s="74">
        <v>93</v>
      </c>
      <c r="B98" s="491" t="s">
        <v>1880</v>
      </c>
      <c r="C98" s="74"/>
      <c r="D98" s="487"/>
      <c r="E98" s="116"/>
      <c r="F98" s="487"/>
      <c r="G98" s="116"/>
      <c r="H98" s="487"/>
      <c r="I98" s="116"/>
      <c r="J98" s="487"/>
      <c r="K98" s="116"/>
      <c r="L98" s="487"/>
      <c r="M98" s="116"/>
      <c r="N98" s="487"/>
      <c r="O98" s="116"/>
      <c r="P98" s="487"/>
      <c r="Q98" s="116"/>
      <c r="R98" s="487"/>
      <c r="S98" s="116"/>
      <c r="T98" s="487"/>
      <c r="U98" s="116"/>
      <c r="V98" s="487"/>
      <c r="W98" s="116"/>
      <c r="X98" s="487"/>
      <c r="Y98" s="116"/>
      <c r="Z98" s="487"/>
      <c r="AA98" s="116"/>
      <c r="AB98" s="487"/>
      <c r="AC98" s="116"/>
      <c r="AD98" s="487"/>
      <c r="AE98" s="116"/>
      <c r="AF98" s="487"/>
      <c r="AG98" s="116"/>
      <c r="AH98" s="487"/>
      <c r="AI98" s="116"/>
      <c r="AJ98" s="487"/>
      <c r="AK98" s="116"/>
      <c r="AL98" s="487"/>
      <c r="AM98" s="116"/>
      <c r="AN98" s="487"/>
      <c r="AO98" s="116"/>
      <c r="AP98" s="487"/>
      <c r="AQ98" s="116"/>
      <c r="AR98" s="487"/>
      <c r="AS98" s="116"/>
      <c r="AT98" s="487"/>
      <c r="AU98" s="116"/>
      <c r="AV98" s="487"/>
      <c r="AW98" s="116"/>
      <c r="AX98" s="487"/>
      <c r="AY98" s="116"/>
      <c r="AZ98" s="487"/>
      <c r="BA98" s="116"/>
      <c r="BB98" s="487"/>
      <c r="BC98" s="116"/>
      <c r="BD98" s="487"/>
      <c r="BE98" s="116"/>
      <c r="BF98" s="487"/>
      <c r="BG98" s="116"/>
      <c r="BH98" s="487"/>
      <c r="BI98" s="116"/>
      <c r="BJ98" s="487"/>
      <c r="BK98" s="116"/>
      <c r="BL98" s="487"/>
      <c r="BM98" s="116"/>
      <c r="BN98" s="487"/>
      <c r="BO98" s="116"/>
      <c r="BP98" s="487">
        <f t="shared" si="2"/>
        <v>0</v>
      </c>
      <c r="BQ98" s="116">
        <f t="shared" si="2"/>
        <v>0</v>
      </c>
    </row>
    <row r="99" spans="1:69">
      <c r="A99" s="488">
        <v>94</v>
      </c>
      <c r="B99" s="489" t="s">
        <v>2478</v>
      </c>
      <c r="C99" s="76"/>
      <c r="D99" s="486"/>
      <c r="E99" s="117"/>
      <c r="F99" s="486"/>
      <c r="G99" s="117"/>
      <c r="H99" s="486"/>
      <c r="I99" s="117"/>
      <c r="J99" s="486"/>
      <c r="K99" s="117"/>
      <c r="L99" s="486"/>
      <c r="M99" s="117"/>
      <c r="N99" s="486"/>
      <c r="O99" s="117"/>
      <c r="P99" s="486"/>
      <c r="Q99" s="117"/>
      <c r="R99" s="486"/>
      <c r="S99" s="117"/>
      <c r="T99" s="486"/>
      <c r="U99" s="117"/>
      <c r="V99" s="486"/>
      <c r="W99" s="117"/>
      <c r="X99" s="486"/>
      <c r="Y99" s="117"/>
      <c r="Z99" s="486"/>
      <c r="AA99" s="117"/>
      <c r="AB99" s="486"/>
      <c r="AC99" s="117"/>
      <c r="AD99" s="486"/>
      <c r="AE99" s="117"/>
      <c r="AF99" s="486"/>
      <c r="AG99" s="117"/>
      <c r="AH99" s="486"/>
      <c r="AI99" s="117"/>
      <c r="AJ99" s="486"/>
      <c r="AK99" s="117"/>
      <c r="AL99" s="486"/>
      <c r="AM99" s="117"/>
      <c r="AN99" s="486"/>
      <c r="AO99" s="117"/>
      <c r="AP99" s="486"/>
      <c r="AQ99" s="117"/>
      <c r="AR99" s="486"/>
      <c r="AS99" s="117"/>
      <c r="AT99" s="486"/>
      <c r="AU99" s="117"/>
      <c r="AV99" s="486"/>
      <c r="AW99" s="117"/>
      <c r="AX99" s="486"/>
      <c r="AY99" s="117"/>
      <c r="AZ99" s="486"/>
      <c r="BA99" s="117"/>
      <c r="BB99" s="486"/>
      <c r="BC99" s="117"/>
      <c r="BD99" s="486"/>
      <c r="BE99" s="117"/>
      <c r="BF99" s="486"/>
      <c r="BG99" s="117"/>
      <c r="BH99" s="486"/>
      <c r="BI99" s="117"/>
      <c r="BJ99" s="486"/>
      <c r="BK99" s="117"/>
      <c r="BL99" s="486"/>
      <c r="BM99" s="117"/>
      <c r="BN99" s="486"/>
      <c r="BO99" s="117"/>
      <c r="BP99" s="486">
        <f t="shared" si="2"/>
        <v>0</v>
      </c>
      <c r="BQ99" s="117">
        <f t="shared" si="2"/>
        <v>0</v>
      </c>
    </row>
    <row r="100" spans="1:69">
      <c r="A100" s="74">
        <v>95</v>
      </c>
      <c r="B100" s="73" t="s">
        <v>914</v>
      </c>
      <c r="C100" s="74" t="s">
        <v>915</v>
      </c>
      <c r="D100" s="487"/>
      <c r="E100" s="116"/>
      <c r="F100" s="487"/>
      <c r="G100" s="116"/>
      <c r="H100" s="487"/>
      <c r="I100" s="116"/>
      <c r="J100" s="487"/>
      <c r="K100" s="116"/>
      <c r="L100" s="487"/>
      <c r="M100" s="116"/>
      <c r="N100" s="487"/>
      <c r="O100" s="116"/>
      <c r="P100" s="487"/>
      <c r="Q100" s="116"/>
      <c r="R100" s="487"/>
      <c r="S100" s="116"/>
      <c r="T100" s="487"/>
      <c r="U100" s="116"/>
      <c r="V100" s="487"/>
      <c r="W100" s="116"/>
      <c r="X100" s="487"/>
      <c r="Y100" s="116"/>
      <c r="Z100" s="487"/>
      <c r="AA100" s="116"/>
      <c r="AB100" s="487"/>
      <c r="AC100" s="116"/>
      <c r="AD100" s="487"/>
      <c r="AE100" s="116"/>
      <c r="AF100" s="487"/>
      <c r="AG100" s="116"/>
      <c r="AH100" s="487"/>
      <c r="AI100" s="116"/>
      <c r="AJ100" s="487"/>
      <c r="AK100" s="116"/>
      <c r="AL100" s="487"/>
      <c r="AM100" s="116"/>
      <c r="AN100" s="487"/>
      <c r="AO100" s="116"/>
      <c r="AP100" s="487"/>
      <c r="AQ100" s="116"/>
      <c r="AR100" s="487"/>
      <c r="AS100" s="116"/>
      <c r="AT100" s="487"/>
      <c r="AU100" s="116"/>
      <c r="AV100" s="487"/>
      <c r="AW100" s="116"/>
      <c r="AX100" s="487"/>
      <c r="AY100" s="116"/>
      <c r="AZ100" s="487"/>
      <c r="BA100" s="116"/>
      <c r="BB100" s="487"/>
      <c r="BC100" s="116"/>
      <c r="BD100" s="487"/>
      <c r="BE100" s="116"/>
      <c r="BF100" s="487"/>
      <c r="BG100" s="116"/>
      <c r="BH100" s="487"/>
      <c r="BI100" s="116"/>
      <c r="BJ100" s="487"/>
      <c r="BK100" s="116"/>
      <c r="BL100" s="487"/>
      <c r="BM100" s="116"/>
      <c r="BN100" s="487"/>
      <c r="BO100" s="116"/>
      <c r="BP100" s="487">
        <f t="shared" si="2"/>
        <v>0</v>
      </c>
      <c r="BQ100" s="116">
        <f t="shared" si="2"/>
        <v>0</v>
      </c>
    </row>
    <row r="101" spans="1:69">
      <c r="A101" s="488">
        <v>96</v>
      </c>
      <c r="B101" s="489" t="s">
        <v>81</v>
      </c>
      <c r="C101" s="76"/>
      <c r="D101" s="486"/>
      <c r="E101" s="117"/>
      <c r="F101" s="486"/>
      <c r="G101" s="117"/>
      <c r="H101" s="486"/>
      <c r="I101" s="117"/>
      <c r="J101" s="486"/>
      <c r="K101" s="117"/>
      <c r="L101" s="486"/>
      <c r="M101" s="117"/>
      <c r="N101" s="486"/>
      <c r="O101" s="117"/>
      <c r="P101" s="486"/>
      <c r="Q101" s="117"/>
      <c r="R101" s="486"/>
      <c r="S101" s="117"/>
      <c r="T101" s="486"/>
      <c r="U101" s="117"/>
      <c r="V101" s="486"/>
      <c r="W101" s="117"/>
      <c r="X101" s="486"/>
      <c r="Y101" s="117"/>
      <c r="Z101" s="486"/>
      <c r="AA101" s="117"/>
      <c r="AB101" s="486"/>
      <c r="AC101" s="117"/>
      <c r="AD101" s="486"/>
      <c r="AE101" s="117"/>
      <c r="AF101" s="486"/>
      <c r="AG101" s="117"/>
      <c r="AH101" s="486"/>
      <c r="AI101" s="117"/>
      <c r="AJ101" s="486"/>
      <c r="AK101" s="117"/>
      <c r="AL101" s="486"/>
      <c r="AM101" s="117"/>
      <c r="AN101" s="486"/>
      <c r="AO101" s="117"/>
      <c r="AP101" s="486"/>
      <c r="AQ101" s="117"/>
      <c r="AR101" s="486"/>
      <c r="AS101" s="117"/>
      <c r="AT101" s="486"/>
      <c r="AU101" s="117"/>
      <c r="AV101" s="486"/>
      <c r="AW101" s="117"/>
      <c r="AX101" s="486"/>
      <c r="AY101" s="117"/>
      <c r="AZ101" s="486"/>
      <c r="BA101" s="117"/>
      <c r="BB101" s="486"/>
      <c r="BC101" s="117"/>
      <c r="BD101" s="486"/>
      <c r="BE101" s="117"/>
      <c r="BF101" s="486"/>
      <c r="BG101" s="117"/>
      <c r="BH101" s="486"/>
      <c r="BI101" s="117"/>
      <c r="BJ101" s="486"/>
      <c r="BK101" s="117"/>
      <c r="BL101" s="486"/>
      <c r="BM101" s="117"/>
      <c r="BN101" s="486"/>
      <c r="BO101" s="117"/>
      <c r="BP101" s="486">
        <f t="shared" si="2"/>
        <v>0</v>
      </c>
      <c r="BQ101" s="117">
        <f t="shared" si="2"/>
        <v>0</v>
      </c>
    </row>
    <row r="102" spans="1:69">
      <c r="A102" s="74">
        <v>97</v>
      </c>
      <c r="B102" s="73" t="s">
        <v>917</v>
      </c>
      <c r="C102" s="74" t="s">
        <v>918</v>
      </c>
      <c r="D102" s="487"/>
      <c r="E102" s="116"/>
      <c r="F102" s="487">
        <v>1</v>
      </c>
      <c r="G102" s="116">
        <v>24720000</v>
      </c>
      <c r="H102" s="487">
        <v>2</v>
      </c>
      <c r="I102" s="116">
        <v>22495200</v>
      </c>
      <c r="J102" s="487"/>
      <c r="K102" s="116"/>
      <c r="L102" s="487">
        <v>2</v>
      </c>
      <c r="M102" s="116">
        <v>16415060.000000002</v>
      </c>
      <c r="N102" s="487">
        <v>2</v>
      </c>
      <c r="O102" s="116">
        <v>19055000</v>
      </c>
      <c r="P102" s="487"/>
      <c r="Q102" s="116"/>
      <c r="R102" s="487"/>
      <c r="S102" s="116"/>
      <c r="T102" s="487"/>
      <c r="U102" s="116"/>
      <c r="V102" s="487"/>
      <c r="W102" s="116"/>
      <c r="X102" s="487"/>
      <c r="Y102" s="116"/>
      <c r="Z102" s="487"/>
      <c r="AA102" s="116"/>
      <c r="AB102" s="487"/>
      <c r="AC102" s="116"/>
      <c r="AD102" s="487"/>
      <c r="AE102" s="116"/>
      <c r="AF102" s="487"/>
      <c r="AG102" s="116"/>
      <c r="AH102" s="487"/>
      <c r="AI102" s="116"/>
      <c r="AJ102" s="487"/>
      <c r="AK102" s="116"/>
      <c r="AL102" s="487"/>
      <c r="AM102" s="116"/>
      <c r="AN102" s="487"/>
      <c r="AO102" s="116"/>
      <c r="AP102" s="487"/>
      <c r="AQ102" s="116"/>
      <c r="AR102" s="487"/>
      <c r="AS102" s="116"/>
      <c r="AT102" s="487"/>
      <c r="AU102" s="116"/>
      <c r="AV102" s="487"/>
      <c r="AW102" s="116"/>
      <c r="AX102" s="487"/>
      <c r="AY102" s="116"/>
      <c r="AZ102" s="487"/>
      <c r="BA102" s="116"/>
      <c r="BB102" s="487"/>
      <c r="BC102" s="116"/>
      <c r="BD102" s="487"/>
      <c r="BE102" s="116"/>
      <c r="BF102" s="487"/>
      <c r="BG102" s="116"/>
      <c r="BH102" s="487"/>
      <c r="BI102" s="116"/>
      <c r="BJ102" s="487"/>
      <c r="BK102" s="116"/>
      <c r="BL102" s="487"/>
      <c r="BM102" s="116"/>
      <c r="BN102" s="487"/>
      <c r="BO102" s="116"/>
      <c r="BP102" s="487">
        <f t="shared" si="2"/>
        <v>7</v>
      </c>
      <c r="BQ102" s="116">
        <f t="shared" si="2"/>
        <v>82685260</v>
      </c>
    </row>
    <row r="103" spans="1:69">
      <c r="A103" s="488">
        <v>98</v>
      </c>
      <c r="B103" s="77" t="s">
        <v>922</v>
      </c>
      <c r="C103" s="76" t="s">
        <v>923</v>
      </c>
      <c r="D103" s="486"/>
      <c r="E103" s="117"/>
      <c r="F103" s="486"/>
      <c r="G103" s="117"/>
      <c r="H103" s="486">
        <v>2</v>
      </c>
      <c r="I103" s="117">
        <v>60000000</v>
      </c>
      <c r="J103" s="486"/>
      <c r="K103" s="117"/>
      <c r="L103" s="486">
        <v>2</v>
      </c>
      <c r="M103" s="117">
        <v>27760000</v>
      </c>
      <c r="N103" s="486"/>
      <c r="O103" s="117"/>
      <c r="P103" s="486">
        <v>5</v>
      </c>
      <c r="Q103" s="117">
        <v>24000000</v>
      </c>
      <c r="R103" s="486"/>
      <c r="S103" s="117"/>
      <c r="T103" s="486"/>
      <c r="U103" s="117"/>
      <c r="V103" s="486"/>
      <c r="W103" s="117"/>
      <c r="X103" s="486"/>
      <c r="Y103" s="117"/>
      <c r="Z103" s="486"/>
      <c r="AA103" s="117"/>
      <c r="AB103" s="486"/>
      <c r="AC103" s="117"/>
      <c r="AD103" s="486"/>
      <c r="AE103" s="117"/>
      <c r="AF103" s="486"/>
      <c r="AG103" s="117"/>
      <c r="AH103" s="486"/>
      <c r="AI103" s="117"/>
      <c r="AJ103" s="486"/>
      <c r="AK103" s="117"/>
      <c r="AL103" s="486"/>
      <c r="AM103" s="117"/>
      <c r="AN103" s="486"/>
      <c r="AO103" s="117"/>
      <c r="AP103" s="486"/>
      <c r="AQ103" s="117"/>
      <c r="AR103" s="486"/>
      <c r="AS103" s="117"/>
      <c r="AT103" s="486"/>
      <c r="AU103" s="117"/>
      <c r="AV103" s="486"/>
      <c r="AW103" s="117"/>
      <c r="AX103" s="486"/>
      <c r="AY103" s="117"/>
      <c r="AZ103" s="486"/>
      <c r="BA103" s="117"/>
      <c r="BB103" s="486"/>
      <c r="BC103" s="117"/>
      <c r="BD103" s="486"/>
      <c r="BE103" s="117"/>
      <c r="BF103" s="486"/>
      <c r="BG103" s="117"/>
      <c r="BH103" s="486"/>
      <c r="BI103" s="117"/>
      <c r="BJ103" s="486"/>
      <c r="BK103" s="117"/>
      <c r="BL103" s="486">
        <v>1</v>
      </c>
      <c r="BM103" s="117">
        <v>4800000</v>
      </c>
      <c r="BN103" s="486"/>
      <c r="BO103" s="117"/>
      <c r="BP103" s="486">
        <f t="shared" si="2"/>
        <v>10</v>
      </c>
      <c r="BQ103" s="117">
        <f t="shared" si="2"/>
        <v>116560000</v>
      </c>
    </row>
    <row r="104" spans="1:69">
      <c r="A104" s="74">
        <v>99</v>
      </c>
      <c r="B104" s="491" t="s">
        <v>136</v>
      </c>
      <c r="C104" s="74"/>
      <c r="D104" s="487"/>
      <c r="E104" s="116"/>
      <c r="F104" s="487"/>
      <c r="G104" s="116"/>
      <c r="H104" s="487"/>
      <c r="I104" s="116"/>
      <c r="J104" s="487"/>
      <c r="K104" s="116"/>
      <c r="L104" s="487"/>
      <c r="M104" s="116"/>
      <c r="N104" s="487"/>
      <c r="O104" s="116"/>
      <c r="P104" s="487"/>
      <c r="Q104" s="116"/>
      <c r="R104" s="487"/>
      <c r="S104" s="116"/>
      <c r="T104" s="487"/>
      <c r="U104" s="116"/>
      <c r="V104" s="487"/>
      <c r="W104" s="116"/>
      <c r="X104" s="487"/>
      <c r="Y104" s="116"/>
      <c r="Z104" s="487"/>
      <c r="AA104" s="116"/>
      <c r="AB104" s="487"/>
      <c r="AC104" s="116"/>
      <c r="AD104" s="487"/>
      <c r="AE104" s="116"/>
      <c r="AF104" s="487"/>
      <c r="AG104" s="116"/>
      <c r="AH104" s="487"/>
      <c r="AI104" s="116"/>
      <c r="AJ104" s="487"/>
      <c r="AK104" s="116"/>
      <c r="AL104" s="487"/>
      <c r="AM104" s="116"/>
      <c r="AN104" s="487"/>
      <c r="AO104" s="116"/>
      <c r="AP104" s="487"/>
      <c r="AQ104" s="116"/>
      <c r="AR104" s="487"/>
      <c r="AS104" s="116"/>
      <c r="AT104" s="487"/>
      <c r="AU104" s="116"/>
      <c r="AV104" s="487"/>
      <c r="AW104" s="116"/>
      <c r="AX104" s="487"/>
      <c r="AY104" s="116"/>
      <c r="AZ104" s="487"/>
      <c r="BA104" s="116"/>
      <c r="BB104" s="487"/>
      <c r="BC104" s="116"/>
      <c r="BD104" s="487"/>
      <c r="BE104" s="116"/>
      <c r="BF104" s="487"/>
      <c r="BG104" s="116"/>
      <c r="BH104" s="487"/>
      <c r="BI104" s="116"/>
      <c r="BJ104" s="487"/>
      <c r="BK104" s="116"/>
      <c r="BL104" s="487"/>
      <c r="BM104" s="116"/>
      <c r="BN104" s="487"/>
      <c r="BO104" s="116"/>
      <c r="BP104" s="487">
        <f t="shared" si="2"/>
        <v>0</v>
      </c>
      <c r="BQ104" s="116">
        <f t="shared" si="2"/>
        <v>0</v>
      </c>
    </row>
    <row r="105" spans="1:69">
      <c r="A105" s="488">
        <v>100</v>
      </c>
      <c r="B105" s="489" t="s">
        <v>160</v>
      </c>
      <c r="C105" s="76"/>
      <c r="D105" s="486"/>
      <c r="E105" s="117"/>
      <c r="F105" s="486"/>
      <c r="G105" s="117"/>
      <c r="H105" s="486"/>
      <c r="I105" s="117"/>
      <c r="J105" s="486"/>
      <c r="K105" s="117"/>
      <c r="L105" s="486"/>
      <c r="M105" s="117"/>
      <c r="N105" s="486"/>
      <c r="O105" s="117"/>
      <c r="P105" s="486"/>
      <c r="Q105" s="117"/>
      <c r="R105" s="486"/>
      <c r="S105" s="117"/>
      <c r="T105" s="486"/>
      <c r="U105" s="117"/>
      <c r="V105" s="486"/>
      <c r="W105" s="117"/>
      <c r="X105" s="486"/>
      <c r="Y105" s="117"/>
      <c r="Z105" s="486"/>
      <c r="AA105" s="117"/>
      <c r="AB105" s="486"/>
      <c r="AC105" s="117"/>
      <c r="AD105" s="486"/>
      <c r="AE105" s="117"/>
      <c r="AF105" s="486"/>
      <c r="AG105" s="117"/>
      <c r="AH105" s="486"/>
      <c r="AI105" s="117"/>
      <c r="AJ105" s="486"/>
      <c r="AK105" s="117"/>
      <c r="AL105" s="486"/>
      <c r="AM105" s="117"/>
      <c r="AN105" s="486"/>
      <c r="AO105" s="117"/>
      <c r="AP105" s="486"/>
      <c r="AQ105" s="117"/>
      <c r="AR105" s="486"/>
      <c r="AS105" s="117"/>
      <c r="AT105" s="486"/>
      <c r="AU105" s="117"/>
      <c r="AV105" s="486"/>
      <c r="AW105" s="117"/>
      <c r="AX105" s="486"/>
      <c r="AY105" s="117"/>
      <c r="AZ105" s="486"/>
      <c r="BA105" s="117"/>
      <c r="BB105" s="486"/>
      <c r="BC105" s="117"/>
      <c r="BD105" s="486"/>
      <c r="BE105" s="117"/>
      <c r="BF105" s="486"/>
      <c r="BG105" s="117"/>
      <c r="BH105" s="486"/>
      <c r="BI105" s="117"/>
      <c r="BJ105" s="486"/>
      <c r="BK105" s="117"/>
      <c r="BL105" s="486"/>
      <c r="BM105" s="117"/>
      <c r="BN105" s="486"/>
      <c r="BO105" s="117"/>
      <c r="BP105" s="486">
        <f t="shared" si="2"/>
        <v>0</v>
      </c>
      <c r="BQ105" s="117">
        <f t="shared" si="2"/>
        <v>0</v>
      </c>
    </row>
    <row r="106" spans="1:69">
      <c r="A106" s="74">
        <v>101</v>
      </c>
      <c r="B106" s="491" t="s">
        <v>145</v>
      </c>
      <c r="C106" s="74"/>
      <c r="D106" s="487"/>
      <c r="E106" s="116"/>
      <c r="F106" s="487"/>
      <c r="G106" s="116"/>
      <c r="H106" s="487"/>
      <c r="I106" s="116"/>
      <c r="J106" s="487"/>
      <c r="K106" s="116"/>
      <c r="L106" s="487"/>
      <c r="M106" s="116"/>
      <c r="N106" s="487"/>
      <c r="O106" s="116"/>
      <c r="P106" s="487"/>
      <c r="Q106" s="116"/>
      <c r="R106" s="487"/>
      <c r="S106" s="116"/>
      <c r="T106" s="487"/>
      <c r="U106" s="116"/>
      <c r="V106" s="487"/>
      <c r="W106" s="116"/>
      <c r="X106" s="487"/>
      <c r="Y106" s="116"/>
      <c r="Z106" s="487"/>
      <c r="AA106" s="116"/>
      <c r="AB106" s="487"/>
      <c r="AC106" s="116"/>
      <c r="AD106" s="487"/>
      <c r="AE106" s="116"/>
      <c r="AF106" s="487"/>
      <c r="AG106" s="116"/>
      <c r="AH106" s="487"/>
      <c r="AI106" s="116"/>
      <c r="AJ106" s="487"/>
      <c r="AK106" s="116"/>
      <c r="AL106" s="487"/>
      <c r="AM106" s="116"/>
      <c r="AN106" s="487"/>
      <c r="AO106" s="116"/>
      <c r="AP106" s="487"/>
      <c r="AQ106" s="116"/>
      <c r="AR106" s="487"/>
      <c r="AS106" s="116"/>
      <c r="AT106" s="487"/>
      <c r="AU106" s="116"/>
      <c r="AV106" s="487"/>
      <c r="AW106" s="116"/>
      <c r="AX106" s="487"/>
      <c r="AY106" s="116"/>
      <c r="AZ106" s="487"/>
      <c r="BA106" s="116"/>
      <c r="BB106" s="487"/>
      <c r="BC106" s="116"/>
      <c r="BD106" s="487"/>
      <c r="BE106" s="116"/>
      <c r="BF106" s="487"/>
      <c r="BG106" s="116"/>
      <c r="BH106" s="487"/>
      <c r="BI106" s="116"/>
      <c r="BJ106" s="487"/>
      <c r="BK106" s="116"/>
      <c r="BL106" s="487"/>
      <c r="BM106" s="116"/>
      <c r="BN106" s="487"/>
      <c r="BO106" s="116"/>
      <c r="BP106" s="487">
        <f t="shared" si="2"/>
        <v>0</v>
      </c>
      <c r="BQ106" s="116">
        <f t="shared" si="2"/>
        <v>0</v>
      </c>
    </row>
    <row r="107" spans="1:69">
      <c r="A107" s="488">
        <v>102</v>
      </c>
      <c r="B107" s="489" t="s">
        <v>500</v>
      </c>
      <c r="C107" s="76"/>
      <c r="D107" s="486"/>
      <c r="E107" s="117"/>
      <c r="F107" s="486"/>
      <c r="G107" s="117"/>
      <c r="H107" s="486"/>
      <c r="I107" s="117"/>
      <c r="J107" s="486"/>
      <c r="K107" s="117"/>
      <c r="L107" s="486"/>
      <c r="M107" s="117"/>
      <c r="N107" s="486"/>
      <c r="O107" s="117"/>
      <c r="P107" s="486"/>
      <c r="Q107" s="117"/>
      <c r="R107" s="486"/>
      <c r="S107" s="117"/>
      <c r="T107" s="486"/>
      <c r="U107" s="117"/>
      <c r="V107" s="486"/>
      <c r="W107" s="117"/>
      <c r="X107" s="486"/>
      <c r="Y107" s="117"/>
      <c r="Z107" s="486"/>
      <c r="AA107" s="117"/>
      <c r="AB107" s="486"/>
      <c r="AC107" s="117"/>
      <c r="AD107" s="486"/>
      <c r="AE107" s="117"/>
      <c r="AF107" s="486"/>
      <c r="AG107" s="117"/>
      <c r="AH107" s="486"/>
      <c r="AI107" s="117"/>
      <c r="AJ107" s="486"/>
      <c r="AK107" s="117"/>
      <c r="AL107" s="486"/>
      <c r="AM107" s="117"/>
      <c r="AN107" s="486"/>
      <c r="AO107" s="117"/>
      <c r="AP107" s="486"/>
      <c r="AQ107" s="117"/>
      <c r="AR107" s="486"/>
      <c r="AS107" s="117"/>
      <c r="AT107" s="486"/>
      <c r="AU107" s="117"/>
      <c r="AV107" s="486"/>
      <c r="AW107" s="117"/>
      <c r="AX107" s="486"/>
      <c r="AY107" s="117"/>
      <c r="AZ107" s="486"/>
      <c r="BA107" s="117"/>
      <c r="BB107" s="486"/>
      <c r="BC107" s="117"/>
      <c r="BD107" s="486"/>
      <c r="BE107" s="117"/>
      <c r="BF107" s="486"/>
      <c r="BG107" s="117"/>
      <c r="BH107" s="486"/>
      <c r="BI107" s="117"/>
      <c r="BJ107" s="486"/>
      <c r="BK107" s="117"/>
      <c r="BL107" s="486"/>
      <c r="BM107" s="117"/>
      <c r="BN107" s="486"/>
      <c r="BO107" s="117"/>
      <c r="BP107" s="486">
        <f t="shared" si="2"/>
        <v>0</v>
      </c>
      <c r="BQ107" s="117">
        <f t="shared" si="2"/>
        <v>0</v>
      </c>
    </row>
    <row r="108" spans="1:69">
      <c r="A108" s="74">
        <v>103</v>
      </c>
      <c r="B108" s="491" t="s">
        <v>427</v>
      </c>
      <c r="C108" s="74"/>
      <c r="D108" s="487"/>
      <c r="E108" s="116"/>
      <c r="F108" s="487"/>
      <c r="G108" s="116"/>
      <c r="H108" s="487"/>
      <c r="I108" s="116"/>
      <c r="J108" s="487"/>
      <c r="K108" s="116"/>
      <c r="L108" s="487"/>
      <c r="M108" s="116"/>
      <c r="N108" s="487"/>
      <c r="O108" s="116"/>
      <c r="P108" s="487"/>
      <c r="Q108" s="116"/>
      <c r="R108" s="487"/>
      <c r="S108" s="116"/>
      <c r="T108" s="487"/>
      <c r="U108" s="116"/>
      <c r="V108" s="487"/>
      <c r="W108" s="116"/>
      <c r="X108" s="487"/>
      <c r="Y108" s="116"/>
      <c r="Z108" s="487"/>
      <c r="AA108" s="116"/>
      <c r="AB108" s="487"/>
      <c r="AC108" s="116"/>
      <c r="AD108" s="487"/>
      <c r="AE108" s="116"/>
      <c r="AF108" s="487"/>
      <c r="AG108" s="116"/>
      <c r="AH108" s="487"/>
      <c r="AI108" s="116"/>
      <c r="AJ108" s="487"/>
      <c r="AK108" s="116"/>
      <c r="AL108" s="487"/>
      <c r="AM108" s="116"/>
      <c r="AN108" s="487"/>
      <c r="AO108" s="116"/>
      <c r="AP108" s="487"/>
      <c r="AQ108" s="116"/>
      <c r="AR108" s="487"/>
      <c r="AS108" s="116"/>
      <c r="AT108" s="487"/>
      <c r="AU108" s="116"/>
      <c r="AV108" s="487"/>
      <c r="AW108" s="116"/>
      <c r="AX108" s="487"/>
      <c r="AY108" s="116"/>
      <c r="AZ108" s="487"/>
      <c r="BA108" s="116"/>
      <c r="BB108" s="487"/>
      <c r="BC108" s="116"/>
      <c r="BD108" s="487"/>
      <c r="BE108" s="116"/>
      <c r="BF108" s="487"/>
      <c r="BG108" s="116"/>
      <c r="BH108" s="487"/>
      <c r="BI108" s="116"/>
      <c r="BJ108" s="487"/>
      <c r="BK108" s="116"/>
      <c r="BL108" s="487"/>
      <c r="BM108" s="116"/>
      <c r="BN108" s="487"/>
      <c r="BO108" s="116"/>
      <c r="BP108" s="487">
        <f t="shared" si="2"/>
        <v>0</v>
      </c>
      <c r="BQ108" s="116">
        <f t="shared" si="2"/>
        <v>0</v>
      </c>
    </row>
    <row r="109" spans="1:69">
      <c r="A109" s="488">
        <v>104</v>
      </c>
      <c r="B109" s="489" t="s">
        <v>2488</v>
      </c>
      <c r="C109" s="76"/>
      <c r="D109" s="486"/>
      <c r="E109" s="117"/>
      <c r="F109" s="486"/>
      <c r="G109" s="117"/>
      <c r="H109" s="486"/>
      <c r="I109" s="117"/>
      <c r="J109" s="486"/>
      <c r="K109" s="117"/>
      <c r="L109" s="486"/>
      <c r="M109" s="117"/>
      <c r="N109" s="486"/>
      <c r="O109" s="117"/>
      <c r="P109" s="486"/>
      <c r="Q109" s="117"/>
      <c r="R109" s="486"/>
      <c r="S109" s="117"/>
      <c r="T109" s="486"/>
      <c r="U109" s="117"/>
      <c r="V109" s="486"/>
      <c r="W109" s="117"/>
      <c r="X109" s="486"/>
      <c r="Y109" s="117"/>
      <c r="Z109" s="486"/>
      <c r="AA109" s="117"/>
      <c r="AB109" s="486"/>
      <c r="AC109" s="117"/>
      <c r="AD109" s="486"/>
      <c r="AE109" s="117"/>
      <c r="AF109" s="486"/>
      <c r="AG109" s="117"/>
      <c r="AH109" s="486"/>
      <c r="AI109" s="117"/>
      <c r="AJ109" s="486"/>
      <c r="AK109" s="117"/>
      <c r="AL109" s="486"/>
      <c r="AM109" s="117"/>
      <c r="AN109" s="486"/>
      <c r="AO109" s="117"/>
      <c r="AP109" s="486"/>
      <c r="AQ109" s="117"/>
      <c r="AR109" s="486"/>
      <c r="AS109" s="117"/>
      <c r="AT109" s="486"/>
      <c r="AU109" s="117"/>
      <c r="AV109" s="486"/>
      <c r="AW109" s="117"/>
      <c r="AX109" s="486"/>
      <c r="AY109" s="117"/>
      <c r="AZ109" s="486"/>
      <c r="BA109" s="117"/>
      <c r="BB109" s="486"/>
      <c r="BC109" s="117"/>
      <c r="BD109" s="486"/>
      <c r="BE109" s="117"/>
      <c r="BF109" s="486"/>
      <c r="BG109" s="117"/>
      <c r="BH109" s="486"/>
      <c r="BI109" s="117"/>
      <c r="BJ109" s="486"/>
      <c r="BK109" s="117"/>
      <c r="BL109" s="486"/>
      <c r="BM109" s="117"/>
      <c r="BN109" s="486"/>
      <c r="BO109" s="117"/>
      <c r="BP109" s="486">
        <f t="shared" si="2"/>
        <v>0</v>
      </c>
      <c r="BQ109" s="117">
        <f t="shared" si="2"/>
        <v>0</v>
      </c>
    </row>
    <row r="110" spans="1:69">
      <c r="A110" s="74">
        <v>105</v>
      </c>
      <c r="B110" s="73" t="s">
        <v>82</v>
      </c>
      <c r="C110" s="74" t="s">
        <v>926</v>
      </c>
      <c r="D110" s="487">
        <v>269</v>
      </c>
      <c r="E110" s="116">
        <v>2266166236.2399998</v>
      </c>
      <c r="F110" s="487"/>
      <c r="G110" s="116"/>
      <c r="H110" s="487"/>
      <c r="I110" s="116"/>
      <c r="J110" s="487"/>
      <c r="K110" s="116"/>
      <c r="L110" s="487"/>
      <c r="M110" s="116"/>
      <c r="N110" s="487"/>
      <c r="O110" s="116"/>
      <c r="P110" s="487"/>
      <c r="Q110" s="116"/>
      <c r="R110" s="487"/>
      <c r="S110" s="116"/>
      <c r="T110" s="487"/>
      <c r="U110" s="116"/>
      <c r="V110" s="487"/>
      <c r="W110" s="116"/>
      <c r="X110" s="487"/>
      <c r="Y110" s="116"/>
      <c r="Z110" s="487"/>
      <c r="AA110" s="116"/>
      <c r="AB110" s="487"/>
      <c r="AC110" s="116"/>
      <c r="AD110" s="487"/>
      <c r="AE110" s="116"/>
      <c r="AF110" s="487"/>
      <c r="AG110" s="116"/>
      <c r="AH110" s="487"/>
      <c r="AI110" s="116"/>
      <c r="AJ110" s="487">
        <v>51</v>
      </c>
      <c r="AK110" s="116">
        <v>566541559.05999994</v>
      </c>
      <c r="AL110" s="487"/>
      <c r="AM110" s="116"/>
      <c r="AN110" s="487"/>
      <c r="AO110" s="116"/>
      <c r="AP110" s="487"/>
      <c r="AQ110" s="116"/>
      <c r="AR110" s="487"/>
      <c r="AS110" s="116"/>
      <c r="AT110" s="487"/>
      <c r="AU110" s="116"/>
      <c r="AV110" s="487"/>
      <c r="AW110" s="116"/>
      <c r="AX110" s="487"/>
      <c r="AY110" s="116"/>
      <c r="AZ110" s="487"/>
      <c r="BA110" s="116"/>
      <c r="BB110" s="487"/>
      <c r="BC110" s="116"/>
      <c r="BD110" s="487"/>
      <c r="BE110" s="116"/>
      <c r="BF110" s="487"/>
      <c r="BG110" s="116"/>
      <c r="BH110" s="487"/>
      <c r="BI110" s="116"/>
      <c r="BJ110" s="487"/>
      <c r="BK110" s="116"/>
      <c r="BL110" s="487"/>
      <c r="BM110" s="116"/>
      <c r="BN110" s="487"/>
      <c r="BO110" s="116"/>
      <c r="BP110" s="487">
        <f t="shared" si="2"/>
        <v>320</v>
      </c>
      <c r="BQ110" s="116">
        <f t="shared" si="2"/>
        <v>2832707795.2999997</v>
      </c>
    </row>
    <row r="111" spans="1:69">
      <c r="A111" s="488">
        <v>106</v>
      </c>
      <c r="B111" s="77" t="s">
        <v>72</v>
      </c>
      <c r="C111" s="76" t="s">
        <v>928</v>
      </c>
      <c r="D111" s="486">
        <v>21</v>
      </c>
      <c r="E111" s="117">
        <v>64411.62</v>
      </c>
      <c r="F111" s="486"/>
      <c r="G111" s="117"/>
      <c r="H111" s="486">
        <v>192</v>
      </c>
      <c r="I111" s="117">
        <v>588906.39</v>
      </c>
      <c r="J111" s="486"/>
      <c r="K111" s="117"/>
      <c r="L111" s="486">
        <v>492</v>
      </c>
      <c r="M111" s="117">
        <v>1509072.43</v>
      </c>
      <c r="N111" s="486"/>
      <c r="O111" s="117"/>
      <c r="P111" s="486">
        <v>1246</v>
      </c>
      <c r="Q111" s="117">
        <v>3821756.62</v>
      </c>
      <c r="R111" s="486"/>
      <c r="S111" s="117"/>
      <c r="T111" s="486"/>
      <c r="U111" s="117"/>
      <c r="V111" s="486"/>
      <c r="W111" s="117"/>
      <c r="X111" s="486">
        <v>50</v>
      </c>
      <c r="Y111" s="117"/>
      <c r="Z111" s="486"/>
      <c r="AA111" s="117"/>
      <c r="AB111" s="486"/>
      <c r="AC111" s="117"/>
      <c r="AD111" s="486"/>
      <c r="AE111" s="117"/>
      <c r="AF111" s="486">
        <v>14</v>
      </c>
      <c r="AG111" s="117"/>
      <c r="AH111" s="486"/>
      <c r="AI111" s="117"/>
      <c r="AJ111" s="486">
        <v>4</v>
      </c>
      <c r="AK111" s="117">
        <v>12268.88</v>
      </c>
      <c r="AL111" s="486"/>
      <c r="AM111" s="117"/>
      <c r="AN111" s="486">
        <v>27</v>
      </c>
      <c r="AO111" s="117">
        <v>82814.95</v>
      </c>
      <c r="AP111" s="486"/>
      <c r="AQ111" s="117"/>
      <c r="AR111" s="486">
        <v>236</v>
      </c>
      <c r="AS111" s="117">
        <v>723864.01</v>
      </c>
      <c r="AT111" s="486"/>
      <c r="AU111" s="117"/>
      <c r="AV111" s="486">
        <v>114</v>
      </c>
      <c r="AW111" s="117">
        <v>349663.01</v>
      </c>
      <c r="AX111" s="486"/>
      <c r="AY111" s="117"/>
      <c r="AZ111" s="486"/>
      <c r="BA111" s="117"/>
      <c r="BB111" s="486"/>
      <c r="BC111" s="117"/>
      <c r="BD111" s="486">
        <v>6</v>
      </c>
      <c r="BE111" s="117"/>
      <c r="BF111" s="486"/>
      <c r="BG111" s="117"/>
      <c r="BH111" s="486"/>
      <c r="BI111" s="117"/>
      <c r="BJ111" s="486"/>
      <c r="BK111" s="117"/>
      <c r="BL111" s="486">
        <v>3</v>
      </c>
      <c r="BM111" s="117"/>
      <c r="BN111" s="486"/>
      <c r="BO111" s="117"/>
      <c r="BP111" s="486">
        <f t="shared" si="2"/>
        <v>2405</v>
      </c>
      <c r="BQ111" s="117">
        <f t="shared" si="2"/>
        <v>7152757.9099999992</v>
      </c>
    </row>
    <row r="112" spans="1:69">
      <c r="A112" s="74">
        <v>107</v>
      </c>
      <c r="B112" s="73" t="s">
        <v>92</v>
      </c>
      <c r="C112" s="74" t="s">
        <v>932</v>
      </c>
      <c r="D112" s="487">
        <v>20</v>
      </c>
      <c r="E112" s="116">
        <v>62601345</v>
      </c>
      <c r="F112" s="487"/>
      <c r="G112" s="116"/>
      <c r="H112" s="487">
        <v>40</v>
      </c>
      <c r="I112" s="116">
        <v>54985873</v>
      </c>
      <c r="J112" s="487"/>
      <c r="K112" s="116"/>
      <c r="L112" s="487">
        <v>69</v>
      </c>
      <c r="M112" s="116">
        <v>69</v>
      </c>
      <c r="N112" s="487"/>
      <c r="O112" s="116"/>
      <c r="P112" s="487">
        <v>299</v>
      </c>
      <c r="Q112" s="116">
        <v>98860260</v>
      </c>
      <c r="R112" s="487"/>
      <c r="S112" s="116"/>
      <c r="T112" s="487"/>
      <c r="U112" s="116"/>
      <c r="V112" s="487"/>
      <c r="W112" s="116"/>
      <c r="X112" s="487">
        <v>2</v>
      </c>
      <c r="Y112" s="116">
        <v>2083683</v>
      </c>
      <c r="Z112" s="487"/>
      <c r="AA112" s="116"/>
      <c r="AB112" s="487"/>
      <c r="AC112" s="116"/>
      <c r="AD112" s="487"/>
      <c r="AE112" s="116"/>
      <c r="AF112" s="487">
        <v>9</v>
      </c>
      <c r="AG112" s="116">
        <v>1366000</v>
      </c>
      <c r="AH112" s="487"/>
      <c r="AI112" s="116"/>
      <c r="AJ112" s="487">
        <v>1</v>
      </c>
      <c r="AK112" s="116">
        <v>2847455</v>
      </c>
      <c r="AL112" s="487"/>
      <c r="AM112" s="116"/>
      <c r="AN112" s="487">
        <v>9</v>
      </c>
      <c r="AO112" s="116">
        <v>13196218</v>
      </c>
      <c r="AP112" s="487"/>
      <c r="AQ112" s="116"/>
      <c r="AR112" s="487">
        <v>15</v>
      </c>
      <c r="AS112" s="116">
        <v>14584183</v>
      </c>
      <c r="AT112" s="487"/>
      <c r="AU112" s="116"/>
      <c r="AV112" s="487">
        <v>28</v>
      </c>
      <c r="AW112" s="116">
        <v>8792530</v>
      </c>
      <c r="AX112" s="487"/>
      <c r="AY112" s="116"/>
      <c r="AZ112" s="487"/>
      <c r="BA112" s="116"/>
      <c r="BB112" s="487"/>
      <c r="BC112" s="116"/>
      <c r="BD112" s="487"/>
      <c r="BE112" s="116"/>
      <c r="BF112" s="487"/>
      <c r="BG112" s="116"/>
      <c r="BH112" s="487"/>
      <c r="BI112" s="116"/>
      <c r="BJ112" s="487"/>
      <c r="BK112" s="116"/>
      <c r="BL112" s="487">
        <v>10</v>
      </c>
      <c r="BM112" s="116">
        <v>614012</v>
      </c>
      <c r="BN112" s="487"/>
      <c r="BO112" s="116"/>
      <c r="BP112" s="487">
        <f t="shared" si="2"/>
        <v>502</v>
      </c>
      <c r="BQ112" s="116">
        <f t="shared" si="2"/>
        <v>259931628</v>
      </c>
    </row>
    <row r="113" spans="1:69">
      <c r="A113" s="488"/>
      <c r="B113" s="77" t="s">
        <v>1878</v>
      </c>
      <c r="C113" s="76" t="s">
        <v>2461</v>
      </c>
      <c r="D113" s="486">
        <v>1</v>
      </c>
      <c r="E113" s="117">
        <v>16488226.34</v>
      </c>
      <c r="F113" s="486">
        <v>4</v>
      </c>
      <c r="G113" s="117">
        <v>43182653.039999999</v>
      </c>
      <c r="H113" s="486">
        <v>1</v>
      </c>
      <c r="I113" s="117">
        <v>11978756.539999999</v>
      </c>
      <c r="J113" s="486"/>
      <c r="K113" s="117"/>
      <c r="L113" s="486">
        <v>58</v>
      </c>
      <c r="M113" s="117">
        <v>248874038.13999999</v>
      </c>
      <c r="N113" s="486"/>
      <c r="O113" s="117"/>
      <c r="P113" s="486">
        <v>7</v>
      </c>
      <c r="Q113" s="117">
        <v>19451374.539999999</v>
      </c>
      <c r="R113" s="486"/>
      <c r="S113" s="117"/>
      <c r="T113" s="486"/>
      <c r="U113" s="117"/>
      <c r="V113" s="486"/>
      <c r="W113" s="117"/>
      <c r="X113" s="486"/>
      <c r="Y113" s="117"/>
      <c r="Z113" s="486"/>
      <c r="AA113" s="117"/>
      <c r="AB113" s="486"/>
      <c r="AC113" s="117"/>
      <c r="AD113" s="486"/>
      <c r="AE113" s="117"/>
      <c r="AF113" s="486">
        <v>24</v>
      </c>
      <c r="AG113" s="117">
        <v>17514290</v>
      </c>
      <c r="AH113" s="486"/>
      <c r="AI113" s="117"/>
      <c r="AJ113" s="486"/>
      <c r="AK113" s="117"/>
      <c r="AL113" s="486"/>
      <c r="AM113" s="117"/>
      <c r="AN113" s="486"/>
      <c r="AO113" s="117"/>
      <c r="AP113" s="486"/>
      <c r="AQ113" s="117"/>
      <c r="AR113" s="486">
        <v>4</v>
      </c>
      <c r="AS113" s="117">
        <v>9227377</v>
      </c>
      <c r="AT113" s="486"/>
      <c r="AU113" s="117"/>
      <c r="AV113" s="486">
        <v>7</v>
      </c>
      <c r="AW113" s="117">
        <v>17888149.079999998</v>
      </c>
      <c r="AX113" s="486"/>
      <c r="AY113" s="117"/>
      <c r="AZ113" s="486"/>
      <c r="BA113" s="117"/>
      <c r="BB113" s="486"/>
      <c r="BC113" s="117"/>
      <c r="BD113" s="486"/>
      <c r="BE113" s="117"/>
      <c r="BF113" s="486"/>
      <c r="BG113" s="117"/>
      <c r="BH113" s="486"/>
      <c r="BI113" s="117"/>
      <c r="BJ113" s="486"/>
      <c r="BK113" s="117"/>
      <c r="BL113" s="486"/>
      <c r="BM113" s="117"/>
      <c r="BN113" s="486"/>
      <c r="BO113" s="117"/>
      <c r="BP113" s="486">
        <f t="shared" si="2"/>
        <v>106</v>
      </c>
      <c r="BQ113" s="117">
        <f t="shared" si="2"/>
        <v>384604864.68000001</v>
      </c>
    </row>
    <row r="114" spans="1:69">
      <c r="A114" s="74"/>
      <c r="B114" s="73" t="s">
        <v>3747</v>
      </c>
      <c r="C114" s="74" t="s">
        <v>2462</v>
      </c>
      <c r="D114" s="487">
        <v>2</v>
      </c>
      <c r="E114" s="116">
        <v>245420000</v>
      </c>
      <c r="F114" s="487">
        <v>1</v>
      </c>
      <c r="G114" s="116">
        <v>30188000</v>
      </c>
      <c r="H114" s="487">
        <v>19</v>
      </c>
      <c r="I114" s="116">
        <v>1667548000</v>
      </c>
      <c r="J114" s="487">
        <v>1</v>
      </c>
      <c r="K114" s="116">
        <v>212242000</v>
      </c>
      <c r="L114" s="487">
        <v>195</v>
      </c>
      <c r="M114" s="116">
        <v>3231550000</v>
      </c>
      <c r="N114" s="487">
        <v>1</v>
      </c>
      <c r="O114" s="116">
        <v>4658000</v>
      </c>
      <c r="P114" s="487">
        <v>306</v>
      </c>
      <c r="Q114" s="116">
        <v>5263088000</v>
      </c>
      <c r="R114" s="487">
        <v>1</v>
      </c>
      <c r="S114" s="116">
        <v>5956000</v>
      </c>
      <c r="T114" s="487"/>
      <c r="U114" s="116"/>
      <c r="V114" s="487"/>
      <c r="W114" s="116"/>
      <c r="X114" s="487"/>
      <c r="Y114" s="116"/>
      <c r="Z114" s="487"/>
      <c r="AA114" s="116"/>
      <c r="AB114" s="487"/>
      <c r="AC114" s="116"/>
      <c r="AD114" s="487"/>
      <c r="AE114" s="116"/>
      <c r="AF114" s="487"/>
      <c r="AG114" s="116"/>
      <c r="AH114" s="487"/>
      <c r="AI114" s="116"/>
      <c r="AJ114" s="487"/>
      <c r="AK114" s="116"/>
      <c r="AL114" s="487"/>
      <c r="AM114" s="116"/>
      <c r="AN114" s="487"/>
      <c r="AO114" s="116"/>
      <c r="AP114" s="487"/>
      <c r="AQ114" s="116"/>
      <c r="AR114" s="487">
        <v>11</v>
      </c>
      <c r="AS114" s="116">
        <v>227376000</v>
      </c>
      <c r="AT114" s="487"/>
      <c r="AU114" s="116"/>
      <c r="AV114" s="487">
        <v>7</v>
      </c>
      <c r="AW114" s="116">
        <v>52332000</v>
      </c>
      <c r="AX114" s="487"/>
      <c r="AY114" s="116"/>
      <c r="AZ114" s="487"/>
      <c r="BA114" s="116"/>
      <c r="BB114" s="487"/>
      <c r="BC114" s="116"/>
      <c r="BD114" s="487"/>
      <c r="BE114" s="116"/>
      <c r="BF114" s="487"/>
      <c r="BG114" s="116"/>
      <c r="BH114" s="487"/>
      <c r="BI114" s="116"/>
      <c r="BJ114" s="487"/>
      <c r="BK114" s="116"/>
      <c r="BL114" s="487"/>
      <c r="BM114" s="116"/>
      <c r="BN114" s="487"/>
      <c r="BO114" s="116"/>
      <c r="BP114" s="487">
        <f t="shared" si="2"/>
        <v>544</v>
      </c>
      <c r="BQ114" s="116">
        <f t="shared" si="2"/>
        <v>10940358000</v>
      </c>
    </row>
    <row r="115" spans="1:69">
      <c r="A115" s="488"/>
      <c r="B115" s="77" t="s">
        <v>3736</v>
      </c>
      <c r="C115" s="76" t="s">
        <v>2484</v>
      </c>
      <c r="D115" s="486"/>
      <c r="E115" s="117"/>
      <c r="F115" s="486">
        <v>1</v>
      </c>
      <c r="G115" s="117">
        <v>207887160</v>
      </c>
      <c r="H115" s="486">
        <v>3</v>
      </c>
      <c r="I115" s="117">
        <v>230234488</v>
      </c>
      <c r="J115" s="486">
        <v>3</v>
      </c>
      <c r="K115" s="117">
        <v>79477478</v>
      </c>
      <c r="L115" s="486">
        <v>14</v>
      </c>
      <c r="M115" s="117">
        <v>104816592</v>
      </c>
      <c r="N115" s="486"/>
      <c r="O115" s="117"/>
      <c r="P115" s="486"/>
      <c r="Q115" s="117"/>
      <c r="R115" s="486"/>
      <c r="S115" s="117"/>
      <c r="T115" s="486"/>
      <c r="U115" s="117"/>
      <c r="V115" s="486"/>
      <c r="W115" s="117"/>
      <c r="X115" s="486"/>
      <c r="Y115" s="117"/>
      <c r="Z115" s="486"/>
      <c r="AA115" s="117"/>
      <c r="AB115" s="486"/>
      <c r="AC115" s="117"/>
      <c r="AD115" s="486"/>
      <c r="AE115" s="117"/>
      <c r="AF115" s="486">
        <v>48</v>
      </c>
      <c r="AG115" s="117">
        <v>8954000</v>
      </c>
      <c r="AH115" s="486"/>
      <c r="AI115" s="117"/>
      <c r="AJ115" s="486"/>
      <c r="AK115" s="117"/>
      <c r="AL115" s="486"/>
      <c r="AM115" s="117"/>
      <c r="AN115" s="486"/>
      <c r="AO115" s="117"/>
      <c r="AP115" s="486"/>
      <c r="AQ115" s="117"/>
      <c r="AR115" s="486">
        <v>1</v>
      </c>
      <c r="AS115" s="117">
        <v>10905156</v>
      </c>
      <c r="AT115" s="486"/>
      <c r="AU115" s="117"/>
      <c r="AV115" s="486">
        <v>4</v>
      </c>
      <c r="AW115" s="117">
        <v>37196304</v>
      </c>
      <c r="AX115" s="486"/>
      <c r="AY115" s="117"/>
      <c r="AZ115" s="486"/>
      <c r="BA115" s="117"/>
      <c r="BB115" s="486"/>
      <c r="BC115" s="117"/>
      <c r="BD115" s="486"/>
      <c r="BE115" s="117"/>
      <c r="BF115" s="486"/>
      <c r="BG115" s="117"/>
      <c r="BH115" s="486"/>
      <c r="BI115" s="117"/>
      <c r="BJ115" s="486"/>
      <c r="BK115" s="117"/>
      <c r="BL115" s="486"/>
      <c r="BM115" s="117"/>
      <c r="BN115" s="486"/>
      <c r="BO115" s="117"/>
      <c r="BP115" s="486">
        <f t="shared" si="2"/>
        <v>74</v>
      </c>
      <c r="BQ115" s="117">
        <f t="shared" si="2"/>
        <v>679471178</v>
      </c>
    </row>
    <row r="116" spans="1:69">
      <c r="A116" s="74"/>
      <c r="B116" s="73" t="s">
        <v>3712</v>
      </c>
      <c r="C116" s="74" t="s">
        <v>2459</v>
      </c>
      <c r="D116" s="487"/>
      <c r="E116" s="116"/>
      <c r="F116" s="487"/>
      <c r="G116" s="116"/>
      <c r="H116" s="487">
        <v>190</v>
      </c>
      <c r="I116" s="116"/>
      <c r="J116" s="487"/>
      <c r="K116" s="116"/>
      <c r="L116" s="487"/>
      <c r="M116" s="116"/>
      <c r="N116" s="487"/>
      <c r="O116" s="116"/>
      <c r="P116" s="487"/>
      <c r="Q116" s="116"/>
      <c r="R116" s="487"/>
      <c r="S116" s="116"/>
      <c r="T116" s="487"/>
      <c r="U116" s="116"/>
      <c r="V116" s="487"/>
      <c r="W116" s="116"/>
      <c r="X116" s="487"/>
      <c r="Y116" s="116"/>
      <c r="Z116" s="487"/>
      <c r="AA116" s="116"/>
      <c r="AB116" s="487"/>
      <c r="AC116" s="116"/>
      <c r="AD116" s="487"/>
      <c r="AE116" s="116"/>
      <c r="AF116" s="487"/>
      <c r="AG116" s="116"/>
      <c r="AH116" s="487"/>
      <c r="AI116" s="116"/>
      <c r="AJ116" s="487"/>
      <c r="AK116" s="116"/>
      <c r="AL116" s="487"/>
      <c r="AM116" s="116"/>
      <c r="AN116" s="487"/>
      <c r="AO116" s="116"/>
      <c r="AP116" s="487"/>
      <c r="AQ116" s="116"/>
      <c r="AR116" s="487"/>
      <c r="AS116" s="116"/>
      <c r="AT116" s="487"/>
      <c r="AU116" s="116"/>
      <c r="AV116" s="487"/>
      <c r="AW116" s="116"/>
      <c r="AX116" s="487"/>
      <c r="AY116" s="116"/>
      <c r="AZ116" s="487"/>
      <c r="BA116" s="116"/>
      <c r="BB116" s="487"/>
      <c r="BC116" s="116"/>
      <c r="BD116" s="487"/>
      <c r="BE116" s="116"/>
      <c r="BF116" s="487"/>
      <c r="BG116" s="116"/>
      <c r="BH116" s="487"/>
      <c r="BI116" s="116"/>
      <c r="BJ116" s="487"/>
      <c r="BK116" s="116"/>
      <c r="BL116" s="487"/>
      <c r="BM116" s="116"/>
      <c r="BN116" s="487"/>
      <c r="BO116" s="116"/>
      <c r="BP116" s="487">
        <f t="shared" si="2"/>
        <v>190</v>
      </c>
      <c r="BQ116" s="116">
        <f t="shared" si="2"/>
        <v>0</v>
      </c>
    </row>
    <row r="117" spans="1:69">
      <c r="A117" s="488"/>
      <c r="B117" s="77" t="s">
        <v>3704</v>
      </c>
      <c r="C117" s="76" t="s">
        <v>3705</v>
      </c>
      <c r="D117" s="486">
        <v>2</v>
      </c>
      <c r="E117" s="117"/>
      <c r="F117" s="486">
        <v>1</v>
      </c>
      <c r="G117" s="117"/>
      <c r="H117" s="486">
        <v>1</v>
      </c>
      <c r="I117" s="117"/>
      <c r="J117" s="486"/>
      <c r="K117" s="117"/>
      <c r="L117" s="486">
        <v>8</v>
      </c>
      <c r="M117" s="117"/>
      <c r="N117" s="486">
        <v>1</v>
      </c>
      <c r="O117" s="117"/>
      <c r="P117" s="486">
        <v>13</v>
      </c>
      <c r="Q117" s="117"/>
      <c r="R117" s="486"/>
      <c r="S117" s="117"/>
      <c r="T117" s="486"/>
      <c r="U117" s="117"/>
      <c r="V117" s="486"/>
      <c r="W117" s="117"/>
      <c r="X117" s="486"/>
      <c r="Y117" s="117"/>
      <c r="Z117" s="486"/>
      <c r="AA117" s="117"/>
      <c r="AB117" s="486"/>
      <c r="AC117" s="117"/>
      <c r="AD117" s="486"/>
      <c r="AE117" s="117"/>
      <c r="AF117" s="486"/>
      <c r="AG117" s="117"/>
      <c r="AH117" s="486"/>
      <c r="AI117" s="117"/>
      <c r="AJ117" s="486"/>
      <c r="AK117" s="117"/>
      <c r="AL117" s="486"/>
      <c r="AM117" s="117"/>
      <c r="AN117" s="486"/>
      <c r="AO117" s="117"/>
      <c r="AP117" s="486"/>
      <c r="AQ117" s="117"/>
      <c r="AR117" s="486">
        <v>1</v>
      </c>
      <c r="AS117" s="117"/>
      <c r="AT117" s="486"/>
      <c r="AU117" s="117"/>
      <c r="AV117" s="486">
        <v>1</v>
      </c>
      <c r="AW117" s="117"/>
      <c r="AX117" s="486"/>
      <c r="AY117" s="117"/>
      <c r="AZ117" s="486"/>
      <c r="BA117" s="117"/>
      <c r="BB117" s="486"/>
      <c r="BC117" s="117"/>
      <c r="BD117" s="486"/>
      <c r="BE117" s="117"/>
      <c r="BF117" s="486"/>
      <c r="BG117" s="117"/>
      <c r="BH117" s="486"/>
      <c r="BI117" s="117"/>
      <c r="BJ117" s="486"/>
      <c r="BK117" s="117"/>
      <c r="BL117" s="486"/>
      <c r="BM117" s="117"/>
      <c r="BN117" s="486"/>
      <c r="BO117" s="117"/>
      <c r="BP117" s="486">
        <f t="shared" si="2"/>
        <v>28</v>
      </c>
      <c r="BQ117" s="117">
        <f t="shared" si="2"/>
        <v>0</v>
      </c>
    </row>
    <row r="118" spans="1:69">
      <c r="A118" s="74"/>
      <c r="B118" s="73" t="s">
        <v>3659</v>
      </c>
      <c r="C118" s="74" t="s">
        <v>2447</v>
      </c>
      <c r="D118" s="487">
        <v>5</v>
      </c>
      <c r="E118" s="116"/>
      <c r="F118" s="487"/>
      <c r="G118" s="116"/>
      <c r="H118" s="487">
        <v>140</v>
      </c>
      <c r="I118" s="116"/>
      <c r="J118" s="487">
        <v>6</v>
      </c>
      <c r="K118" s="116"/>
      <c r="L118" s="487">
        <v>458</v>
      </c>
      <c r="M118" s="116"/>
      <c r="N118" s="487">
        <v>65</v>
      </c>
      <c r="O118" s="116"/>
      <c r="P118" s="487">
        <v>560</v>
      </c>
      <c r="Q118" s="116"/>
      <c r="R118" s="487">
        <v>8</v>
      </c>
      <c r="S118" s="116"/>
      <c r="T118" s="487"/>
      <c r="U118" s="116"/>
      <c r="V118" s="487"/>
      <c r="W118" s="116"/>
      <c r="X118" s="487"/>
      <c r="Y118" s="116"/>
      <c r="Z118" s="487"/>
      <c r="AA118" s="116"/>
      <c r="AB118" s="487"/>
      <c r="AC118" s="116"/>
      <c r="AD118" s="487"/>
      <c r="AE118" s="116"/>
      <c r="AF118" s="487"/>
      <c r="AG118" s="116"/>
      <c r="AH118" s="487"/>
      <c r="AI118" s="116"/>
      <c r="AJ118" s="487"/>
      <c r="AK118" s="116"/>
      <c r="AL118" s="487"/>
      <c r="AM118" s="116"/>
      <c r="AN118" s="487">
        <v>7</v>
      </c>
      <c r="AO118" s="116"/>
      <c r="AP118" s="487"/>
      <c r="AQ118" s="116"/>
      <c r="AR118" s="487">
        <v>11</v>
      </c>
      <c r="AS118" s="116"/>
      <c r="AT118" s="487">
        <v>8</v>
      </c>
      <c r="AU118" s="116"/>
      <c r="AV118" s="487"/>
      <c r="AW118" s="116"/>
      <c r="AX118" s="487"/>
      <c r="AY118" s="116"/>
      <c r="AZ118" s="487"/>
      <c r="BA118" s="116"/>
      <c r="BB118" s="487"/>
      <c r="BC118" s="116"/>
      <c r="BD118" s="487"/>
      <c r="BE118" s="116"/>
      <c r="BF118" s="487"/>
      <c r="BG118" s="116"/>
      <c r="BH118" s="487"/>
      <c r="BI118" s="116"/>
      <c r="BJ118" s="487"/>
      <c r="BK118" s="116"/>
      <c r="BL118" s="487"/>
      <c r="BM118" s="116"/>
      <c r="BN118" s="487"/>
      <c r="BO118" s="116"/>
      <c r="BP118" s="487">
        <f t="shared" si="2"/>
        <v>1268</v>
      </c>
      <c r="BQ118" s="116">
        <f t="shared" si="2"/>
        <v>0</v>
      </c>
    </row>
    <row r="119" spans="1:69">
      <c r="A119" s="488"/>
      <c r="B119" s="77" t="s">
        <v>654</v>
      </c>
      <c r="C119" s="76" t="s">
        <v>655</v>
      </c>
      <c r="D119" s="486">
        <v>15</v>
      </c>
      <c r="E119" s="117"/>
      <c r="F119" s="486">
        <v>9</v>
      </c>
      <c r="G119" s="117"/>
      <c r="H119" s="486">
        <v>107</v>
      </c>
      <c r="I119" s="117"/>
      <c r="J119" s="486">
        <v>15</v>
      </c>
      <c r="K119" s="117"/>
      <c r="L119" s="486">
        <v>301</v>
      </c>
      <c r="M119" s="117"/>
      <c r="N119" s="486"/>
      <c r="O119" s="117"/>
      <c r="P119" s="486">
        <v>272</v>
      </c>
      <c r="Q119" s="117"/>
      <c r="R119" s="486"/>
      <c r="S119" s="117"/>
      <c r="T119" s="486"/>
      <c r="U119" s="117"/>
      <c r="V119" s="486"/>
      <c r="W119" s="117"/>
      <c r="X119" s="486"/>
      <c r="Y119" s="117"/>
      <c r="Z119" s="486"/>
      <c r="AA119" s="117"/>
      <c r="AB119" s="486"/>
      <c r="AC119" s="117"/>
      <c r="AD119" s="486"/>
      <c r="AE119" s="117"/>
      <c r="AF119" s="486"/>
      <c r="AG119" s="117"/>
      <c r="AH119" s="486"/>
      <c r="AI119" s="117"/>
      <c r="AJ119" s="486">
        <v>1</v>
      </c>
      <c r="AK119" s="117"/>
      <c r="AL119" s="486"/>
      <c r="AM119" s="117"/>
      <c r="AN119" s="486">
        <v>5</v>
      </c>
      <c r="AO119" s="117"/>
      <c r="AP119" s="486">
        <v>2</v>
      </c>
      <c r="AQ119" s="117"/>
      <c r="AR119" s="486">
        <v>9</v>
      </c>
      <c r="AS119" s="117"/>
      <c r="AT119" s="486"/>
      <c r="AU119" s="117"/>
      <c r="AV119" s="486">
        <v>8</v>
      </c>
      <c r="AW119" s="117"/>
      <c r="AX119" s="486"/>
      <c r="AY119" s="117"/>
      <c r="AZ119" s="486"/>
      <c r="BA119" s="117"/>
      <c r="BB119" s="486"/>
      <c r="BC119" s="117"/>
      <c r="BD119" s="486"/>
      <c r="BE119" s="117"/>
      <c r="BF119" s="486"/>
      <c r="BG119" s="117"/>
      <c r="BH119" s="486"/>
      <c r="BI119" s="117"/>
      <c r="BJ119" s="486"/>
      <c r="BK119" s="117"/>
      <c r="BL119" s="486"/>
      <c r="BM119" s="117"/>
      <c r="BN119" s="486"/>
      <c r="BO119" s="117"/>
      <c r="BP119" s="486">
        <f t="shared" si="2"/>
        <v>744</v>
      </c>
      <c r="BQ119" s="117">
        <f t="shared" si="2"/>
        <v>0</v>
      </c>
    </row>
    <row r="120" spans="1:69">
      <c r="A120" s="74"/>
      <c r="B120" s="73" t="s">
        <v>6375</v>
      </c>
      <c r="C120" s="74" t="s">
        <v>6376</v>
      </c>
      <c r="D120" s="487"/>
      <c r="E120" s="116"/>
      <c r="F120" s="487"/>
      <c r="G120" s="116"/>
      <c r="H120" s="487">
        <v>1</v>
      </c>
      <c r="I120" s="116">
        <v>2860000</v>
      </c>
      <c r="J120" s="487">
        <v>2</v>
      </c>
      <c r="K120" s="116">
        <v>1320000</v>
      </c>
      <c r="L120" s="487"/>
      <c r="M120" s="116"/>
      <c r="N120" s="487"/>
      <c r="O120" s="116"/>
      <c r="P120" s="487"/>
      <c r="Q120" s="116"/>
      <c r="R120" s="487"/>
      <c r="S120" s="116"/>
      <c r="T120" s="487"/>
      <c r="U120" s="116"/>
      <c r="V120" s="487">
        <v>4</v>
      </c>
      <c r="W120" s="116">
        <v>4000000</v>
      </c>
      <c r="X120" s="487"/>
      <c r="Y120" s="116"/>
      <c r="Z120" s="487"/>
      <c r="AA120" s="116"/>
      <c r="AB120" s="487">
        <v>75</v>
      </c>
      <c r="AC120" s="116">
        <v>1320000</v>
      </c>
      <c r="AD120" s="487"/>
      <c r="AE120" s="116"/>
      <c r="AF120" s="487"/>
      <c r="AG120" s="116"/>
      <c r="AH120" s="487"/>
      <c r="AI120" s="116"/>
      <c r="AJ120" s="487"/>
      <c r="AK120" s="116"/>
      <c r="AL120" s="487"/>
      <c r="AM120" s="116"/>
      <c r="AN120" s="487">
        <v>1</v>
      </c>
      <c r="AO120" s="116">
        <v>1540000</v>
      </c>
      <c r="AP120" s="487"/>
      <c r="AQ120" s="116"/>
      <c r="AR120" s="487"/>
      <c r="AS120" s="116"/>
      <c r="AT120" s="487"/>
      <c r="AU120" s="116"/>
      <c r="AV120" s="487"/>
      <c r="AW120" s="116"/>
      <c r="AX120" s="487"/>
      <c r="AY120" s="116"/>
      <c r="AZ120" s="487"/>
      <c r="BA120" s="116"/>
      <c r="BB120" s="487"/>
      <c r="BC120" s="116"/>
      <c r="BD120" s="487"/>
      <c r="BE120" s="116"/>
      <c r="BF120" s="487"/>
      <c r="BG120" s="116"/>
      <c r="BH120" s="487">
        <v>2</v>
      </c>
      <c r="BI120" s="116">
        <v>1320000</v>
      </c>
      <c r="BJ120" s="487">
        <v>6</v>
      </c>
      <c r="BK120" s="116">
        <v>1320000</v>
      </c>
      <c r="BL120" s="487"/>
      <c r="BM120" s="116"/>
      <c r="BN120" s="487"/>
      <c r="BO120" s="116"/>
      <c r="BP120" s="487">
        <f t="shared" si="2"/>
        <v>91</v>
      </c>
      <c r="BQ120" s="116">
        <f t="shared" si="2"/>
        <v>13680000</v>
      </c>
    </row>
    <row r="121" spans="1:69">
      <c r="A121" s="488"/>
      <c r="B121" s="77" t="s">
        <v>3331</v>
      </c>
      <c r="C121" s="76" t="s">
        <v>2445</v>
      </c>
      <c r="D121" s="486">
        <v>12</v>
      </c>
      <c r="E121" s="117">
        <v>232352781.79068634</v>
      </c>
      <c r="F121" s="486">
        <v>1</v>
      </c>
      <c r="G121" s="117">
        <v>23400742.597825997</v>
      </c>
      <c r="H121" s="486">
        <v>34</v>
      </c>
      <c r="I121" s="117">
        <v>212351048.80046016</v>
      </c>
      <c r="J121" s="486"/>
      <c r="K121" s="117"/>
      <c r="L121" s="486">
        <v>167</v>
      </c>
      <c r="M121" s="117">
        <v>385883814.9789964</v>
      </c>
      <c r="N121" s="486"/>
      <c r="O121" s="117"/>
      <c r="P121" s="486">
        <v>932</v>
      </c>
      <c r="Q121" s="117">
        <v>802333626.59628761</v>
      </c>
      <c r="R121" s="486"/>
      <c r="S121" s="117"/>
      <c r="T121" s="486"/>
      <c r="U121" s="117"/>
      <c r="V121" s="486">
        <v>16</v>
      </c>
      <c r="W121" s="117">
        <v>296191753.59316409</v>
      </c>
      <c r="X121" s="486">
        <v>4</v>
      </c>
      <c r="Y121" s="117">
        <v>30836284.360040501</v>
      </c>
      <c r="Z121" s="486">
        <v>50</v>
      </c>
      <c r="AA121" s="117">
        <v>280997247.27093774</v>
      </c>
      <c r="AB121" s="486">
        <v>35</v>
      </c>
      <c r="AC121" s="117">
        <v>28846118.892449837</v>
      </c>
      <c r="AD121" s="486">
        <v>16</v>
      </c>
      <c r="AE121" s="117">
        <v>144467179.77882841</v>
      </c>
      <c r="AF121" s="486">
        <v>487</v>
      </c>
      <c r="AG121" s="117">
        <v>306678854.34754157</v>
      </c>
      <c r="AH121" s="486">
        <v>4</v>
      </c>
      <c r="AI121" s="117">
        <v>22058416.615388997</v>
      </c>
      <c r="AJ121" s="486"/>
      <c r="AK121" s="117"/>
      <c r="AL121" s="486">
        <v>1</v>
      </c>
      <c r="AM121" s="117">
        <v>8944745.2226403318</v>
      </c>
      <c r="AN121" s="486"/>
      <c r="AO121" s="117"/>
      <c r="AP121" s="486"/>
      <c r="AQ121" s="117"/>
      <c r="AR121" s="486">
        <v>6</v>
      </c>
      <c r="AS121" s="117">
        <v>12631826.223564168</v>
      </c>
      <c r="AT121" s="486"/>
      <c r="AU121" s="117"/>
      <c r="AV121" s="486">
        <v>48</v>
      </c>
      <c r="AW121" s="117">
        <v>38131222.714351252</v>
      </c>
      <c r="AX121" s="486"/>
      <c r="AY121" s="117"/>
      <c r="AZ121" s="486"/>
      <c r="BA121" s="117"/>
      <c r="BB121" s="486"/>
      <c r="BC121" s="117"/>
      <c r="BD121" s="486"/>
      <c r="BE121" s="117"/>
      <c r="BF121" s="486">
        <v>3</v>
      </c>
      <c r="BG121" s="117">
        <v>55056877.674999997</v>
      </c>
      <c r="BH121" s="486"/>
      <c r="BI121" s="117"/>
      <c r="BJ121" s="486"/>
      <c r="BK121" s="117"/>
      <c r="BL121" s="486">
        <v>16</v>
      </c>
      <c r="BM121" s="117">
        <v>11156122.704293417</v>
      </c>
      <c r="BN121" s="486"/>
      <c r="BO121" s="117"/>
      <c r="BP121" s="486">
        <f t="shared" si="2"/>
        <v>1832</v>
      </c>
      <c r="BQ121" s="117">
        <f t="shared" si="2"/>
        <v>2892318664.1624565</v>
      </c>
    </row>
    <row r="122" spans="1:69" ht="14.4">
      <c r="A122" s="779" t="s">
        <v>606</v>
      </c>
      <c r="B122" s="779"/>
      <c r="C122" s="779"/>
      <c r="D122" s="492">
        <f>SUM(D9:D121)</f>
        <v>1300</v>
      </c>
      <c r="E122" s="492">
        <f t="shared" ref="E122:BO122" si="3">SUM(E9:E112)</f>
        <v>62390791331.131981</v>
      </c>
      <c r="F122" s="492">
        <f>SUM(F9:F121)</f>
        <v>611</v>
      </c>
      <c r="G122" s="492">
        <f t="shared" si="3"/>
        <v>98381838433.221085</v>
      </c>
      <c r="H122" s="492">
        <f>SUM(H9:H121)</f>
        <v>4113</v>
      </c>
      <c r="I122" s="492">
        <f t="shared" si="3"/>
        <v>45744170088.047729</v>
      </c>
      <c r="J122" s="492">
        <f>SUM(J9:J121)</f>
        <v>1226</v>
      </c>
      <c r="K122" s="492">
        <f t="shared" si="3"/>
        <v>19829027896.374451</v>
      </c>
      <c r="L122" s="492">
        <f>SUM(L9:L121)</f>
        <v>20935</v>
      </c>
      <c r="M122" s="492">
        <f t="shared" si="3"/>
        <v>173634882764.86398</v>
      </c>
      <c r="N122" s="492">
        <f>SUM(N9:N121)</f>
        <v>1270</v>
      </c>
      <c r="O122" s="492">
        <f t="shared" si="3"/>
        <v>37898244711.837547</v>
      </c>
      <c r="P122" s="492">
        <f>SUM(P9:P121)</f>
        <v>27899</v>
      </c>
      <c r="Q122" s="492">
        <f t="shared" si="3"/>
        <v>142217500468.16342</v>
      </c>
      <c r="R122" s="492">
        <f>SUM(R9:R121)</f>
        <v>708</v>
      </c>
      <c r="S122" s="492">
        <f t="shared" si="3"/>
        <v>40332280889.305</v>
      </c>
      <c r="T122" s="492">
        <f>SUM(T9:T121)</f>
        <v>33</v>
      </c>
      <c r="U122" s="492">
        <f t="shared" si="3"/>
        <v>207686806</v>
      </c>
      <c r="V122" s="492">
        <f>SUM(V9:V121)</f>
        <v>55</v>
      </c>
      <c r="W122" s="492">
        <f t="shared" si="3"/>
        <v>393428132.05180198</v>
      </c>
      <c r="X122" s="492">
        <f>SUM(X9:X121)</f>
        <v>500</v>
      </c>
      <c r="Y122" s="492">
        <f t="shared" si="3"/>
        <v>1099897425.8</v>
      </c>
      <c r="Z122" s="492">
        <f>SUM(Z9:Z121)</f>
        <v>125</v>
      </c>
      <c r="AA122" s="492">
        <f t="shared" si="3"/>
        <v>1049588814.3200001</v>
      </c>
      <c r="AB122" s="492">
        <f>SUM(AB9:AB121)</f>
        <v>1968</v>
      </c>
      <c r="AC122" s="492">
        <f t="shared" si="3"/>
        <v>1795956279.0599999</v>
      </c>
      <c r="AD122" s="492">
        <f>SUM(AD9:AD121)</f>
        <v>279</v>
      </c>
      <c r="AE122" s="492">
        <f t="shared" si="3"/>
        <v>2679409530.3099999</v>
      </c>
      <c r="AF122" s="492">
        <f>SUM(AF9:AF121)</f>
        <v>15744</v>
      </c>
      <c r="AG122" s="492">
        <f t="shared" si="3"/>
        <v>43177471191.32</v>
      </c>
      <c r="AH122" s="492">
        <f>SUM(AH9:AH121)</f>
        <v>1956</v>
      </c>
      <c r="AI122" s="492">
        <f t="shared" si="3"/>
        <v>6692020883.4300003</v>
      </c>
      <c r="AJ122" s="492">
        <f>SUM(AJ9:AJ121)</f>
        <v>138</v>
      </c>
      <c r="AK122" s="492">
        <f t="shared" si="3"/>
        <v>4722909737.371686</v>
      </c>
      <c r="AL122" s="492">
        <f>SUM(AL9:AL121)</f>
        <v>32</v>
      </c>
      <c r="AM122" s="492">
        <f t="shared" si="3"/>
        <v>2499641073.25</v>
      </c>
      <c r="AN122" s="492">
        <f>SUM(AN9:AN121)</f>
        <v>329</v>
      </c>
      <c r="AO122" s="492">
        <f t="shared" si="3"/>
        <v>3683398798.0388069</v>
      </c>
      <c r="AP122" s="492">
        <f>SUM(AP9:AP121)</f>
        <v>77</v>
      </c>
      <c r="AQ122" s="492">
        <f t="shared" si="3"/>
        <v>1599448283.208668</v>
      </c>
      <c r="AR122" s="492">
        <f>SUM(AR9:AR121)</f>
        <v>1421</v>
      </c>
      <c r="AS122" s="492">
        <f t="shared" si="3"/>
        <v>7533345037.1500015</v>
      </c>
      <c r="AT122" s="492">
        <f>SUM(AT9:AT121)</f>
        <v>118</v>
      </c>
      <c r="AU122" s="492">
        <f t="shared" si="3"/>
        <v>5682702764.1038208</v>
      </c>
      <c r="AV122" s="492">
        <f>SUM(AV9:AV121)</f>
        <v>912</v>
      </c>
      <c r="AW122" s="492">
        <f>SUM(AW9:AW112)</f>
        <v>3496911179.4234381</v>
      </c>
      <c r="AX122" s="492">
        <f>SUM(AX9:AX121)</f>
        <v>39</v>
      </c>
      <c r="AY122" s="492">
        <f t="shared" si="3"/>
        <v>3243652868.2050004</v>
      </c>
      <c r="AZ122" s="493">
        <f t="shared" si="3"/>
        <v>2</v>
      </c>
      <c r="BA122" s="492">
        <f t="shared" si="3"/>
        <v>2554771</v>
      </c>
      <c r="BB122" s="493">
        <f t="shared" si="3"/>
        <v>7</v>
      </c>
      <c r="BC122" s="492">
        <f t="shared" si="3"/>
        <v>100846800</v>
      </c>
      <c r="BD122" s="492">
        <f>SUM(BD9:BD121)</f>
        <v>19</v>
      </c>
      <c r="BE122" s="492">
        <f t="shared" si="3"/>
        <v>79712716.25999999</v>
      </c>
      <c r="BF122" s="492">
        <f>SUM(BF9:BF121)</f>
        <v>19</v>
      </c>
      <c r="BG122" s="492">
        <f t="shared" si="3"/>
        <v>120488557.93000001</v>
      </c>
      <c r="BH122" s="492">
        <f>SUM(BH9:BH121)</f>
        <v>54</v>
      </c>
      <c r="BI122" s="492">
        <f t="shared" si="3"/>
        <v>517113658.65999997</v>
      </c>
      <c r="BJ122" s="492">
        <f>SUM(BJ9:BJ121)</f>
        <v>54</v>
      </c>
      <c r="BK122" s="492">
        <f t="shared" si="3"/>
        <v>447495103.898</v>
      </c>
      <c r="BL122" s="492">
        <f>SUM(BL9:BL121)</f>
        <v>1533</v>
      </c>
      <c r="BM122" s="492">
        <f t="shared" si="3"/>
        <v>1740746821.55</v>
      </c>
      <c r="BN122" s="492">
        <f>SUM(BN9:BN121)</f>
        <v>62</v>
      </c>
      <c r="BO122" s="492">
        <f t="shared" si="3"/>
        <v>205819839.94999999</v>
      </c>
      <c r="BP122" s="492">
        <f>SUM(BP9:BP121)</f>
        <v>83538</v>
      </c>
      <c r="BQ122" s="492">
        <f>SUM(BQ9:BQ121)</f>
        <v>728111416362.07898</v>
      </c>
    </row>
    <row r="125" spans="1:69" ht="16.2">
      <c r="A125" s="485" t="s">
        <v>6377</v>
      </c>
    </row>
    <row r="126" spans="1:69" ht="14.4">
      <c r="A126" s="546" t="s">
        <v>609</v>
      </c>
      <c r="B126" s="546" t="s">
        <v>610</v>
      </c>
      <c r="C126" s="785" t="s">
        <v>611</v>
      </c>
      <c r="D126" s="780" t="s">
        <v>6364</v>
      </c>
      <c r="E126" s="781"/>
      <c r="F126" s="781"/>
      <c r="G126" s="781"/>
      <c r="H126" s="781"/>
      <c r="I126" s="781"/>
      <c r="J126" s="781"/>
      <c r="K126" s="781"/>
      <c r="L126" s="781"/>
      <c r="M126" s="781"/>
      <c r="N126" s="781"/>
      <c r="O126" s="781"/>
      <c r="P126" s="781"/>
      <c r="Q126" s="781"/>
      <c r="R126" s="781"/>
      <c r="S126" s="782"/>
      <c r="T126" s="780" t="s">
        <v>6365</v>
      </c>
      <c r="U126" s="781"/>
      <c r="V126" s="781"/>
      <c r="W126" s="781"/>
      <c r="X126" s="781"/>
      <c r="Y126" s="781"/>
      <c r="Z126" s="781"/>
      <c r="AA126" s="781"/>
      <c r="AB126" s="781"/>
      <c r="AC126" s="781"/>
      <c r="AD126" s="781"/>
      <c r="AE126" s="781"/>
      <c r="AF126" s="781"/>
      <c r="AG126" s="781"/>
      <c r="AH126" s="781"/>
      <c r="AI126" s="782"/>
      <c r="AJ126" s="780" t="s">
        <v>6366</v>
      </c>
      <c r="AK126" s="781"/>
      <c r="AL126" s="781"/>
      <c r="AM126" s="781"/>
      <c r="AN126" s="781"/>
      <c r="AO126" s="781"/>
      <c r="AP126" s="781"/>
      <c r="AQ126" s="781"/>
      <c r="AR126" s="781"/>
      <c r="AS126" s="781"/>
      <c r="AT126" s="781"/>
      <c r="AU126" s="781"/>
      <c r="AV126" s="781"/>
      <c r="AW126" s="781"/>
      <c r="AX126" s="781"/>
      <c r="AY126" s="782"/>
      <c r="AZ126" s="780" t="s">
        <v>6367</v>
      </c>
      <c r="BA126" s="781"/>
      <c r="BB126" s="781"/>
      <c r="BC126" s="781"/>
      <c r="BD126" s="781"/>
      <c r="BE126" s="781"/>
      <c r="BF126" s="781"/>
      <c r="BG126" s="781"/>
      <c r="BH126" s="781"/>
      <c r="BI126" s="781"/>
      <c r="BJ126" s="781"/>
      <c r="BK126" s="781"/>
      <c r="BL126" s="781"/>
      <c r="BM126" s="781"/>
      <c r="BN126" s="781"/>
      <c r="BO126" s="782"/>
      <c r="BP126" s="783" t="s">
        <v>6368</v>
      </c>
      <c r="BQ126" s="785" t="s">
        <v>6369</v>
      </c>
    </row>
    <row r="127" spans="1:69">
      <c r="A127" s="546"/>
      <c r="B127" s="546"/>
      <c r="C127" s="785"/>
      <c r="D127" s="774" t="s">
        <v>6370</v>
      </c>
      <c r="E127" s="775"/>
      <c r="F127" s="775"/>
      <c r="G127" s="776"/>
      <c r="H127" s="774" t="s">
        <v>6371</v>
      </c>
      <c r="I127" s="775"/>
      <c r="J127" s="775"/>
      <c r="K127" s="776"/>
      <c r="L127" s="774" t="s">
        <v>6372</v>
      </c>
      <c r="M127" s="775"/>
      <c r="N127" s="775"/>
      <c r="O127" s="776"/>
      <c r="P127" s="774" t="s">
        <v>6373</v>
      </c>
      <c r="Q127" s="775"/>
      <c r="R127" s="775"/>
      <c r="S127" s="776"/>
      <c r="T127" s="774" t="s">
        <v>6370</v>
      </c>
      <c r="U127" s="775"/>
      <c r="V127" s="775"/>
      <c r="W127" s="776"/>
      <c r="X127" s="774" t="s">
        <v>6371</v>
      </c>
      <c r="Y127" s="775"/>
      <c r="Z127" s="775"/>
      <c r="AA127" s="776"/>
      <c r="AB127" s="774" t="s">
        <v>6372</v>
      </c>
      <c r="AC127" s="775"/>
      <c r="AD127" s="775"/>
      <c r="AE127" s="776"/>
      <c r="AF127" s="774" t="s">
        <v>6373</v>
      </c>
      <c r="AG127" s="775"/>
      <c r="AH127" s="775"/>
      <c r="AI127" s="776"/>
      <c r="AJ127" s="774" t="s">
        <v>6370</v>
      </c>
      <c r="AK127" s="775"/>
      <c r="AL127" s="775"/>
      <c r="AM127" s="776"/>
      <c r="AN127" s="774" t="s">
        <v>6371</v>
      </c>
      <c r="AO127" s="775"/>
      <c r="AP127" s="775"/>
      <c r="AQ127" s="776"/>
      <c r="AR127" s="774" t="s">
        <v>6372</v>
      </c>
      <c r="AS127" s="775"/>
      <c r="AT127" s="775"/>
      <c r="AU127" s="776"/>
      <c r="AV127" s="774" t="s">
        <v>6373</v>
      </c>
      <c r="AW127" s="775"/>
      <c r="AX127" s="775"/>
      <c r="AY127" s="776"/>
      <c r="AZ127" s="774" t="s">
        <v>6370</v>
      </c>
      <c r="BA127" s="775"/>
      <c r="BB127" s="775"/>
      <c r="BC127" s="776"/>
      <c r="BD127" s="774" t="s">
        <v>6371</v>
      </c>
      <c r="BE127" s="775"/>
      <c r="BF127" s="775"/>
      <c r="BG127" s="776"/>
      <c r="BH127" s="774" t="s">
        <v>6372</v>
      </c>
      <c r="BI127" s="775"/>
      <c r="BJ127" s="775"/>
      <c r="BK127" s="776"/>
      <c r="BL127" s="774" t="s">
        <v>6373</v>
      </c>
      <c r="BM127" s="775"/>
      <c r="BN127" s="775"/>
      <c r="BO127" s="776"/>
      <c r="BP127" s="783"/>
      <c r="BQ127" s="785"/>
    </row>
    <row r="128" spans="1:69">
      <c r="A128" s="547"/>
      <c r="B128" s="547"/>
      <c r="C128" s="786"/>
      <c r="D128" s="777" t="s">
        <v>6022</v>
      </c>
      <c r="E128" s="778"/>
      <c r="F128" s="777" t="s">
        <v>6374</v>
      </c>
      <c r="G128" s="778"/>
      <c r="H128" s="777" t="s">
        <v>6022</v>
      </c>
      <c r="I128" s="778"/>
      <c r="J128" s="777" t="s">
        <v>6374</v>
      </c>
      <c r="K128" s="778"/>
      <c r="L128" s="777" t="s">
        <v>6022</v>
      </c>
      <c r="M128" s="778"/>
      <c r="N128" s="777" t="s">
        <v>6374</v>
      </c>
      <c r="O128" s="778"/>
      <c r="P128" s="777" t="s">
        <v>6022</v>
      </c>
      <c r="Q128" s="778"/>
      <c r="R128" s="777" t="s">
        <v>6374</v>
      </c>
      <c r="S128" s="778"/>
      <c r="T128" s="777" t="s">
        <v>6022</v>
      </c>
      <c r="U128" s="778"/>
      <c r="V128" s="777" t="s">
        <v>6374</v>
      </c>
      <c r="W128" s="778"/>
      <c r="X128" s="777" t="s">
        <v>6022</v>
      </c>
      <c r="Y128" s="778"/>
      <c r="Z128" s="777" t="s">
        <v>6374</v>
      </c>
      <c r="AA128" s="778"/>
      <c r="AB128" s="777" t="s">
        <v>6022</v>
      </c>
      <c r="AC128" s="778"/>
      <c r="AD128" s="777" t="s">
        <v>6374</v>
      </c>
      <c r="AE128" s="778"/>
      <c r="AF128" s="777" t="s">
        <v>6022</v>
      </c>
      <c r="AG128" s="778"/>
      <c r="AH128" s="777" t="s">
        <v>6374</v>
      </c>
      <c r="AI128" s="778"/>
      <c r="AJ128" s="777" t="s">
        <v>6022</v>
      </c>
      <c r="AK128" s="778"/>
      <c r="AL128" s="777" t="s">
        <v>6374</v>
      </c>
      <c r="AM128" s="778"/>
      <c r="AN128" s="777" t="s">
        <v>6022</v>
      </c>
      <c r="AO128" s="778"/>
      <c r="AP128" s="777" t="s">
        <v>6374</v>
      </c>
      <c r="AQ128" s="778"/>
      <c r="AR128" s="777" t="s">
        <v>6022</v>
      </c>
      <c r="AS128" s="778"/>
      <c r="AT128" s="777" t="s">
        <v>6374</v>
      </c>
      <c r="AU128" s="778"/>
      <c r="AV128" s="777" t="s">
        <v>6022</v>
      </c>
      <c r="AW128" s="778"/>
      <c r="AX128" s="777" t="s">
        <v>6374</v>
      </c>
      <c r="AY128" s="778"/>
      <c r="AZ128" s="777" t="s">
        <v>6022</v>
      </c>
      <c r="BA128" s="778"/>
      <c r="BB128" s="777" t="s">
        <v>6374</v>
      </c>
      <c r="BC128" s="778"/>
      <c r="BD128" s="777" t="s">
        <v>6022</v>
      </c>
      <c r="BE128" s="778"/>
      <c r="BF128" s="777" t="s">
        <v>6374</v>
      </c>
      <c r="BG128" s="778"/>
      <c r="BH128" s="777" t="s">
        <v>6022</v>
      </c>
      <c r="BI128" s="778"/>
      <c r="BJ128" s="777" t="s">
        <v>6374</v>
      </c>
      <c r="BK128" s="778"/>
      <c r="BL128" s="777" t="s">
        <v>6022</v>
      </c>
      <c r="BM128" s="778"/>
      <c r="BN128" s="777" t="s">
        <v>6374</v>
      </c>
      <c r="BO128" s="778"/>
      <c r="BP128" s="784"/>
      <c r="BQ128" s="786"/>
    </row>
    <row r="129" spans="1:69">
      <c r="A129" s="76">
        <v>1</v>
      </c>
      <c r="B129" s="77" t="s">
        <v>1023</v>
      </c>
      <c r="C129" s="76" t="s">
        <v>1024</v>
      </c>
      <c r="D129" s="486">
        <v>10</v>
      </c>
      <c r="E129" s="117"/>
      <c r="F129" s="486"/>
      <c r="G129" s="117"/>
      <c r="H129" s="486">
        <v>40</v>
      </c>
      <c r="I129" s="117"/>
      <c r="J129" s="486"/>
      <c r="K129" s="117"/>
      <c r="L129" s="486">
        <v>5</v>
      </c>
      <c r="M129" s="117"/>
      <c r="N129" s="486"/>
      <c r="O129" s="117"/>
      <c r="P129" s="486">
        <v>1</v>
      </c>
      <c r="Q129" s="117"/>
      <c r="R129" s="486"/>
      <c r="S129" s="117"/>
      <c r="T129" s="486"/>
      <c r="U129" s="117"/>
      <c r="V129" s="486"/>
      <c r="W129" s="117"/>
      <c r="X129" s="486">
        <v>24</v>
      </c>
      <c r="Y129" s="117"/>
      <c r="Z129" s="486"/>
      <c r="AA129" s="117"/>
      <c r="AB129" s="486">
        <v>65</v>
      </c>
      <c r="AC129" s="117"/>
      <c r="AD129" s="486"/>
      <c r="AE129" s="117"/>
      <c r="AF129" s="486">
        <v>132</v>
      </c>
      <c r="AG129" s="117"/>
      <c r="AH129" s="486"/>
      <c r="AI129" s="117"/>
      <c r="AJ129" s="486"/>
      <c r="AK129" s="117"/>
      <c r="AL129" s="486"/>
      <c r="AM129" s="117"/>
      <c r="AN129" s="486">
        <v>3</v>
      </c>
      <c r="AO129" s="117"/>
      <c r="AP129" s="486"/>
      <c r="AQ129" s="117"/>
      <c r="AR129" s="486">
        <v>4</v>
      </c>
      <c r="AS129" s="117"/>
      <c r="AT129" s="486"/>
      <c r="AU129" s="117"/>
      <c r="AV129" s="486"/>
      <c r="AW129" s="117"/>
      <c r="AX129" s="486"/>
      <c r="AY129" s="117"/>
      <c r="AZ129" s="486"/>
      <c r="BA129" s="117"/>
      <c r="BB129" s="486"/>
      <c r="BC129" s="117"/>
      <c r="BD129" s="486"/>
      <c r="BE129" s="117"/>
      <c r="BF129" s="486"/>
      <c r="BG129" s="117"/>
      <c r="BH129" s="486"/>
      <c r="BI129" s="117"/>
      <c r="BJ129" s="486"/>
      <c r="BK129" s="117"/>
      <c r="BL129" s="486">
        <v>1</v>
      </c>
      <c r="BM129" s="117"/>
      <c r="BN129" s="486"/>
      <c r="BO129" s="117"/>
      <c r="BP129" s="486">
        <f>BN129+BL129+BJ129+BH129+BF129+BD129+BB129+AZ129+AX129+AV129+AT129+AR129+AP129+AN129+AL129+AJ129+AH129+AF129+AD129+AB129+Z129+X129+V129+T129+R129+P129+N129+L129+J129+H129+F129+D129</f>
        <v>285</v>
      </c>
      <c r="BQ129" s="117">
        <f>BO129+BM129+BK129+BI129+BG129+BE129+BC129+BA129+AY129+AW129+AU129+AS129+AQ129+AO129+AM129+AK129+AI129+AG129+AE129+AC129+AA129+Y129+W129+U129+S129+Q129+O129+M129+K129+I129+G129+E129</f>
        <v>0</v>
      </c>
    </row>
    <row r="130" spans="1:69">
      <c r="A130" s="74">
        <v>2</v>
      </c>
      <c r="B130" s="73" t="s">
        <v>1027</v>
      </c>
      <c r="C130" s="74" t="s">
        <v>1028</v>
      </c>
      <c r="D130" s="487"/>
      <c r="E130" s="116"/>
      <c r="F130" s="487"/>
      <c r="G130" s="116"/>
      <c r="H130" s="487"/>
      <c r="I130" s="116"/>
      <c r="J130" s="487"/>
      <c r="K130" s="116"/>
      <c r="L130" s="487"/>
      <c r="M130" s="116"/>
      <c r="N130" s="487"/>
      <c r="O130" s="116"/>
      <c r="P130" s="487"/>
      <c r="Q130" s="116"/>
      <c r="R130" s="487"/>
      <c r="S130" s="116"/>
      <c r="T130" s="487"/>
      <c r="U130" s="116"/>
      <c r="V130" s="487"/>
      <c r="W130" s="116"/>
      <c r="X130" s="487"/>
      <c r="Y130" s="116"/>
      <c r="Z130" s="487"/>
      <c r="AA130" s="116"/>
      <c r="AB130" s="487"/>
      <c r="AC130" s="116"/>
      <c r="AD130" s="487"/>
      <c r="AE130" s="116"/>
      <c r="AF130" s="487"/>
      <c r="AG130" s="116"/>
      <c r="AH130" s="487"/>
      <c r="AI130" s="116"/>
      <c r="AJ130" s="487"/>
      <c r="AK130" s="116"/>
      <c r="AL130" s="487"/>
      <c r="AM130" s="116"/>
      <c r="AN130" s="487"/>
      <c r="AO130" s="116"/>
      <c r="AP130" s="487"/>
      <c r="AQ130" s="116"/>
      <c r="AR130" s="487"/>
      <c r="AS130" s="116"/>
      <c r="AT130" s="487"/>
      <c r="AU130" s="116"/>
      <c r="AV130" s="487"/>
      <c r="AW130" s="116"/>
      <c r="AX130" s="487"/>
      <c r="AY130" s="116"/>
      <c r="AZ130" s="487"/>
      <c r="BA130" s="116"/>
      <c r="BB130" s="487"/>
      <c r="BC130" s="116"/>
      <c r="BD130" s="487"/>
      <c r="BE130" s="116"/>
      <c r="BF130" s="487"/>
      <c r="BG130" s="116"/>
      <c r="BH130" s="487"/>
      <c r="BI130" s="116"/>
      <c r="BJ130" s="487"/>
      <c r="BK130" s="116"/>
      <c r="BL130" s="487"/>
      <c r="BM130" s="116"/>
      <c r="BN130" s="487"/>
      <c r="BO130" s="116"/>
      <c r="BP130" s="487">
        <f t="shared" ref="BP130:BQ135" si="4">BN130+BL130+BJ130+BH130+BF130+BD130+BB130+AZ130+AX130+AV130+AT130+AR130+AP130+AN130+AL130+AJ130+AH130+AF130+AD130+AB130+Z130+X130+V130+T130+R130+P130+N130+L130+J130+H130+F130+D130</f>
        <v>0</v>
      </c>
      <c r="BQ130" s="116">
        <f t="shared" si="4"/>
        <v>0</v>
      </c>
    </row>
    <row r="131" spans="1:69">
      <c r="A131" s="76">
        <v>3</v>
      </c>
      <c r="B131" s="77" t="s">
        <v>1029</v>
      </c>
      <c r="C131" s="76" t="s">
        <v>1030</v>
      </c>
      <c r="D131" s="486"/>
      <c r="E131" s="486"/>
      <c r="F131" s="486"/>
      <c r="G131" s="486"/>
      <c r="H131" s="486"/>
      <c r="I131" s="486"/>
      <c r="J131" s="486"/>
      <c r="K131" s="486"/>
      <c r="L131" s="486"/>
      <c r="M131" s="486"/>
      <c r="N131" s="486"/>
      <c r="O131" s="486"/>
      <c r="P131" s="486"/>
      <c r="Q131" s="486"/>
      <c r="R131" s="486"/>
      <c r="S131" s="486"/>
      <c r="T131" s="486"/>
      <c r="U131" s="486"/>
      <c r="V131" s="486"/>
      <c r="W131" s="486"/>
      <c r="X131" s="486"/>
      <c r="Y131" s="486"/>
      <c r="Z131" s="486"/>
      <c r="AA131" s="486"/>
      <c r="AB131" s="486"/>
      <c r="AC131" s="486"/>
      <c r="AD131" s="486"/>
      <c r="AE131" s="486"/>
      <c r="AF131" s="486"/>
      <c r="AG131" s="486"/>
      <c r="AH131" s="486"/>
      <c r="AI131" s="486"/>
      <c r="AJ131" s="486"/>
      <c r="AK131" s="486"/>
      <c r="AL131" s="486"/>
      <c r="AM131" s="486"/>
      <c r="AN131" s="486"/>
      <c r="AO131" s="486"/>
      <c r="AP131" s="486"/>
      <c r="AQ131" s="486"/>
      <c r="AR131" s="486"/>
      <c r="AS131" s="486"/>
      <c r="AT131" s="486"/>
      <c r="AU131" s="486"/>
      <c r="AV131" s="486"/>
      <c r="AW131" s="486"/>
      <c r="AX131" s="486"/>
      <c r="AY131" s="486"/>
      <c r="AZ131" s="486"/>
      <c r="BA131" s="486"/>
      <c r="BB131" s="486"/>
      <c r="BC131" s="486"/>
      <c r="BD131" s="486"/>
      <c r="BE131" s="486"/>
      <c r="BF131" s="486"/>
      <c r="BG131" s="486"/>
      <c r="BH131" s="486"/>
      <c r="BI131" s="486"/>
      <c r="BJ131" s="486"/>
      <c r="BK131" s="486"/>
      <c r="BL131" s="486"/>
      <c r="BM131" s="486"/>
      <c r="BN131" s="486"/>
      <c r="BO131" s="486"/>
      <c r="BP131" s="486">
        <f t="shared" si="4"/>
        <v>0</v>
      </c>
      <c r="BQ131" s="117">
        <f t="shared" si="4"/>
        <v>0</v>
      </c>
    </row>
    <row r="132" spans="1:69">
      <c r="A132" s="74">
        <v>4</v>
      </c>
      <c r="B132" s="73" t="s">
        <v>1032</v>
      </c>
      <c r="C132" s="74" t="s">
        <v>1033</v>
      </c>
      <c r="D132" s="487">
        <v>7</v>
      </c>
      <c r="E132" s="116"/>
      <c r="F132" s="487"/>
      <c r="G132" s="116"/>
      <c r="H132" s="487">
        <v>46</v>
      </c>
      <c r="I132" s="116"/>
      <c r="J132" s="487"/>
      <c r="K132" s="116"/>
      <c r="L132" s="487">
        <v>7</v>
      </c>
      <c r="M132" s="116"/>
      <c r="N132" s="487"/>
      <c r="O132" s="116"/>
      <c r="P132" s="487">
        <v>1</v>
      </c>
      <c r="Q132" s="116"/>
      <c r="R132" s="487"/>
      <c r="S132" s="116"/>
      <c r="T132" s="487"/>
      <c r="U132" s="116"/>
      <c r="V132" s="487"/>
      <c r="W132" s="116"/>
      <c r="X132" s="487">
        <v>47</v>
      </c>
      <c r="Y132" s="116"/>
      <c r="Z132" s="487"/>
      <c r="AA132" s="116"/>
      <c r="AB132" s="487">
        <v>130</v>
      </c>
      <c r="AC132" s="116"/>
      <c r="AD132" s="487"/>
      <c r="AE132" s="116"/>
      <c r="AF132" s="487">
        <v>568</v>
      </c>
      <c r="AG132" s="116"/>
      <c r="AH132" s="487"/>
      <c r="AI132" s="116"/>
      <c r="AJ132" s="487">
        <v>1</v>
      </c>
      <c r="AK132" s="116"/>
      <c r="AL132" s="487"/>
      <c r="AM132" s="116"/>
      <c r="AN132" s="487">
        <v>2</v>
      </c>
      <c r="AO132" s="116"/>
      <c r="AP132" s="487"/>
      <c r="AQ132" s="116"/>
      <c r="AR132" s="487">
        <v>2</v>
      </c>
      <c r="AS132" s="116"/>
      <c r="AT132" s="487"/>
      <c r="AU132" s="116"/>
      <c r="AV132" s="487"/>
      <c r="AW132" s="116"/>
      <c r="AX132" s="487"/>
      <c r="AY132" s="116"/>
      <c r="AZ132" s="487"/>
      <c r="BA132" s="116"/>
      <c r="BB132" s="487"/>
      <c r="BC132" s="116"/>
      <c r="BD132" s="487">
        <v>2</v>
      </c>
      <c r="BE132" s="116"/>
      <c r="BF132" s="487"/>
      <c r="BG132" s="116"/>
      <c r="BH132" s="487">
        <v>13</v>
      </c>
      <c r="BI132" s="116"/>
      <c r="BJ132" s="487"/>
      <c r="BK132" s="116"/>
      <c r="BL132" s="487">
        <v>2</v>
      </c>
      <c r="BM132" s="116"/>
      <c r="BN132" s="487"/>
      <c r="BO132" s="116"/>
      <c r="BP132" s="487">
        <f t="shared" si="4"/>
        <v>828</v>
      </c>
      <c r="BQ132" s="116">
        <f t="shared" si="4"/>
        <v>0</v>
      </c>
    </row>
    <row r="133" spans="1:69">
      <c r="A133" s="76">
        <v>5</v>
      </c>
      <c r="B133" s="77" t="s">
        <v>1035</v>
      </c>
      <c r="C133" s="76" t="s">
        <v>1036</v>
      </c>
      <c r="D133" s="486"/>
      <c r="E133" s="117"/>
      <c r="F133" s="486"/>
      <c r="G133" s="117"/>
      <c r="H133" s="486"/>
      <c r="I133" s="117"/>
      <c r="J133" s="486"/>
      <c r="K133" s="117"/>
      <c r="L133" s="486"/>
      <c r="M133" s="117"/>
      <c r="N133" s="486"/>
      <c r="O133" s="117"/>
      <c r="P133" s="486"/>
      <c r="Q133" s="117"/>
      <c r="R133" s="486"/>
      <c r="S133" s="117"/>
      <c r="T133" s="486"/>
      <c r="U133" s="117"/>
      <c r="V133" s="486"/>
      <c r="W133" s="117"/>
      <c r="X133" s="486"/>
      <c r="Y133" s="117"/>
      <c r="Z133" s="486"/>
      <c r="AA133" s="117"/>
      <c r="AB133" s="486"/>
      <c r="AC133" s="117"/>
      <c r="AD133" s="486"/>
      <c r="AE133" s="117"/>
      <c r="AF133" s="486"/>
      <c r="AG133" s="117"/>
      <c r="AH133" s="486"/>
      <c r="AI133" s="117"/>
      <c r="AJ133" s="486"/>
      <c r="AK133" s="117"/>
      <c r="AL133" s="486"/>
      <c r="AM133" s="117"/>
      <c r="AN133" s="486"/>
      <c r="AO133" s="117"/>
      <c r="AP133" s="486"/>
      <c r="AQ133" s="117"/>
      <c r="AR133" s="486"/>
      <c r="AS133" s="117"/>
      <c r="AT133" s="486"/>
      <c r="AU133" s="117"/>
      <c r="AV133" s="486"/>
      <c r="AW133" s="117"/>
      <c r="AX133" s="486"/>
      <c r="AY133" s="117"/>
      <c r="AZ133" s="486"/>
      <c r="BA133" s="117"/>
      <c r="BB133" s="486"/>
      <c r="BC133" s="117"/>
      <c r="BD133" s="486"/>
      <c r="BE133" s="117"/>
      <c r="BF133" s="486"/>
      <c r="BG133" s="117"/>
      <c r="BH133" s="486"/>
      <c r="BI133" s="117"/>
      <c r="BJ133" s="486"/>
      <c r="BK133" s="117"/>
      <c r="BL133" s="486"/>
      <c r="BM133" s="117"/>
      <c r="BN133" s="486"/>
      <c r="BO133" s="117"/>
      <c r="BP133" s="486">
        <f t="shared" si="4"/>
        <v>0</v>
      </c>
      <c r="BQ133" s="117">
        <f t="shared" si="4"/>
        <v>0</v>
      </c>
    </row>
    <row r="134" spans="1:69">
      <c r="A134" s="74">
        <v>6</v>
      </c>
      <c r="B134" s="73" t="s">
        <v>1039</v>
      </c>
      <c r="C134" s="74" t="s">
        <v>1040</v>
      </c>
      <c r="D134" s="487"/>
      <c r="E134" s="116"/>
      <c r="F134" s="487"/>
      <c r="G134" s="116"/>
      <c r="H134" s="487"/>
      <c r="I134" s="116"/>
      <c r="J134" s="487"/>
      <c r="K134" s="116"/>
      <c r="L134" s="487">
        <v>1</v>
      </c>
      <c r="M134" s="116">
        <v>1925369.0159999998</v>
      </c>
      <c r="N134" s="487"/>
      <c r="O134" s="116"/>
      <c r="P134" s="487"/>
      <c r="Q134" s="116"/>
      <c r="R134" s="487"/>
      <c r="S134" s="116"/>
      <c r="T134" s="487"/>
      <c r="U134" s="116"/>
      <c r="V134" s="487"/>
      <c r="W134" s="116"/>
      <c r="X134" s="487">
        <v>4</v>
      </c>
      <c r="Y134" s="116">
        <v>25722499.309999999</v>
      </c>
      <c r="Z134" s="487"/>
      <c r="AA134" s="116"/>
      <c r="AB134" s="487"/>
      <c r="AC134" s="116"/>
      <c r="AD134" s="487"/>
      <c r="AE134" s="116"/>
      <c r="AF134" s="487"/>
      <c r="AG134" s="116"/>
      <c r="AH134" s="487"/>
      <c r="AI134" s="116"/>
      <c r="AJ134" s="487">
        <v>1</v>
      </c>
      <c r="AK134" s="116">
        <v>9503429.1600000001</v>
      </c>
      <c r="AL134" s="487"/>
      <c r="AM134" s="116"/>
      <c r="AN134" s="487"/>
      <c r="AO134" s="116"/>
      <c r="AP134" s="487"/>
      <c r="AQ134" s="116"/>
      <c r="AR134" s="487"/>
      <c r="AS134" s="116"/>
      <c r="AT134" s="487"/>
      <c r="AU134" s="116"/>
      <c r="AV134" s="487"/>
      <c r="AW134" s="116"/>
      <c r="AX134" s="487"/>
      <c r="AY134" s="116"/>
      <c r="AZ134" s="487"/>
      <c r="BA134" s="116"/>
      <c r="BB134" s="487"/>
      <c r="BC134" s="116"/>
      <c r="BD134" s="487"/>
      <c r="BE134" s="116"/>
      <c r="BF134" s="487"/>
      <c r="BG134" s="116"/>
      <c r="BH134" s="487"/>
      <c r="BI134" s="116"/>
      <c r="BJ134" s="487"/>
      <c r="BK134" s="116"/>
      <c r="BL134" s="487"/>
      <c r="BM134" s="116"/>
      <c r="BN134" s="487"/>
      <c r="BO134" s="116"/>
      <c r="BP134" s="487">
        <f t="shared" si="4"/>
        <v>6</v>
      </c>
      <c r="BQ134" s="116">
        <f t="shared" si="4"/>
        <v>37151297.486000001</v>
      </c>
    </row>
    <row r="135" spans="1:69">
      <c r="A135" s="76">
        <v>7</v>
      </c>
      <c r="B135" s="77" t="s">
        <v>1051</v>
      </c>
      <c r="C135" s="76" t="s">
        <v>1052</v>
      </c>
      <c r="D135" s="486">
        <v>16</v>
      </c>
      <c r="E135" s="117">
        <v>8433505084.4700003</v>
      </c>
      <c r="F135" s="486"/>
      <c r="G135" s="117"/>
      <c r="H135" s="486">
        <v>57</v>
      </c>
      <c r="I135" s="117"/>
      <c r="J135" s="486"/>
      <c r="K135" s="117"/>
      <c r="L135" s="486">
        <v>71</v>
      </c>
      <c r="M135" s="117"/>
      <c r="N135" s="486"/>
      <c r="O135" s="117"/>
      <c r="P135" s="486">
        <v>115</v>
      </c>
      <c r="Q135" s="117"/>
      <c r="R135" s="486"/>
      <c r="S135" s="117"/>
      <c r="T135" s="486">
        <v>2</v>
      </c>
      <c r="U135" s="117"/>
      <c r="V135" s="486"/>
      <c r="W135" s="117"/>
      <c r="X135" s="486">
        <v>2</v>
      </c>
      <c r="Y135" s="117"/>
      <c r="Z135" s="486"/>
      <c r="AA135" s="117"/>
      <c r="AB135" s="486">
        <v>2</v>
      </c>
      <c r="AC135" s="117"/>
      <c r="AD135" s="486"/>
      <c r="AE135" s="117"/>
      <c r="AF135" s="486">
        <v>3</v>
      </c>
      <c r="AG135" s="117"/>
      <c r="AH135" s="486"/>
      <c r="AI135" s="117"/>
      <c r="AJ135" s="486">
        <v>4</v>
      </c>
      <c r="AK135" s="117"/>
      <c r="AL135" s="486"/>
      <c r="AM135" s="117"/>
      <c r="AN135" s="486">
        <v>28</v>
      </c>
      <c r="AO135" s="117"/>
      <c r="AP135" s="486"/>
      <c r="AQ135" s="117"/>
      <c r="AR135" s="486">
        <v>33</v>
      </c>
      <c r="AS135" s="117"/>
      <c r="AT135" s="486"/>
      <c r="AU135" s="117"/>
      <c r="AV135" s="486">
        <v>16</v>
      </c>
      <c r="AW135" s="117"/>
      <c r="AX135" s="486"/>
      <c r="AY135" s="117"/>
      <c r="AZ135" s="486"/>
      <c r="BA135" s="117"/>
      <c r="BB135" s="486"/>
      <c r="BC135" s="117"/>
      <c r="BD135" s="486">
        <v>1</v>
      </c>
      <c r="BE135" s="117"/>
      <c r="BF135" s="486"/>
      <c r="BG135" s="117"/>
      <c r="BH135" s="486">
        <v>3</v>
      </c>
      <c r="BI135" s="117"/>
      <c r="BJ135" s="486"/>
      <c r="BK135" s="117"/>
      <c r="BL135" s="486"/>
      <c r="BM135" s="117"/>
      <c r="BN135" s="486"/>
      <c r="BO135" s="117"/>
      <c r="BP135" s="486">
        <f t="shared" si="4"/>
        <v>353</v>
      </c>
      <c r="BQ135" s="117">
        <f t="shared" si="4"/>
        <v>8433505084.4700003</v>
      </c>
    </row>
    <row r="136" spans="1:69" ht="14.4">
      <c r="A136" s="779" t="s">
        <v>606</v>
      </c>
      <c r="B136" s="779"/>
      <c r="C136" s="779"/>
      <c r="D136" s="492">
        <f t="shared" ref="D136:BO136" si="5">SUM(D129:D135)</f>
        <v>33</v>
      </c>
      <c r="E136" s="492">
        <f t="shared" si="5"/>
        <v>8433505084.4700003</v>
      </c>
      <c r="F136" s="492">
        <f t="shared" si="5"/>
        <v>0</v>
      </c>
      <c r="G136" s="492">
        <f t="shared" si="5"/>
        <v>0</v>
      </c>
      <c r="H136" s="492">
        <f t="shared" si="5"/>
        <v>143</v>
      </c>
      <c r="I136" s="492">
        <f t="shared" si="5"/>
        <v>0</v>
      </c>
      <c r="J136" s="492">
        <f t="shared" si="5"/>
        <v>0</v>
      </c>
      <c r="K136" s="492">
        <f t="shared" si="5"/>
        <v>0</v>
      </c>
      <c r="L136" s="492">
        <f t="shared" si="5"/>
        <v>84</v>
      </c>
      <c r="M136" s="492">
        <f t="shared" si="5"/>
        <v>1925369.0159999998</v>
      </c>
      <c r="N136" s="492">
        <f t="shared" si="5"/>
        <v>0</v>
      </c>
      <c r="O136" s="492">
        <f t="shared" si="5"/>
        <v>0</v>
      </c>
      <c r="P136" s="492">
        <f t="shared" si="5"/>
        <v>117</v>
      </c>
      <c r="Q136" s="492">
        <f t="shared" si="5"/>
        <v>0</v>
      </c>
      <c r="R136" s="492">
        <f t="shared" si="5"/>
        <v>0</v>
      </c>
      <c r="S136" s="492">
        <f t="shared" si="5"/>
        <v>0</v>
      </c>
      <c r="T136" s="492">
        <f t="shared" si="5"/>
        <v>2</v>
      </c>
      <c r="U136" s="492">
        <f t="shared" si="5"/>
        <v>0</v>
      </c>
      <c r="V136" s="492">
        <f t="shared" si="5"/>
        <v>0</v>
      </c>
      <c r="W136" s="492">
        <f t="shared" si="5"/>
        <v>0</v>
      </c>
      <c r="X136" s="492">
        <f t="shared" si="5"/>
        <v>77</v>
      </c>
      <c r="Y136" s="492">
        <f t="shared" si="5"/>
        <v>25722499.309999999</v>
      </c>
      <c r="Z136" s="492">
        <f t="shared" si="5"/>
        <v>0</v>
      </c>
      <c r="AA136" s="492">
        <f t="shared" si="5"/>
        <v>0</v>
      </c>
      <c r="AB136" s="492">
        <f t="shared" si="5"/>
        <v>197</v>
      </c>
      <c r="AC136" s="492">
        <f t="shared" si="5"/>
        <v>0</v>
      </c>
      <c r="AD136" s="492">
        <f t="shared" si="5"/>
        <v>0</v>
      </c>
      <c r="AE136" s="492">
        <f t="shared" si="5"/>
        <v>0</v>
      </c>
      <c r="AF136" s="492">
        <f t="shared" si="5"/>
        <v>703</v>
      </c>
      <c r="AG136" s="492">
        <f t="shared" si="5"/>
        <v>0</v>
      </c>
      <c r="AH136" s="492">
        <f t="shared" si="5"/>
        <v>0</v>
      </c>
      <c r="AI136" s="492">
        <f t="shared" si="5"/>
        <v>0</v>
      </c>
      <c r="AJ136" s="493">
        <f t="shared" si="5"/>
        <v>6</v>
      </c>
      <c r="AK136" s="492">
        <f t="shared" si="5"/>
        <v>9503429.1600000001</v>
      </c>
      <c r="AL136" s="493">
        <f t="shared" si="5"/>
        <v>0</v>
      </c>
      <c r="AM136" s="492">
        <f t="shared" si="5"/>
        <v>0</v>
      </c>
      <c r="AN136" s="493">
        <f t="shared" si="5"/>
        <v>33</v>
      </c>
      <c r="AO136" s="492">
        <f t="shared" si="5"/>
        <v>0</v>
      </c>
      <c r="AP136" s="493">
        <f t="shared" si="5"/>
        <v>0</v>
      </c>
      <c r="AQ136" s="492">
        <f t="shared" si="5"/>
        <v>0</v>
      </c>
      <c r="AR136" s="493">
        <f t="shared" si="5"/>
        <v>39</v>
      </c>
      <c r="AS136" s="492">
        <f t="shared" si="5"/>
        <v>0</v>
      </c>
      <c r="AT136" s="493">
        <f t="shared" si="5"/>
        <v>0</v>
      </c>
      <c r="AU136" s="492">
        <f t="shared" si="5"/>
        <v>0</v>
      </c>
      <c r="AV136" s="493">
        <f t="shared" si="5"/>
        <v>16</v>
      </c>
      <c r="AW136" s="492">
        <f t="shared" si="5"/>
        <v>0</v>
      </c>
      <c r="AX136" s="493">
        <f t="shared" si="5"/>
        <v>0</v>
      </c>
      <c r="AY136" s="492">
        <f t="shared" si="5"/>
        <v>0</v>
      </c>
      <c r="AZ136" s="493">
        <f t="shared" si="5"/>
        <v>0</v>
      </c>
      <c r="BA136" s="492">
        <f t="shared" si="5"/>
        <v>0</v>
      </c>
      <c r="BB136" s="493">
        <f t="shared" si="5"/>
        <v>0</v>
      </c>
      <c r="BC136" s="492">
        <f t="shared" si="5"/>
        <v>0</v>
      </c>
      <c r="BD136" s="493">
        <f t="shared" si="5"/>
        <v>3</v>
      </c>
      <c r="BE136" s="492">
        <f t="shared" si="5"/>
        <v>0</v>
      </c>
      <c r="BF136" s="493">
        <f t="shared" si="5"/>
        <v>0</v>
      </c>
      <c r="BG136" s="492">
        <f t="shared" si="5"/>
        <v>0</v>
      </c>
      <c r="BH136" s="493">
        <f t="shared" si="5"/>
        <v>16</v>
      </c>
      <c r="BI136" s="492">
        <f t="shared" si="5"/>
        <v>0</v>
      </c>
      <c r="BJ136" s="493">
        <f t="shared" si="5"/>
        <v>0</v>
      </c>
      <c r="BK136" s="492">
        <f t="shared" si="5"/>
        <v>0</v>
      </c>
      <c r="BL136" s="493">
        <f t="shared" si="5"/>
        <v>3</v>
      </c>
      <c r="BM136" s="492">
        <f t="shared" si="5"/>
        <v>0</v>
      </c>
      <c r="BN136" s="493">
        <f t="shared" si="5"/>
        <v>0</v>
      </c>
      <c r="BO136" s="492">
        <f t="shared" si="5"/>
        <v>0</v>
      </c>
      <c r="BP136" s="492">
        <f t="shared" ref="BP136:BQ136" si="6">SUM(BP129:BP135)</f>
        <v>1472</v>
      </c>
      <c r="BQ136" s="492">
        <f t="shared" si="6"/>
        <v>8470656381.9560003</v>
      </c>
    </row>
  </sheetData>
  <mergeCells count="116">
    <mergeCell ref="A6:A8"/>
    <mergeCell ref="B6:B8"/>
    <mergeCell ref="C6:C8"/>
    <mergeCell ref="D6:S6"/>
    <mergeCell ref="T6:AI6"/>
    <mergeCell ref="AJ6:AY6"/>
    <mergeCell ref="AF7:AI7"/>
    <mergeCell ref="AJ7:AM7"/>
    <mergeCell ref="AN7:AQ7"/>
    <mergeCell ref="AR7:AU7"/>
    <mergeCell ref="N8:O8"/>
    <mergeCell ref="P8:Q8"/>
    <mergeCell ref="R8:S8"/>
    <mergeCell ref="T8:U8"/>
    <mergeCell ref="V8:W8"/>
    <mergeCell ref="X8:Y8"/>
    <mergeCell ref="AT8:AU8"/>
    <mergeCell ref="AV8:AW8"/>
    <mergeCell ref="Z8:AA8"/>
    <mergeCell ref="AB8:AC8"/>
    <mergeCell ref="AZ6:BO6"/>
    <mergeCell ref="BP6:BP8"/>
    <mergeCell ref="BQ6:BQ8"/>
    <mergeCell ref="D7:G7"/>
    <mergeCell ref="H7:K7"/>
    <mergeCell ref="L7:O7"/>
    <mergeCell ref="P7:S7"/>
    <mergeCell ref="T7:W7"/>
    <mergeCell ref="X7:AA7"/>
    <mergeCell ref="AB7:AE7"/>
    <mergeCell ref="AV7:AY7"/>
    <mergeCell ref="AZ7:BC7"/>
    <mergeCell ref="BD7:BG7"/>
    <mergeCell ref="BH7:BK7"/>
    <mergeCell ref="BL7:BO7"/>
    <mergeCell ref="D8:E8"/>
    <mergeCell ref="F8:G8"/>
    <mergeCell ref="H8:I8"/>
    <mergeCell ref="J8:K8"/>
    <mergeCell ref="L8:M8"/>
    <mergeCell ref="AD8:AE8"/>
    <mergeCell ref="AF8:AG8"/>
    <mergeCell ref="AH8:AI8"/>
    <mergeCell ref="AJ8:AK8"/>
    <mergeCell ref="N128:O128"/>
    <mergeCell ref="P128:Q128"/>
    <mergeCell ref="AF127:AI127"/>
    <mergeCell ref="AJ127:AM127"/>
    <mergeCell ref="BJ8:BK8"/>
    <mergeCell ref="BL8:BM8"/>
    <mergeCell ref="BN8:BO8"/>
    <mergeCell ref="A122:C122"/>
    <mergeCell ref="A126:A128"/>
    <mergeCell ref="B126:B128"/>
    <mergeCell ref="C126:C128"/>
    <mergeCell ref="D126:S126"/>
    <mergeCell ref="T126:AI126"/>
    <mergeCell ref="AJ126:AY126"/>
    <mergeCell ref="AX8:AY8"/>
    <mergeCell ref="AZ8:BA8"/>
    <mergeCell ref="BB8:BC8"/>
    <mergeCell ref="BD8:BE8"/>
    <mergeCell ref="BF8:BG8"/>
    <mergeCell ref="BH8:BI8"/>
    <mergeCell ref="AL8:AM8"/>
    <mergeCell ref="AN8:AO8"/>
    <mergeCell ref="AP8:AQ8"/>
    <mergeCell ref="AR8:AS8"/>
    <mergeCell ref="R128:S128"/>
    <mergeCell ref="T128:U128"/>
    <mergeCell ref="V128:W128"/>
    <mergeCell ref="X128:Y128"/>
    <mergeCell ref="AZ126:BO126"/>
    <mergeCell ref="BP126:BP128"/>
    <mergeCell ref="BQ126:BQ128"/>
    <mergeCell ref="D127:G127"/>
    <mergeCell ref="H127:K127"/>
    <mergeCell ref="L127:O127"/>
    <mergeCell ref="P127:S127"/>
    <mergeCell ref="T127:W127"/>
    <mergeCell ref="X127:AA127"/>
    <mergeCell ref="AB127:AE127"/>
    <mergeCell ref="Z128:AA128"/>
    <mergeCell ref="AB128:AC128"/>
    <mergeCell ref="BD127:BG127"/>
    <mergeCell ref="BH127:BK127"/>
    <mergeCell ref="BL127:BO127"/>
    <mergeCell ref="D128:E128"/>
    <mergeCell ref="F128:G128"/>
    <mergeCell ref="H128:I128"/>
    <mergeCell ref="J128:K128"/>
    <mergeCell ref="L128:M128"/>
    <mergeCell ref="AN127:AQ127"/>
    <mergeCell ref="AR127:AU127"/>
    <mergeCell ref="AV127:AY127"/>
    <mergeCell ref="AZ127:BC127"/>
    <mergeCell ref="BN128:BO128"/>
    <mergeCell ref="A136:C136"/>
    <mergeCell ref="BB128:BC128"/>
    <mergeCell ref="BD128:BE128"/>
    <mergeCell ref="BF128:BG128"/>
    <mergeCell ref="BH128:BI128"/>
    <mergeCell ref="BJ128:BK128"/>
    <mergeCell ref="BL128:BM128"/>
    <mergeCell ref="AP128:AQ128"/>
    <mergeCell ref="AR128:AS128"/>
    <mergeCell ref="AT128:AU128"/>
    <mergeCell ref="AV128:AW128"/>
    <mergeCell ref="AX128:AY128"/>
    <mergeCell ref="AZ128:BA128"/>
    <mergeCell ref="AD128:AE128"/>
    <mergeCell ref="AF128:AG128"/>
    <mergeCell ref="AH128:AI128"/>
    <mergeCell ref="AJ128:AK128"/>
    <mergeCell ref="AL128:AM128"/>
    <mergeCell ref="AN128:AO128"/>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4"/>
  <sheetViews>
    <sheetView workbookViewId="0">
      <selection activeCell="D5" sqref="D5"/>
    </sheetView>
  </sheetViews>
  <sheetFormatPr baseColWidth="10" defaultColWidth="10.8984375" defaultRowHeight="13.8"/>
  <cols>
    <col min="1" max="1" width="22.296875" style="105" customWidth="1"/>
    <col min="2" max="2" width="81.8984375" style="105" customWidth="1"/>
    <col min="3" max="3" width="17.69921875" style="105" customWidth="1"/>
    <col min="4" max="16384" width="10.8984375" style="105"/>
  </cols>
  <sheetData>
    <row r="2" spans="1:3" ht="14.4">
      <c r="A2" s="483" t="s">
        <v>6378</v>
      </c>
    </row>
    <row r="3" spans="1:3">
      <c r="A3" s="115"/>
      <c r="C3" s="533"/>
    </row>
    <row r="4" spans="1:3" ht="26.4">
      <c r="A4" s="507" t="s">
        <v>6536</v>
      </c>
      <c r="B4" s="507" t="s">
        <v>6535</v>
      </c>
      <c r="C4" s="507" t="s">
        <v>6597</v>
      </c>
    </row>
    <row r="5" spans="1:3" ht="110.4">
      <c r="A5" s="535" t="s">
        <v>6537</v>
      </c>
      <c r="B5" s="535" t="s">
        <v>6538</v>
      </c>
      <c r="C5" s="536" t="s">
        <v>6539</v>
      </c>
    </row>
    <row r="6" spans="1:3" ht="193.2">
      <c r="A6" s="115" t="s">
        <v>6540</v>
      </c>
      <c r="B6" s="115" t="s">
        <v>6541</v>
      </c>
      <c r="C6" s="534" t="s">
        <v>6542</v>
      </c>
    </row>
    <row r="7" spans="1:3" ht="69">
      <c r="A7" s="535" t="s">
        <v>6543</v>
      </c>
      <c r="B7" s="535" t="s">
        <v>6544</v>
      </c>
      <c r="C7" s="536" t="s">
        <v>6545</v>
      </c>
    </row>
    <row r="8" spans="1:3" ht="400.2">
      <c r="A8" s="115" t="s">
        <v>6546</v>
      </c>
      <c r="B8" s="115" t="s">
        <v>6547</v>
      </c>
      <c r="C8" s="534" t="s">
        <v>6548</v>
      </c>
    </row>
    <row r="9" spans="1:3" ht="151.80000000000001">
      <c r="A9" s="535" t="s">
        <v>6549</v>
      </c>
      <c r="B9" s="535" t="s">
        <v>6550</v>
      </c>
      <c r="C9" s="536" t="s">
        <v>6551</v>
      </c>
    </row>
    <row r="10" spans="1:3" ht="27.6">
      <c r="A10" s="115" t="s">
        <v>6552</v>
      </c>
      <c r="B10" s="115" t="s">
        <v>6553</v>
      </c>
      <c r="C10" s="534" t="s">
        <v>6554</v>
      </c>
    </row>
    <row r="11" spans="1:3" ht="96.6">
      <c r="A11" s="535" t="s">
        <v>6555</v>
      </c>
      <c r="B11" s="535" t="s">
        <v>6556</v>
      </c>
      <c r="C11" s="536" t="s">
        <v>6557</v>
      </c>
    </row>
    <row r="12" spans="1:3" ht="69">
      <c r="A12" s="115" t="s">
        <v>6558</v>
      </c>
      <c r="B12" s="115" t="s">
        <v>6559</v>
      </c>
      <c r="C12" s="534" t="s">
        <v>6560</v>
      </c>
    </row>
    <row r="13" spans="1:3" ht="55.2">
      <c r="A13" s="535" t="s">
        <v>6561</v>
      </c>
      <c r="B13" s="535" t="s">
        <v>6562</v>
      </c>
      <c r="C13" s="536" t="s">
        <v>6563</v>
      </c>
    </row>
    <row r="14" spans="1:3" ht="69">
      <c r="A14" s="115" t="s">
        <v>6564</v>
      </c>
      <c r="B14" s="115" t="s">
        <v>6565</v>
      </c>
      <c r="C14" s="534" t="s">
        <v>6566</v>
      </c>
    </row>
    <row r="15" spans="1:3" ht="165.6">
      <c r="A15" s="535" t="s">
        <v>6567</v>
      </c>
      <c r="B15" s="535" t="s">
        <v>6568</v>
      </c>
      <c r="C15" s="536" t="s">
        <v>6569</v>
      </c>
    </row>
    <row r="16" spans="1:3" ht="165.6">
      <c r="A16" s="115" t="s">
        <v>6570</v>
      </c>
      <c r="B16" s="115" t="s">
        <v>6571</v>
      </c>
      <c r="C16" s="534" t="s">
        <v>6572</v>
      </c>
    </row>
    <row r="17" spans="1:3" ht="55.2">
      <c r="A17" s="535" t="s">
        <v>6573</v>
      </c>
      <c r="B17" s="535" t="s">
        <v>6574</v>
      </c>
      <c r="C17" s="536" t="s">
        <v>6575</v>
      </c>
    </row>
    <row r="18" spans="1:3" ht="124.2">
      <c r="A18" s="115" t="s">
        <v>6576</v>
      </c>
      <c r="B18" s="115" t="s">
        <v>6577</v>
      </c>
      <c r="C18" s="534" t="s">
        <v>6578</v>
      </c>
    </row>
    <row r="19" spans="1:3" ht="110.4">
      <c r="A19" s="535" t="s">
        <v>6579</v>
      </c>
      <c r="B19" s="535" t="s">
        <v>6580</v>
      </c>
      <c r="C19" s="536" t="s">
        <v>6581</v>
      </c>
    </row>
    <row r="20" spans="1:3" ht="69">
      <c r="A20" s="115" t="s">
        <v>6582</v>
      </c>
      <c r="B20" s="115" t="s">
        <v>6583</v>
      </c>
      <c r="C20" s="534" t="s">
        <v>6584</v>
      </c>
    </row>
    <row r="21" spans="1:3" ht="151.80000000000001">
      <c r="A21" s="535" t="s">
        <v>6585</v>
      </c>
      <c r="B21" s="535" t="s">
        <v>6586</v>
      </c>
      <c r="C21" s="536" t="s">
        <v>6587</v>
      </c>
    </row>
    <row r="22" spans="1:3" ht="96.6">
      <c r="A22" s="115" t="s">
        <v>6588</v>
      </c>
      <c r="B22" s="115" t="s">
        <v>6589</v>
      </c>
      <c r="C22" s="534" t="s">
        <v>6590</v>
      </c>
    </row>
    <row r="23" spans="1:3" ht="55.2">
      <c r="A23" s="535" t="s">
        <v>6591</v>
      </c>
      <c r="B23" s="535" t="s">
        <v>6592</v>
      </c>
      <c r="C23" s="536" t="s">
        <v>6593</v>
      </c>
    </row>
    <row r="24" spans="1:3" ht="69">
      <c r="A24" s="115" t="s">
        <v>6594</v>
      </c>
      <c r="B24" s="115" t="s">
        <v>6595</v>
      </c>
      <c r="C24" s="534" t="s">
        <v>6596</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3"/>
  <sheetViews>
    <sheetView workbookViewId="0">
      <selection activeCell="B4" sqref="B4"/>
    </sheetView>
  </sheetViews>
  <sheetFormatPr baseColWidth="10" defaultColWidth="11.59765625" defaultRowHeight="13.2"/>
  <cols>
    <col min="1" max="1" width="11.59765625" style="218"/>
    <col min="2" max="2" width="62.296875" style="218" bestFit="1" customWidth="1"/>
    <col min="3" max="3" width="12.69921875" style="218" bestFit="1" customWidth="1"/>
    <col min="4" max="16384" width="11.59765625" style="218"/>
  </cols>
  <sheetData>
    <row r="2" spans="1:3">
      <c r="A2" s="529" t="s">
        <v>6533</v>
      </c>
    </row>
    <row r="4" spans="1:3">
      <c r="B4" s="507" t="s">
        <v>1397</v>
      </c>
      <c r="C4" s="508" t="s">
        <v>2135</v>
      </c>
    </row>
    <row r="5" spans="1:3">
      <c r="B5" s="518" t="s">
        <v>1829</v>
      </c>
      <c r="C5" s="530">
        <v>42038688</v>
      </c>
    </row>
    <row r="6" spans="1:3">
      <c r="B6" s="218" t="s">
        <v>1832</v>
      </c>
      <c r="C6" s="531">
        <v>25775280</v>
      </c>
    </row>
    <row r="7" spans="1:3">
      <c r="B7" s="518" t="s">
        <v>1835</v>
      </c>
      <c r="C7" s="530">
        <v>21854522</v>
      </c>
    </row>
    <row r="8" spans="1:3">
      <c r="B8" s="218" t="s">
        <v>1831</v>
      </c>
      <c r="C8" s="531">
        <v>9558497</v>
      </c>
    </row>
    <row r="9" spans="1:3">
      <c r="B9" s="518" t="s">
        <v>1834</v>
      </c>
      <c r="C9" s="530">
        <v>8809502</v>
      </c>
    </row>
    <row r="10" spans="1:3">
      <c r="B10" s="218" t="s">
        <v>102</v>
      </c>
      <c r="C10" s="531">
        <v>8804074</v>
      </c>
    </row>
    <row r="11" spans="1:3">
      <c r="B11" s="518" t="s">
        <v>1830</v>
      </c>
      <c r="C11" s="530">
        <v>8205594</v>
      </c>
    </row>
    <row r="12" spans="1:3">
      <c r="B12" s="218" t="s">
        <v>1838</v>
      </c>
      <c r="C12" s="531">
        <v>6259828</v>
      </c>
    </row>
    <row r="13" spans="1:3">
      <c r="B13" s="518" t="s">
        <v>1833</v>
      </c>
      <c r="C13" s="530">
        <v>5788932</v>
      </c>
    </row>
    <row r="14" spans="1:3">
      <c r="B14" s="218" t="s">
        <v>1839</v>
      </c>
      <c r="C14" s="531">
        <v>5257907</v>
      </c>
    </row>
    <row r="15" spans="1:3">
      <c r="B15" s="518" t="s">
        <v>62</v>
      </c>
      <c r="C15" s="530">
        <v>4515175</v>
      </c>
    </row>
    <row r="16" spans="1:3">
      <c r="B16" s="218" t="s">
        <v>139</v>
      </c>
      <c r="C16" s="531">
        <v>4278663</v>
      </c>
    </row>
    <row r="17" spans="2:4">
      <c r="B17" s="518" t="s">
        <v>192</v>
      </c>
      <c r="C17" s="530">
        <v>4225153</v>
      </c>
    </row>
    <row r="18" spans="2:4">
      <c r="B18" s="218" t="s">
        <v>1853</v>
      </c>
      <c r="C18" s="531">
        <v>3984799</v>
      </c>
    </row>
    <row r="19" spans="2:4">
      <c r="B19" s="518" t="s">
        <v>1845</v>
      </c>
      <c r="C19" s="530">
        <v>3921426</v>
      </c>
    </row>
    <row r="20" spans="2:4">
      <c r="B20" s="218" t="s">
        <v>717</v>
      </c>
      <c r="C20" s="531">
        <v>3867227</v>
      </c>
    </row>
    <row r="21" spans="2:4">
      <c r="B21" s="518" t="s">
        <v>721</v>
      </c>
      <c r="C21" s="530">
        <v>3780778</v>
      </c>
    </row>
    <row r="22" spans="2:4">
      <c r="B22" s="218" t="s">
        <v>6532</v>
      </c>
      <c r="C22" s="531">
        <v>3705691</v>
      </c>
      <c r="D22" s="532"/>
    </row>
    <row r="23" spans="2:4">
      <c r="B23" s="518" t="s">
        <v>1844</v>
      </c>
      <c r="C23" s="530">
        <v>3558330</v>
      </c>
    </row>
    <row r="24" spans="2:4">
      <c r="B24" s="218" t="s">
        <v>1852</v>
      </c>
      <c r="C24" s="531">
        <v>3006767</v>
      </c>
    </row>
    <row r="25" spans="2:4">
      <c r="B25" s="518" t="s">
        <v>1837</v>
      </c>
      <c r="C25" s="530">
        <v>2900368</v>
      </c>
    </row>
    <row r="26" spans="2:4">
      <c r="B26" s="218" t="s">
        <v>1847</v>
      </c>
      <c r="C26" s="531">
        <v>2425797</v>
      </c>
    </row>
    <row r="27" spans="2:4">
      <c r="B27" s="518" t="s">
        <v>792</v>
      </c>
      <c r="C27" s="530">
        <v>2092571</v>
      </c>
    </row>
    <row r="28" spans="2:4">
      <c r="B28" s="218" t="s">
        <v>549</v>
      </c>
      <c r="C28" s="531">
        <v>2019497</v>
      </c>
    </row>
    <row r="29" spans="2:4">
      <c r="B29" s="518" t="s">
        <v>1842</v>
      </c>
      <c r="C29" s="530">
        <v>1980921</v>
      </c>
    </row>
    <row r="30" spans="2:4">
      <c r="B30" s="218" t="s">
        <v>229</v>
      </c>
      <c r="C30" s="531">
        <v>1952392</v>
      </c>
    </row>
    <row r="31" spans="2:4">
      <c r="B31" s="518" t="s">
        <v>1843</v>
      </c>
      <c r="C31" s="530">
        <v>1848793</v>
      </c>
    </row>
    <row r="32" spans="2:4">
      <c r="B32" s="218" t="s">
        <v>1848</v>
      </c>
      <c r="C32" s="531">
        <v>1815296</v>
      </c>
    </row>
    <row r="33" spans="2:3">
      <c r="B33" s="518" t="s">
        <v>1840</v>
      </c>
      <c r="C33" s="530">
        <v>1358173</v>
      </c>
    </row>
    <row r="34" spans="2:3">
      <c r="B34" s="218" t="s">
        <v>99</v>
      </c>
      <c r="C34" s="531">
        <v>1283935</v>
      </c>
    </row>
    <row r="35" spans="2:3">
      <c r="B35" s="518" t="s">
        <v>3659</v>
      </c>
      <c r="C35" s="530">
        <v>1233822</v>
      </c>
    </row>
    <row r="36" spans="2:3">
      <c r="B36" s="218" t="s">
        <v>96</v>
      </c>
      <c r="C36" s="531">
        <v>1176640</v>
      </c>
    </row>
    <row r="37" spans="2:3">
      <c r="B37" s="518" t="s">
        <v>126</v>
      </c>
      <c r="C37" s="530">
        <v>1075858</v>
      </c>
    </row>
    <row r="38" spans="2:3">
      <c r="B38" s="218" t="s">
        <v>158</v>
      </c>
      <c r="C38" s="531">
        <v>1054997</v>
      </c>
    </row>
    <row r="39" spans="2:3">
      <c r="B39" s="518" t="s">
        <v>1849</v>
      </c>
      <c r="C39" s="530">
        <v>993938</v>
      </c>
    </row>
    <row r="40" spans="2:3">
      <c r="B40" s="218" t="s">
        <v>189</v>
      </c>
      <c r="C40" s="531">
        <v>948331</v>
      </c>
    </row>
    <row r="41" spans="2:3">
      <c r="B41" s="518" t="s">
        <v>1862</v>
      </c>
      <c r="C41" s="530">
        <v>871243</v>
      </c>
    </row>
    <row r="42" spans="2:3">
      <c r="B42" s="218" t="s">
        <v>827</v>
      </c>
      <c r="C42" s="531">
        <v>691560</v>
      </c>
    </row>
    <row r="43" spans="2:3">
      <c r="B43" s="518" t="s">
        <v>3822</v>
      </c>
      <c r="C43" s="530">
        <v>664342</v>
      </c>
    </row>
    <row r="44" spans="2:3">
      <c r="B44" s="218" t="s">
        <v>747</v>
      </c>
      <c r="C44" s="531">
        <v>658280</v>
      </c>
    </row>
    <row r="45" spans="2:3">
      <c r="B45" s="518" t="s">
        <v>1851</v>
      </c>
      <c r="C45" s="530">
        <v>464192</v>
      </c>
    </row>
    <row r="46" spans="2:3">
      <c r="B46" s="218" t="s">
        <v>3844</v>
      </c>
      <c r="C46" s="531">
        <v>403928</v>
      </c>
    </row>
    <row r="47" spans="2:3">
      <c r="B47" s="518" t="s">
        <v>204</v>
      </c>
      <c r="C47" s="530">
        <v>400479</v>
      </c>
    </row>
    <row r="48" spans="2:3">
      <c r="B48" s="218" t="s">
        <v>177</v>
      </c>
      <c r="C48" s="531">
        <v>395114</v>
      </c>
    </row>
    <row r="49" spans="2:3">
      <c r="B49" s="518" t="s">
        <v>3845</v>
      </c>
      <c r="C49" s="530">
        <v>394144</v>
      </c>
    </row>
    <row r="50" spans="2:3">
      <c r="B50" s="218" t="s">
        <v>215</v>
      </c>
      <c r="C50" s="531">
        <v>295007</v>
      </c>
    </row>
    <row r="51" spans="2:3">
      <c r="B51" s="518" t="s">
        <v>1865</v>
      </c>
      <c r="C51" s="530">
        <v>278430</v>
      </c>
    </row>
    <row r="52" spans="2:3">
      <c r="B52" s="218" t="s">
        <v>95</v>
      </c>
      <c r="C52" s="531">
        <v>265729</v>
      </c>
    </row>
    <row r="53" spans="2:3">
      <c r="B53" s="518" t="s">
        <v>1863</v>
      </c>
      <c r="C53" s="530">
        <v>227173</v>
      </c>
    </row>
    <row r="54" spans="2:3">
      <c r="B54" s="218" t="s">
        <v>1871</v>
      </c>
      <c r="C54" s="531">
        <v>165077</v>
      </c>
    </row>
    <row r="55" spans="2:3">
      <c r="B55" s="518" t="s">
        <v>1904</v>
      </c>
      <c r="C55" s="530">
        <v>160094</v>
      </c>
    </row>
    <row r="56" spans="2:3">
      <c r="B56" s="218" t="s">
        <v>3850</v>
      </c>
      <c r="C56" s="531">
        <v>127513</v>
      </c>
    </row>
    <row r="57" spans="2:3">
      <c r="B57" s="518" t="s">
        <v>1878</v>
      </c>
      <c r="C57" s="530">
        <v>104446</v>
      </c>
    </row>
    <row r="58" spans="2:3">
      <c r="B58" s="218" t="s">
        <v>1856</v>
      </c>
      <c r="C58" s="531">
        <v>98057</v>
      </c>
    </row>
    <row r="59" spans="2:3">
      <c r="B59" s="518" t="s">
        <v>1894</v>
      </c>
      <c r="C59" s="530">
        <v>89729</v>
      </c>
    </row>
    <row r="60" spans="2:3">
      <c r="B60" s="218" t="s">
        <v>3856</v>
      </c>
      <c r="C60" s="531">
        <v>82536</v>
      </c>
    </row>
    <row r="61" spans="2:3">
      <c r="B61" s="518" t="s">
        <v>3857</v>
      </c>
      <c r="C61" s="530">
        <v>80232</v>
      </c>
    </row>
    <row r="62" spans="2:3">
      <c r="B62" s="218" t="s">
        <v>3863</v>
      </c>
      <c r="C62" s="531">
        <v>57667</v>
      </c>
    </row>
    <row r="63" spans="2:3">
      <c r="B63" s="518" t="s">
        <v>109</v>
      </c>
      <c r="C63" s="530">
        <v>55005</v>
      </c>
    </row>
    <row r="64" spans="2:3">
      <c r="B64" s="218" t="s">
        <v>818</v>
      </c>
      <c r="C64" s="531">
        <v>42803</v>
      </c>
    </row>
    <row r="65" spans="2:3">
      <c r="B65" s="518" t="s">
        <v>375</v>
      </c>
      <c r="C65" s="530">
        <v>21368</v>
      </c>
    </row>
    <row r="66" spans="2:3">
      <c r="B66" s="218" t="s">
        <v>269</v>
      </c>
      <c r="C66" s="531">
        <v>21071</v>
      </c>
    </row>
    <row r="67" spans="2:3">
      <c r="B67" s="518" t="s">
        <v>1951</v>
      </c>
      <c r="C67" s="530">
        <v>13938</v>
      </c>
    </row>
    <row r="68" spans="2:3">
      <c r="B68" s="218" t="s">
        <v>197</v>
      </c>
      <c r="C68" s="531">
        <v>12082</v>
      </c>
    </row>
    <row r="69" spans="2:3">
      <c r="B69" s="518" t="s">
        <v>1869</v>
      </c>
      <c r="C69" s="530">
        <v>11616</v>
      </c>
    </row>
    <row r="70" spans="2:3">
      <c r="B70" s="218" t="s">
        <v>3902</v>
      </c>
      <c r="C70" s="531">
        <v>11547</v>
      </c>
    </row>
    <row r="71" spans="2:3">
      <c r="B71" s="518" t="s">
        <v>486</v>
      </c>
      <c r="C71" s="530">
        <v>9405</v>
      </c>
    </row>
    <row r="72" spans="2:3">
      <c r="B72" s="218" t="s">
        <v>1884</v>
      </c>
      <c r="C72" s="531">
        <v>8751</v>
      </c>
    </row>
    <row r="73" spans="2:3">
      <c r="B73" s="518" t="s">
        <v>3913</v>
      </c>
      <c r="C73" s="530">
        <v>8586</v>
      </c>
    </row>
    <row r="74" spans="2:3">
      <c r="B74" s="218" t="s">
        <v>3917</v>
      </c>
      <c r="C74" s="531">
        <v>7572</v>
      </c>
    </row>
    <row r="75" spans="2:3">
      <c r="B75" s="518" t="s">
        <v>1836</v>
      </c>
      <c r="C75" s="530">
        <v>7477</v>
      </c>
    </row>
    <row r="76" spans="2:3">
      <c r="B76" s="218" t="s">
        <v>1887</v>
      </c>
      <c r="C76" s="531">
        <v>7030</v>
      </c>
    </row>
    <row r="77" spans="2:3">
      <c r="B77" s="518" t="s">
        <v>3926</v>
      </c>
      <c r="C77" s="530">
        <v>6864</v>
      </c>
    </row>
    <row r="78" spans="2:3">
      <c r="B78" s="218" t="s">
        <v>3928</v>
      </c>
      <c r="C78" s="531">
        <v>6300</v>
      </c>
    </row>
    <row r="79" spans="2:3">
      <c r="B79" s="518" t="s">
        <v>1915</v>
      </c>
      <c r="C79" s="530">
        <v>5230</v>
      </c>
    </row>
    <row r="80" spans="2:3">
      <c r="B80" s="218" t="s">
        <v>3936</v>
      </c>
      <c r="C80" s="531">
        <v>5230</v>
      </c>
    </row>
    <row r="81" spans="2:3">
      <c r="B81" s="518" t="s">
        <v>2488</v>
      </c>
      <c r="C81" s="530">
        <v>4691</v>
      </c>
    </row>
    <row r="82" spans="2:3">
      <c r="B82" s="218" t="s">
        <v>3938</v>
      </c>
      <c r="C82" s="531">
        <v>4435</v>
      </c>
    </row>
    <row r="83" spans="2:3">
      <c r="B83" s="518" t="s">
        <v>1907</v>
      </c>
      <c r="C83" s="530">
        <v>4081</v>
      </c>
    </row>
    <row r="84" spans="2:3">
      <c r="B84" s="218" t="s">
        <v>3945</v>
      </c>
      <c r="C84" s="531">
        <v>3401</v>
      </c>
    </row>
    <row r="85" spans="2:3">
      <c r="B85" s="518" t="s">
        <v>1880</v>
      </c>
      <c r="C85" s="530">
        <v>2442</v>
      </c>
    </row>
    <row r="86" spans="2:3">
      <c r="B86" s="218" t="s">
        <v>3823</v>
      </c>
      <c r="C86" s="531">
        <v>1943</v>
      </c>
    </row>
    <row r="87" spans="2:3">
      <c r="B87" s="518" t="s">
        <v>3963</v>
      </c>
      <c r="C87" s="530">
        <v>1498</v>
      </c>
    </row>
    <row r="88" spans="2:3">
      <c r="B88" s="218" t="s">
        <v>3246</v>
      </c>
      <c r="C88" s="531">
        <v>1457</v>
      </c>
    </row>
    <row r="89" spans="2:3">
      <c r="B89" s="518" t="s">
        <v>1958</v>
      </c>
      <c r="C89" s="530">
        <v>1353</v>
      </c>
    </row>
    <row r="90" spans="2:3">
      <c r="B90" s="218" t="s">
        <v>2006</v>
      </c>
      <c r="C90" s="531">
        <v>1026</v>
      </c>
    </row>
    <row r="91" spans="2:3">
      <c r="B91" s="518" t="s">
        <v>3970</v>
      </c>
      <c r="C91" s="530">
        <v>867</v>
      </c>
    </row>
    <row r="92" spans="2:3">
      <c r="B92" s="218" t="s">
        <v>3972</v>
      </c>
      <c r="C92" s="531">
        <v>813</v>
      </c>
    </row>
    <row r="93" spans="2:3">
      <c r="B93" s="518" t="s">
        <v>3973</v>
      </c>
      <c r="C93" s="530">
        <v>792</v>
      </c>
    </row>
    <row r="94" spans="2:3">
      <c r="B94" s="218" t="s">
        <v>3974</v>
      </c>
      <c r="C94" s="531">
        <v>792</v>
      </c>
    </row>
    <row r="95" spans="2:3">
      <c r="B95" s="518" t="s">
        <v>3975</v>
      </c>
      <c r="C95" s="530">
        <v>764</v>
      </c>
    </row>
    <row r="96" spans="2:3">
      <c r="B96" s="218" t="s">
        <v>3976</v>
      </c>
      <c r="C96" s="531">
        <v>732</v>
      </c>
    </row>
    <row r="97" spans="2:3">
      <c r="B97" s="518" t="s">
        <v>2071</v>
      </c>
      <c r="C97" s="530">
        <v>704</v>
      </c>
    </row>
    <row r="98" spans="2:3">
      <c r="B98" s="218" t="s">
        <v>3978</v>
      </c>
      <c r="C98" s="531">
        <v>669</v>
      </c>
    </row>
    <row r="99" spans="2:3">
      <c r="B99" s="518" t="s">
        <v>1095</v>
      </c>
      <c r="C99" s="530">
        <v>492</v>
      </c>
    </row>
    <row r="100" spans="2:3">
      <c r="B100" s="218" t="s">
        <v>110</v>
      </c>
      <c r="C100" s="531">
        <v>314</v>
      </c>
    </row>
    <row r="101" spans="2:3">
      <c r="B101" s="518" t="s">
        <v>114</v>
      </c>
      <c r="C101" s="530">
        <v>166</v>
      </c>
    </row>
    <row r="102" spans="2:3">
      <c r="B102" s="218" t="s">
        <v>459</v>
      </c>
      <c r="C102" s="531">
        <v>123</v>
      </c>
    </row>
    <row r="103" spans="2:3">
      <c r="C103" s="513">
        <f>SUM(C5:C102)</f>
        <v>214628564</v>
      </c>
    </row>
  </sheetData>
  <autoFilter ref="B4:C10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59</vt:i4>
      </vt:variant>
      <vt:variant>
        <vt:lpstr>Plages nommées</vt:lpstr>
      </vt:variant>
      <vt:variant>
        <vt:i4>2</vt:i4>
      </vt:variant>
    </vt:vector>
  </HeadingPairs>
  <TitlesOfParts>
    <vt:vector size="61" baseType="lpstr">
      <vt:lpstr>Sommaire</vt:lpstr>
      <vt:lpstr>Annexe 0</vt:lpstr>
      <vt:lpstr>Annexe 1</vt:lpstr>
      <vt:lpstr>Annexe 2</vt:lpstr>
      <vt:lpstr>Annexe 3</vt:lpstr>
      <vt:lpstr>Annexe 4</vt:lpstr>
      <vt:lpstr>Annexe 5</vt:lpstr>
      <vt:lpstr>Annexe 6</vt:lpstr>
      <vt:lpstr>Annexe 7</vt:lpstr>
      <vt:lpstr>Annexe 8</vt:lpstr>
      <vt:lpstr>Annexe 9</vt:lpstr>
      <vt:lpstr>Annexe 10</vt:lpstr>
      <vt:lpstr>Annexe 11</vt:lpstr>
      <vt:lpstr>Annexe 12</vt:lpstr>
      <vt:lpstr>Annexe 13</vt:lpstr>
      <vt:lpstr>Annexe 14</vt:lpstr>
      <vt:lpstr>Annexe 15</vt:lpstr>
      <vt:lpstr>Annexe 16</vt:lpstr>
      <vt:lpstr>Annexe 17</vt:lpstr>
      <vt:lpstr>Annexe 18</vt:lpstr>
      <vt:lpstr>Annexe 19</vt:lpstr>
      <vt:lpstr>Annexe 20</vt:lpstr>
      <vt:lpstr>Annexe 21</vt:lpstr>
      <vt:lpstr>Annexe 22</vt:lpstr>
      <vt:lpstr>Annexe 23</vt:lpstr>
      <vt:lpstr>Annexe 24</vt:lpstr>
      <vt:lpstr>Annexe 25</vt:lpstr>
      <vt:lpstr>Annexe 26</vt:lpstr>
      <vt:lpstr>Annexe 27</vt:lpstr>
      <vt:lpstr>Annexe 28</vt:lpstr>
      <vt:lpstr>Annexe 29</vt:lpstr>
      <vt:lpstr>Annexe 30</vt:lpstr>
      <vt:lpstr>Annexe 31</vt:lpstr>
      <vt:lpstr>Annexe 32</vt:lpstr>
      <vt:lpstr>Annexe 33</vt:lpstr>
      <vt:lpstr>Annexe 34</vt:lpstr>
      <vt:lpstr>Annexe 35</vt:lpstr>
      <vt:lpstr>Annexe 36</vt:lpstr>
      <vt:lpstr>Annexe 37</vt:lpstr>
      <vt:lpstr>Annexe 38</vt:lpstr>
      <vt:lpstr>Annexe 39</vt:lpstr>
      <vt:lpstr>Annexe 40</vt:lpstr>
      <vt:lpstr>Annexe 41</vt:lpstr>
      <vt:lpstr>Annexe 42</vt:lpstr>
      <vt:lpstr>Annexe 43</vt:lpstr>
      <vt:lpstr>Annexe 44</vt:lpstr>
      <vt:lpstr>Annexe 45</vt:lpstr>
      <vt:lpstr>Annexe 46</vt:lpstr>
      <vt:lpstr>Annexe 47</vt:lpstr>
      <vt:lpstr>Annexe 48</vt:lpstr>
      <vt:lpstr>Annexe 49</vt:lpstr>
      <vt:lpstr>Annexe 50</vt:lpstr>
      <vt:lpstr>Annexe 51</vt:lpstr>
      <vt:lpstr>Annexe 52</vt:lpstr>
      <vt:lpstr>Annexe 53</vt:lpstr>
      <vt:lpstr>Annexe 54</vt:lpstr>
      <vt:lpstr>Annexe 55</vt:lpstr>
      <vt:lpstr>Annexe 56</vt:lpstr>
      <vt:lpstr>Annexe 57</vt:lpstr>
      <vt:lpstr>'Annexe 45'!Impression_des_titres</vt:lpstr>
      <vt:lpstr>'Annexe 2'!Zone_d_impression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Gafsi Mahdi</dc:creator>
  <cp:lastModifiedBy>Alvin Mambele</cp:lastModifiedBy>
  <dcterms:created xsi:type="dcterms:W3CDTF">2024-12-03T22:35:25Z</dcterms:created>
  <dcterms:modified xsi:type="dcterms:W3CDTF">2025-03-18T17:37:00Z</dcterms:modified>
</cp:coreProperties>
</file>